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5.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defaultThemeVersion="124226"/>
  <mc:AlternateContent xmlns:mc="http://schemas.openxmlformats.org/markup-compatibility/2006">
    <mc:Choice Requires="x15">
      <x15ac:absPath xmlns:x15ac="http://schemas.microsoft.com/office/spreadsheetml/2010/11/ac" url="C:\Users\jtual\Box\GRAYBACK\Definition\hard\documentation\Datasheet\Boost\LM5156\"/>
    </mc:Choice>
  </mc:AlternateContent>
  <xr:revisionPtr revIDLastSave="0" documentId="13_ncr:1_{4CD27569-7F11-47D6-9132-D4F5E451D779}" xr6:coauthVersionLast="47" xr6:coauthVersionMax="47" xr10:uidLastSave="{00000000-0000-0000-0000-000000000000}"/>
  <workbookProtection workbookAlgorithmName="SHA-512" workbookHashValue="ecsVMYdm8qV5rN1GbykNvXcjtPPh1nWNeR+UEnbZTdUkV7Lo09fWtWHFdYM/YC/FRi3V1qgiMpJ01grWRtux7g==" workbookSaltValue="qM2vDIINA5RqckmIWGlLjw==" workbookSpinCount="100000" lockStructure="1"/>
  <bookViews>
    <workbookView xWindow="-108" yWindow="-108" windowWidth="23256" windowHeight="12456" tabRatio="730" xr2:uid="{00000000-000D-0000-FFFF-FFFF00000000}"/>
  </bookViews>
  <sheets>
    <sheet name="Design Converter" sheetId="1" r:id="rId1"/>
    <sheet name="Licenses" sheetId="12" r:id="rId2"/>
    <sheet name="Variable_Management" sheetId="2" state="hidden" r:id="rId3"/>
    <sheet name="CCM_Loop_Modeling_Isolated" sheetId="10" state="hidden" r:id="rId4"/>
    <sheet name="CCM_Loop_Modeling_non_isolated" sheetId="5" state="hidden" r:id="rId5"/>
    <sheet name="Eff_vs_IOUT" sheetId="4" state="hidden" r:id="rId6"/>
    <sheet name="Constants" sheetId="3" state="hidden" r:id="rId7"/>
    <sheet name="Plot_Management_Eff" sheetId="6" state="hidden" r:id="rId8"/>
    <sheet name="Lists" sheetId="8" state="hidden" r:id="rId9"/>
    <sheet name="Plot Management_Loop" sheetId="9" state="hidden" r:id="rId10"/>
    <sheet name="Plot Management_Sch" sheetId="11" state="hidden" r:id="rId11"/>
  </sheets>
  <definedNames>
    <definedName name="Acs">Constants!$B$32</definedName>
    <definedName name="Adc" localSheetId="3">CCM_Loop_Modeling_Isolated!$B$41</definedName>
    <definedName name="Adc">CCM_Loop_Modeling_non_isolated!$B$41</definedName>
    <definedName name="Adc_ea">CCM_Loop_Modeling_non_isolated!$B$69</definedName>
    <definedName name="Adc_ea_iso" localSheetId="3">CCM_Loop_Modeling_Isolated!$B$69</definedName>
    <definedName name="ADC_VINmin">Variable_Management!$B$178</definedName>
    <definedName name="CCOMP">Variable_Management!$B$270</definedName>
    <definedName name="CComp_calc">Variable_Management!$B$269</definedName>
    <definedName name="Ccomp_iso">Variable_Management!$B$231</definedName>
    <definedName name="Ccomp_iso_calc">Variable_Management!$B$230</definedName>
    <definedName name="CD3_">Variable_Management!$B$37</definedName>
    <definedName name="CHF">Variable_Management!$B$272</definedName>
    <definedName name="Comp_calc">Variable_Management!$B$269</definedName>
    <definedName name="Copto">Variable_Management!$B$213</definedName>
    <definedName name="Cout_total">Variable_Management!$B$150</definedName>
    <definedName name="Cout1">Variable_Management!$B$130</definedName>
    <definedName name="Cout1_min">Variable_Management!$B$128</definedName>
    <definedName name="Cout2">Variable_Management!$B$138</definedName>
    <definedName name="Cout2_min">Variable_Management!$B$136</definedName>
    <definedName name="Cout3">Variable_Management!$B$146</definedName>
    <definedName name="Cout3_min">Variable_Management!$B$144</definedName>
    <definedName name="D_limit_max">Constants!$B$20</definedName>
    <definedName name="D_limit_min">Constants!$B$18</definedName>
    <definedName name="D_limit_nom">Constants!$B$19</definedName>
    <definedName name="Dc_max_IC" localSheetId="3">Variable_Management!#REF!</definedName>
    <definedName name="Dc_max_IC">Variable_Management!#REF!</definedName>
    <definedName name="Dc_max_ideal" localSheetId="3">Variable_Management!#REF!</definedName>
    <definedName name="Dc_max_ideal">Variable_Management!#REF!</definedName>
    <definedName name="Dc_rip_max" localSheetId="3">Variable_Management!#REF!</definedName>
    <definedName name="Dc_rip_max">Variable_Management!#REF!</definedName>
    <definedName name="Dc_var_ccm" localSheetId="3">CCM_Loop_Modeling_Isolated!$B$40</definedName>
    <definedName name="Dc_var_ccm">CCM_Loop_Modeling_non_isolated!$B$40</definedName>
    <definedName name="Dc_VIN_max">Variable_Management!$B$59</definedName>
    <definedName name="Dc_VIN_min">Variable_Management!$B$57</definedName>
    <definedName name="Dc_VIN_nom">Variable_Management!$B$58</definedName>
    <definedName name="disp_test">INDIRECT(#REF!)</definedName>
    <definedName name="display_eff">INDIRECT(Plot_Management_Eff!$B$2)</definedName>
    <definedName name="display_LOOP">INDIRECT('Plot Management_Loop'!$A$2)</definedName>
    <definedName name="display_Sch">INDIRECT('Plot Management_Sch'!$A$1)</definedName>
    <definedName name="Dmax_limit">Variable_Management!$B$52</definedName>
    <definedName name="EFF_est">Variable_Management!$B$41</definedName>
    <definedName name="Eff_OUT_1">Plot_Management_Eff!$C$3</definedName>
    <definedName name="Eff_OUT_2">Plot_Management_Eff!$C$6</definedName>
    <definedName name="Eff_OUT_3">Plot_Management_Eff!$C$9</definedName>
    <definedName name="Eff_vs_IOUT">Plot_Management_Eff!$C$3</definedName>
    <definedName name="EN_OUT_2">Variable_Management!$B$23</definedName>
    <definedName name="EN_OUT_3">Variable_Management!$B$32</definedName>
    <definedName name="FB_type">Variable_Management!$B$175</definedName>
    <definedName name="fcross">Variable_Management!$B$253</definedName>
    <definedName name="fcross_est">Variable_Management!$B$252</definedName>
    <definedName name="fcross_iso">Variable_Management!$B$226</definedName>
    <definedName name="fcross_iso_est">Variable_Management!$B$225</definedName>
    <definedName name="fopto">Variable_Management!$B$218</definedName>
    <definedName name="fp_ea_est">Variable_Management!$B$263</definedName>
    <definedName name="Fsw">Variable_Management!$B$10</definedName>
    <definedName name="fz_ea_est">Variable_Management!$B$261</definedName>
    <definedName name="fz_rhp">Variable_Management!$B$187</definedName>
    <definedName name="Gcomp">Constants!$B$31</definedName>
    <definedName name="Gea_mid_calc">Variable_Management!$B$257</definedName>
    <definedName name="gfs">Variable_Management!$B$284</definedName>
    <definedName name="gm_ea">Constants!$B$36</definedName>
    <definedName name="Gplant_fc_dB" localSheetId="3">CCM_Loop_Modeling_Isolated!$AD$7</definedName>
    <definedName name="Gplant_fc_dB">CCM_Loop_Modeling_non_isolated!$AD$7</definedName>
    <definedName name="Icomp_sink_max">Constants!$B$38</definedName>
    <definedName name="IIN_33" localSheetId="3">Variable_Management!#REF!</definedName>
    <definedName name="IIN_33">Variable_Management!#REF!</definedName>
    <definedName name="IL_avg_VIN_max">Variable_Management!$B$88</definedName>
    <definedName name="IL_avg_VIN_min">Variable_Management!$B$80</definedName>
    <definedName name="IL_avg_VIN_nom">Variable_Management!$B$84</definedName>
    <definedName name="IL_pk">Variable_Management!$B$113</definedName>
    <definedName name="IL_pk_max">Variable_Management!$B$114</definedName>
    <definedName name="ILp_VINmax">Variable_Management!$B$90</definedName>
    <definedName name="ILp_VINmin">Variable_Management!$B$82</definedName>
    <definedName name="ILp_VINnom">Variable_Management!$B$86</definedName>
    <definedName name="ILrip">Variable_Management!$B$74</definedName>
    <definedName name="ILrip_VINmax">Variable_Management!$B$89</definedName>
    <definedName name="ILrip_VINmin">Variable_Management!$B$81</definedName>
    <definedName name="ILrip_VINnom">Variable_Management!$B$85</definedName>
    <definedName name="IOUT1">Variable_Management!$B$16</definedName>
    <definedName name="IOUT2">Variable_Management!$B$25</definedName>
    <definedName name="IOUT3">Variable_Management!$B$34</definedName>
    <definedName name="Ipk_margin">Variable_Management!$B$93</definedName>
    <definedName name="Ipk_selected">Variable_Management!$B$94</definedName>
    <definedName name="IQ">Constants!$B$56</definedName>
    <definedName name="IRMS_COUT">Variable_Management!$B$129</definedName>
    <definedName name="Isl">Constants!$B$27</definedName>
    <definedName name="Iss">Constants!$B$45</definedName>
    <definedName name="kopto_max">Variable_Management!$B$211</definedName>
    <definedName name="kopto_min">Variable_Management!$B$210</definedName>
    <definedName name="Kslope">Variable_Management!$B$101</definedName>
    <definedName name="Lm">Variable_Management!$B$76</definedName>
    <definedName name="LOOP_ISO">'Plot Management_Loop'!$B$5</definedName>
    <definedName name="LOOP_ISO_1">#REF!</definedName>
    <definedName name="Loop_look_2">#REF!</definedName>
    <definedName name="LOOP_nISO">'Plot Management_Loop'!$B$3</definedName>
    <definedName name="LOOP_nISO_1">#REF!</definedName>
    <definedName name="Loop_Pictures">INDEX(#REF!,MATCH(#REF!,#REF!,0))</definedName>
    <definedName name="LoopLookup">INDEX('Plot Management_Loop'!$B$3:$B$4,MATCH('Plot Management_Loop'!$A$2,'Plot Management_Loop'!$D$3:$D$4,0))</definedName>
    <definedName name="Lopt" localSheetId="3">Variable_Management!#REF!</definedName>
    <definedName name="Lopt">Variable_Management!#REF!</definedName>
    <definedName name="Lopt_2" localSheetId="3">Variable_Management!#REF!</definedName>
    <definedName name="Lopt_2">Variable_Management!#REF!</definedName>
    <definedName name="mc" localSheetId="3">CCM_Loop_Modeling_Isolated!$B$53</definedName>
    <definedName name="mc">CCM_Loop_Modeling_non_isolated!$B$53</definedName>
    <definedName name="Np">Variable_Management!$B$51</definedName>
    <definedName name="NS1_">Variable_Management!$B$54</definedName>
    <definedName name="NS2_">Variable_Management!$B$64</definedName>
    <definedName name="NS3_">Variable_Management!$B$69</definedName>
    <definedName name="POUT_Total">Variable_Management!$B$40</definedName>
    <definedName name="Pout_var" localSheetId="3">CCM_Loop_Modeling_Isolated!$B$17</definedName>
    <definedName name="Pout_var">CCM_Loop_Modeling_non_isolated!$B$17</definedName>
    <definedName name="POUT1">Variable_Management!$B$18</definedName>
    <definedName name="POUT2">Variable_Management!$B$27</definedName>
    <definedName name="POUT3">Variable_Management!$B$36</definedName>
    <definedName name="Q" localSheetId="3">CCM_Loop_Modeling_Isolated!$B$55</definedName>
    <definedName name="Q">CCM_Loop_Modeling_non_isolated!$B$55</definedName>
    <definedName name="Q_VINmin">Variable_Management!$B$195</definedName>
    <definedName name="Qg_tot">Variable_Management!$B$279</definedName>
    <definedName name="Qgd">Variable_Management!$B$280</definedName>
    <definedName name="Qgs">Variable_Management!$B$281</definedName>
    <definedName name="Qrr">Variable_Management!#REF!</definedName>
    <definedName name="QRR1_">Variable_Management!$B$20</definedName>
    <definedName name="QRR2_">Variable_Management!$B$29</definedName>
    <definedName name="QRR3_">Variable_Management!$B$38</definedName>
    <definedName name="R_cs">Variable_Management!$B$109</definedName>
    <definedName name="R_sl">Variable_Management!$B$110</definedName>
    <definedName name="RCOMP">Variable_Management!$B$268</definedName>
    <definedName name="Rcomp_calc">Variable_Management!$B$267</definedName>
    <definedName name="Rcomp_iso">Variable_Management!$B$229</definedName>
    <definedName name="Rcs_max">Variable_Management!$B$98</definedName>
    <definedName name="Rcs_w_sl">Variable_Management!$B$102</definedName>
    <definedName name="Rcs_wo_sl">Variable_Management!$B$99</definedName>
    <definedName name="Rdcr">Variable_Management!$B$77</definedName>
    <definedName name="Rdcr1">Variable_Management!$B$55</definedName>
    <definedName name="Rdcr2">Variable_Management!$B$66</definedName>
    <definedName name="Rdcr3">Variable_Management!$B$71</definedName>
    <definedName name="RDS_on">Variable_Management!$B$278</definedName>
    <definedName name="Resr_total">Variable_Management!$B$151</definedName>
    <definedName name="Resr1">Variable_Management!$B$131</definedName>
    <definedName name="Resr2">Variable_Management!$B$139</definedName>
    <definedName name="Resr2_Trans">Variable_Management!$B$140</definedName>
    <definedName name="Resr3">Variable_Management!$B$147</definedName>
    <definedName name="Resr3_Trans">Variable_Management!$B$148</definedName>
    <definedName name="RFBB">Variable_Management!$B$240</definedName>
    <definedName name="RFBB_calc">Variable_Management!$B$239</definedName>
    <definedName name="RFBB_iso">Variable_Management!$B$207</definedName>
    <definedName name="RFBB_iso_calc">Variable_Management!$B$206</definedName>
    <definedName name="RFBT">Variable_Management!$B$238</definedName>
    <definedName name="RFBT_iso">Variable_Management!$B$205</definedName>
    <definedName name="Rgate">Variable_Management!$B$282</definedName>
    <definedName name="RLED">Variable_Management!$B$220</definedName>
    <definedName name="ROUT1">Variable_Management!$B$17</definedName>
    <definedName name="ROUT2">Variable_Management!$B$26</definedName>
    <definedName name="ROUT3">Variable_Management!$B$35</definedName>
    <definedName name="Rpullup">Variable_Management!$B$217</definedName>
    <definedName name="Rpullup_min">Variable_Management!$B$216</definedName>
    <definedName name="Rsl_int">Constants!$B$28</definedName>
    <definedName name="RT">Variable_Management!$B$11</definedName>
    <definedName name="Ruvlo_bottom_calc">Variable_Management!$B$168</definedName>
    <definedName name="Ruvlo_top">Variable_Management!$B$167</definedName>
    <definedName name="Ruvlo_top_calc">Variable_Management!$B$166</definedName>
    <definedName name="SCH_1">#REF!</definedName>
    <definedName name="sch_ISO_1">'Plot Management_Sch'!$F$6</definedName>
    <definedName name="sch_ISO_2">'Plot Management_Sch'!$D$6</definedName>
    <definedName name="sch_ISO_3">'Plot Management_Sch'!$B$6</definedName>
    <definedName name="sch_nISO_1">'Plot Management_Sch'!$F$4</definedName>
    <definedName name="sch_nISO_2">'Plot Management_Sch'!$D$4</definedName>
    <definedName name="sch_nISO_3">'Plot Management_Sch'!$B$4</definedName>
    <definedName name="Se_VINmin">Variable_Management!$B$191</definedName>
    <definedName name="Sn_VINmin">Variable_Management!$B$192</definedName>
    <definedName name="tf_sw">Variable_Management!$B$291</definedName>
    <definedName name="tr_sw">Variable_Management!$B$290</definedName>
    <definedName name="tss">Variable_Management!$B$157</definedName>
    <definedName name="UV_fall">Constants!$B$49</definedName>
    <definedName name="UV_I_hyst">Constants!$B$50</definedName>
    <definedName name="UV_rise">Constants!$B$48</definedName>
    <definedName name="Vcc">Constants!$B$53</definedName>
    <definedName name="VCE_sat">Variable_Management!$B$214</definedName>
    <definedName name="Vcl">Constants!$B$29</definedName>
    <definedName name="Vcomp_max">Constants!$B$37</definedName>
    <definedName name="VD">Constants!$B$8</definedName>
    <definedName name="Vd_opto">Variable_Management!$B$212</definedName>
    <definedName name="Vd_rect">Variable_Management!#REF!</definedName>
    <definedName name="VD1_">Variable_Management!$B$19</definedName>
    <definedName name="VD2_">Variable_Management!$B$28</definedName>
    <definedName name="VD3_">Variable_Management!$B$37</definedName>
    <definedName name="VIN_33" localSheetId="3">Variable_Management!#REF!</definedName>
    <definedName name="VIN_33">Variable_Management!#REF!</definedName>
    <definedName name="VIN_max">Variable_Management!$B$9</definedName>
    <definedName name="VIN_min">Variable_Management!$B$7</definedName>
    <definedName name="VIN_nom">Variable_Management!$B$8</definedName>
    <definedName name="VIN_op_max">Constants!$B$60</definedName>
    <definedName name="VIN_op_max_56">Constants!$B$61</definedName>
    <definedName name="VIN_op_min">Constants!$B$59</definedName>
    <definedName name="VIN_var">Variable_Management!$B$8</definedName>
    <definedName name="VOUT1">Variable_Management!$B$15</definedName>
    <definedName name="Vout1_rip_sel">Variable_Management!$B$126</definedName>
    <definedName name="VOUT2">Variable_Management!$B$24</definedName>
    <definedName name="Vout2_rip_sel">Variable_Management!$B$134</definedName>
    <definedName name="VOUT3">Variable_Management!$B$33</definedName>
    <definedName name="Vout3_rip_sel">Variable_Management!$B$142</definedName>
    <definedName name="Vpullup">Variable_Management!$B$215</definedName>
    <definedName name="Vref">Constants!$B$35</definedName>
    <definedName name="Vref_iso">Variable_Management!$B$204</definedName>
    <definedName name="Vth">Variable_Management!$B$285</definedName>
    <definedName name="Vuvlo_off">Variable_Management!$B$162</definedName>
    <definedName name="Vuvlo_on">Variable_Management!$B$161</definedName>
    <definedName name="wp_lf" localSheetId="3">CCM_Loop_Modeling_Isolated!$B$42</definedName>
    <definedName name="wp_lf">CCM_Loop_Modeling_non_isolated!$B$42</definedName>
    <definedName name="wp_lf_VINmin">Variable_Management!$B$180</definedName>
    <definedName name="wp0_ea">CCM_Loop_Modeling_non_isolated!$B$71</definedName>
    <definedName name="wp1_ea">CCM_Loop_Modeling_non_isolated!$B$72</definedName>
    <definedName name="wpA_ea_iso" localSheetId="3">CCM_Loop_Modeling_Isolated!$B$72</definedName>
    <definedName name="wpB_ea_iso" localSheetId="3">CCM_Loop_Modeling_Isolated!$B$73</definedName>
    <definedName name="wpC_ea_iso">CCM_Loop_Modeling_Isolated!$B$74</definedName>
    <definedName name="wsl" localSheetId="3">CCM_Loop_Modeling_Isolated!$B$54</definedName>
    <definedName name="wsl">CCM_Loop_Modeling_non_isolated!$B$54</definedName>
    <definedName name="wsl_VINmin">Variable_Management!$B$194</definedName>
    <definedName name="wz_ea">CCM_Loop_Modeling_non_isolated!$B$70</definedName>
    <definedName name="wz_esr" localSheetId="3">CCM_Loop_Modeling_Isolated!$B$48</definedName>
    <definedName name="wz_esr">CCM_Loop_Modeling_non_isolated!$B$48</definedName>
    <definedName name="wz_esr_VINmin">Variable_Management!$B$183</definedName>
    <definedName name="wz_rhp" localSheetId="3">CCM_Loop_Modeling_Isolated!$B$45</definedName>
    <definedName name="wz_rhp">CCM_Loop_Modeling_non_isolated!$B$45</definedName>
    <definedName name="wz_RHP_VINmin">Variable_Management!$B$186</definedName>
    <definedName name="wz1_ea_iso">CCM_Loop_Modeling_Isolated!$B$70</definedName>
    <definedName name="wz2_ea_iso" localSheetId="3">CCM_Loop_Modeling_Isolated!$B$71</definedName>
    <definedName name="_xlnm.Print_Area" localSheetId="0">'Design Converter'!$A$1:$AE$123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29" i="2" l="1"/>
  <c r="H230" i="2"/>
  <c r="B134" i="2" l="1"/>
  <c r="A1" i="11" l="1"/>
  <c r="A2" i="9"/>
  <c r="I5" i="9" s="1"/>
  <c r="B2" i="6" l="1"/>
  <c r="B32" i="2" l="1"/>
  <c r="B23" i="2"/>
  <c r="B28" i="2" l="1"/>
  <c r="B20" i="2"/>
  <c r="B19" i="2"/>
  <c r="B55" i="2" l="1"/>
  <c r="B231" i="2" l="1"/>
  <c r="O560" i="10"/>
  <c r="O559" i="10"/>
  <c r="O558" i="10"/>
  <c r="O557" i="10"/>
  <c r="O556" i="10"/>
  <c r="O555" i="10"/>
  <c r="O554" i="10"/>
  <c r="O553" i="10"/>
  <c r="O552" i="10"/>
  <c r="O551" i="10"/>
  <c r="O550" i="10"/>
  <c r="O549" i="10"/>
  <c r="O548" i="10"/>
  <c r="O547" i="10"/>
  <c r="O546" i="10"/>
  <c r="O545" i="10"/>
  <c r="O544" i="10"/>
  <c r="O543" i="10"/>
  <c r="O542" i="10"/>
  <c r="O541" i="10"/>
  <c r="O540" i="10"/>
  <c r="O539" i="10"/>
  <c r="O538" i="10"/>
  <c r="O537" i="10"/>
  <c r="O536" i="10"/>
  <c r="O535" i="10"/>
  <c r="O534" i="10"/>
  <c r="O533" i="10"/>
  <c r="O532" i="10"/>
  <c r="O531" i="10"/>
  <c r="O530" i="10"/>
  <c r="O529" i="10"/>
  <c r="O528" i="10"/>
  <c r="O527" i="10"/>
  <c r="O526" i="10"/>
  <c r="O525" i="10"/>
  <c r="O524" i="10"/>
  <c r="O523" i="10"/>
  <c r="O522" i="10"/>
  <c r="O521" i="10"/>
  <c r="O520" i="10"/>
  <c r="O519" i="10"/>
  <c r="O518" i="10"/>
  <c r="O517" i="10"/>
  <c r="O516" i="10"/>
  <c r="O515" i="10"/>
  <c r="O514" i="10"/>
  <c r="O513" i="10"/>
  <c r="O512" i="10"/>
  <c r="O511" i="10"/>
  <c r="O510" i="10"/>
  <c r="O509" i="10"/>
  <c r="O508" i="10"/>
  <c r="O507" i="10"/>
  <c r="O506" i="10"/>
  <c r="O505" i="10"/>
  <c r="O504" i="10"/>
  <c r="O503" i="10"/>
  <c r="O502" i="10"/>
  <c r="O501" i="10"/>
  <c r="O500" i="10"/>
  <c r="O499" i="10"/>
  <c r="O498" i="10"/>
  <c r="O497" i="10"/>
  <c r="O496" i="10"/>
  <c r="O495" i="10"/>
  <c r="O494" i="10"/>
  <c r="O493" i="10"/>
  <c r="O492" i="10"/>
  <c r="O491" i="10"/>
  <c r="O490" i="10"/>
  <c r="O489" i="10"/>
  <c r="O488" i="10"/>
  <c r="O487" i="10"/>
  <c r="O486" i="10"/>
  <c r="O485" i="10"/>
  <c r="O484" i="10"/>
  <c r="O483" i="10"/>
  <c r="O482" i="10"/>
  <c r="O481" i="10"/>
  <c r="O480" i="10"/>
  <c r="O479" i="10"/>
  <c r="O478" i="10"/>
  <c r="O477" i="10"/>
  <c r="O476" i="10"/>
  <c r="O475" i="10"/>
  <c r="O474" i="10"/>
  <c r="O473" i="10"/>
  <c r="O472" i="10"/>
  <c r="O471" i="10"/>
  <c r="O470" i="10"/>
  <c r="O469" i="10"/>
  <c r="O468" i="10"/>
  <c r="O467" i="10"/>
  <c r="O466" i="10"/>
  <c r="O465" i="10"/>
  <c r="O464" i="10"/>
  <c r="O463" i="10"/>
  <c r="O462" i="10"/>
  <c r="O461" i="10"/>
  <c r="O460" i="10"/>
  <c r="O459" i="10"/>
  <c r="O458" i="10"/>
  <c r="O457" i="10"/>
  <c r="O456" i="10"/>
  <c r="O455" i="10"/>
  <c r="O454" i="10"/>
  <c r="O453" i="10"/>
  <c r="O452" i="10"/>
  <c r="O451" i="10"/>
  <c r="O450" i="10"/>
  <c r="O449" i="10"/>
  <c r="O448" i="10"/>
  <c r="O447" i="10"/>
  <c r="O446" i="10"/>
  <c r="O445" i="10"/>
  <c r="O444" i="10"/>
  <c r="O443" i="10"/>
  <c r="O442" i="10"/>
  <c r="O441" i="10"/>
  <c r="O440" i="10"/>
  <c r="O439" i="10"/>
  <c r="O438" i="10"/>
  <c r="O437" i="10"/>
  <c r="O436" i="10"/>
  <c r="O435" i="10"/>
  <c r="O434" i="10"/>
  <c r="O433" i="10"/>
  <c r="O432" i="10"/>
  <c r="O431" i="10"/>
  <c r="O430" i="10"/>
  <c r="O429" i="10"/>
  <c r="O428" i="10"/>
  <c r="O427" i="10"/>
  <c r="O426" i="10"/>
  <c r="O425" i="10"/>
  <c r="O424" i="10"/>
  <c r="O423" i="10"/>
  <c r="O422" i="10"/>
  <c r="O421" i="10"/>
  <c r="O420" i="10"/>
  <c r="O419" i="10"/>
  <c r="O418" i="10"/>
  <c r="O417" i="10"/>
  <c r="O416" i="10"/>
  <c r="O415" i="10"/>
  <c r="O414" i="10"/>
  <c r="O413" i="10"/>
  <c r="O412" i="10"/>
  <c r="O411" i="10"/>
  <c r="O410" i="10"/>
  <c r="O409" i="10"/>
  <c r="O408" i="10"/>
  <c r="O407" i="10"/>
  <c r="O406" i="10"/>
  <c r="O405" i="10"/>
  <c r="O404" i="10"/>
  <c r="O403" i="10"/>
  <c r="O402" i="10"/>
  <c r="O401" i="10"/>
  <c r="O400" i="10"/>
  <c r="O399" i="10"/>
  <c r="O398" i="10"/>
  <c r="O397" i="10"/>
  <c r="O396" i="10"/>
  <c r="O395" i="10"/>
  <c r="O394" i="10"/>
  <c r="O393" i="10"/>
  <c r="O392" i="10"/>
  <c r="O391" i="10"/>
  <c r="O390" i="10"/>
  <c r="O389" i="10"/>
  <c r="O388" i="10"/>
  <c r="O387" i="10"/>
  <c r="O386" i="10"/>
  <c r="O385" i="10"/>
  <c r="O384" i="10"/>
  <c r="O383" i="10"/>
  <c r="O382" i="10"/>
  <c r="O381" i="10"/>
  <c r="O380" i="10"/>
  <c r="O379" i="10"/>
  <c r="O378" i="10"/>
  <c r="O377" i="10"/>
  <c r="O376" i="10"/>
  <c r="O375" i="10"/>
  <c r="O374" i="10"/>
  <c r="O373" i="10"/>
  <c r="O372" i="10"/>
  <c r="O371" i="10"/>
  <c r="O370" i="10"/>
  <c r="O369" i="10"/>
  <c r="O368" i="10"/>
  <c r="O367" i="10"/>
  <c r="O366" i="10"/>
  <c r="O365" i="10"/>
  <c r="O364" i="10"/>
  <c r="O363" i="10"/>
  <c r="O362" i="10"/>
  <c r="O361" i="10"/>
  <c r="O360" i="10"/>
  <c r="O359" i="10"/>
  <c r="O358" i="10"/>
  <c r="O357" i="10"/>
  <c r="O356" i="10"/>
  <c r="O355" i="10"/>
  <c r="O354" i="10"/>
  <c r="O353" i="10"/>
  <c r="O352" i="10"/>
  <c r="O351" i="10"/>
  <c r="O350" i="10"/>
  <c r="O349" i="10"/>
  <c r="O348" i="10"/>
  <c r="O347" i="10"/>
  <c r="O346" i="10"/>
  <c r="O345" i="10"/>
  <c r="O344" i="10"/>
  <c r="O343" i="10"/>
  <c r="O342" i="10"/>
  <c r="O341" i="10"/>
  <c r="O340" i="10"/>
  <c r="O339" i="10"/>
  <c r="O338" i="10"/>
  <c r="O337" i="10"/>
  <c r="O336" i="10"/>
  <c r="O335" i="10"/>
  <c r="O334" i="10"/>
  <c r="O333" i="10"/>
  <c r="O332" i="10"/>
  <c r="O331" i="10"/>
  <c r="O330" i="10"/>
  <c r="O329" i="10"/>
  <c r="O328" i="10"/>
  <c r="O327" i="10"/>
  <c r="O326" i="10"/>
  <c r="O325" i="10"/>
  <c r="O324" i="10"/>
  <c r="O323" i="10"/>
  <c r="O322" i="10"/>
  <c r="O321" i="10"/>
  <c r="O320" i="10"/>
  <c r="O319" i="10"/>
  <c r="O318" i="10"/>
  <c r="O317" i="10"/>
  <c r="O316" i="10"/>
  <c r="O315" i="10"/>
  <c r="O314" i="10"/>
  <c r="O313" i="10"/>
  <c r="O312" i="10"/>
  <c r="O311" i="10"/>
  <c r="O310" i="10"/>
  <c r="O309" i="10"/>
  <c r="O308" i="10"/>
  <c r="O307" i="10"/>
  <c r="O306" i="10"/>
  <c r="O305" i="10"/>
  <c r="O304" i="10"/>
  <c r="O303" i="10"/>
  <c r="O302" i="10"/>
  <c r="O301" i="10"/>
  <c r="O300" i="10"/>
  <c r="O299" i="10"/>
  <c r="O298" i="10"/>
  <c r="O297" i="10"/>
  <c r="O296" i="10"/>
  <c r="O295" i="10"/>
  <c r="O294" i="10"/>
  <c r="O293" i="10"/>
  <c r="O292" i="10"/>
  <c r="O291" i="10"/>
  <c r="O290" i="10"/>
  <c r="O289" i="10"/>
  <c r="O288" i="10"/>
  <c r="O287" i="10"/>
  <c r="O286" i="10"/>
  <c r="O285" i="10"/>
  <c r="O284" i="10"/>
  <c r="O283" i="10"/>
  <c r="O282" i="10"/>
  <c r="O281" i="10"/>
  <c r="O280" i="10"/>
  <c r="O279" i="10"/>
  <c r="O278" i="10"/>
  <c r="O277" i="10"/>
  <c r="O276" i="10"/>
  <c r="O275" i="10"/>
  <c r="O274" i="10"/>
  <c r="O273" i="10"/>
  <c r="O272" i="10"/>
  <c r="O271" i="10"/>
  <c r="O270" i="10"/>
  <c r="O269" i="10"/>
  <c r="O268" i="10"/>
  <c r="O267" i="10"/>
  <c r="O266" i="10"/>
  <c r="O265" i="10"/>
  <c r="O264" i="10"/>
  <c r="O263" i="10"/>
  <c r="O262" i="10"/>
  <c r="O261" i="10"/>
  <c r="O260" i="10"/>
  <c r="O259" i="10"/>
  <c r="O258" i="10"/>
  <c r="O257" i="10"/>
  <c r="O256" i="10"/>
  <c r="O255" i="10"/>
  <c r="O254" i="10"/>
  <c r="O253" i="10"/>
  <c r="O252" i="10"/>
  <c r="O251" i="10"/>
  <c r="O250" i="10"/>
  <c r="O249" i="10"/>
  <c r="O248" i="10"/>
  <c r="O247" i="10"/>
  <c r="O246" i="10"/>
  <c r="O245" i="10"/>
  <c r="O244" i="10"/>
  <c r="O243" i="10"/>
  <c r="O242" i="10"/>
  <c r="O241" i="10"/>
  <c r="O240" i="10"/>
  <c r="O239" i="10"/>
  <c r="O238" i="10"/>
  <c r="O237" i="10"/>
  <c r="O236" i="10"/>
  <c r="O235" i="10"/>
  <c r="O234" i="10"/>
  <c r="O233" i="10"/>
  <c r="O232" i="10"/>
  <c r="O231" i="10"/>
  <c r="O230" i="10"/>
  <c r="O229" i="10"/>
  <c r="O228" i="10"/>
  <c r="O227" i="10"/>
  <c r="O226" i="10"/>
  <c r="O225" i="10"/>
  <c r="O224" i="10"/>
  <c r="O223" i="10"/>
  <c r="O222" i="10"/>
  <c r="O221" i="10"/>
  <c r="O220" i="10"/>
  <c r="O219" i="10"/>
  <c r="O218" i="10"/>
  <c r="O217" i="10"/>
  <c r="O216" i="10"/>
  <c r="O215" i="10"/>
  <c r="O214" i="10"/>
  <c r="O213" i="10"/>
  <c r="O212" i="10"/>
  <c r="O211" i="10"/>
  <c r="O210" i="10"/>
  <c r="O209" i="10"/>
  <c r="O208" i="10"/>
  <c r="O207" i="10"/>
  <c r="O206" i="10"/>
  <c r="O205" i="10"/>
  <c r="O204" i="10"/>
  <c r="O203" i="10"/>
  <c r="O202" i="10"/>
  <c r="O201" i="10"/>
  <c r="O200" i="10"/>
  <c r="O199" i="10"/>
  <c r="O198" i="10"/>
  <c r="O197" i="10"/>
  <c r="O196" i="10"/>
  <c r="O195" i="10"/>
  <c r="O194" i="10"/>
  <c r="O193" i="10"/>
  <c r="O192" i="10"/>
  <c r="O191" i="10"/>
  <c r="O190" i="10"/>
  <c r="O189" i="10"/>
  <c r="O188" i="10"/>
  <c r="O187" i="10"/>
  <c r="O186" i="10"/>
  <c r="O185" i="10"/>
  <c r="O184" i="10"/>
  <c r="O183" i="10"/>
  <c r="O182" i="10"/>
  <c r="O181" i="10"/>
  <c r="O180" i="10"/>
  <c r="O179" i="10"/>
  <c r="O178" i="10"/>
  <c r="O177" i="10"/>
  <c r="O176" i="10"/>
  <c r="O175" i="10"/>
  <c r="O174" i="10"/>
  <c r="O173" i="10"/>
  <c r="O172" i="10"/>
  <c r="O171" i="10"/>
  <c r="O170" i="10"/>
  <c r="O169" i="10"/>
  <c r="O168" i="10"/>
  <c r="O167" i="10"/>
  <c r="O166" i="10"/>
  <c r="O165" i="10"/>
  <c r="O164" i="10"/>
  <c r="O163" i="10"/>
  <c r="O162" i="10"/>
  <c r="O161" i="10"/>
  <c r="O160" i="10"/>
  <c r="O159" i="10"/>
  <c r="O158" i="10"/>
  <c r="O157" i="10"/>
  <c r="O156" i="10"/>
  <c r="O155" i="10"/>
  <c r="O154" i="10"/>
  <c r="O153" i="10"/>
  <c r="O152" i="10"/>
  <c r="O151" i="10"/>
  <c r="O150" i="10"/>
  <c r="O149" i="10"/>
  <c r="O148" i="10"/>
  <c r="O147" i="10"/>
  <c r="O146" i="10"/>
  <c r="O145" i="10"/>
  <c r="O144" i="10"/>
  <c r="O143" i="10"/>
  <c r="O142" i="10"/>
  <c r="O141" i="10"/>
  <c r="O140" i="10"/>
  <c r="O139" i="10"/>
  <c r="O138" i="10"/>
  <c r="O137" i="10"/>
  <c r="O136" i="10"/>
  <c r="O135" i="10"/>
  <c r="O134" i="10"/>
  <c r="O133" i="10"/>
  <c r="O132" i="10"/>
  <c r="O131" i="10"/>
  <c r="O130" i="10"/>
  <c r="O129" i="10"/>
  <c r="O128" i="10"/>
  <c r="O127" i="10"/>
  <c r="O126" i="10"/>
  <c r="O125" i="10"/>
  <c r="O124" i="10"/>
  <c r="O123" i="10"/>
  <c r="O122" i="10"/>
  <c r="O121" i="10"/>
  <c r="O120" i="10"/>
  <c r="O119" i="10"/>
  <c r="O118" i="10"/>
  <c r="O117" i="10"/>
  <c r="O116" i="10"/>
  <c r="O115" i="10"/>
  <c r="O114" i="10"/>
  <c r="O113" i="10"/>
  <c r="O112" i="10"/>
  <c r="O111" i="10"/>
  <c r="O110" i="10"/>
  <c r="O109" i="10"/>
  <c r="O108" i="10"/>
  <c r="O107" i="10"/>
  <c r="O106" i="10"/>
  <c r="O105" i="10"/>
  <c r="O104" i="10"/>
  <c r="O103" i="10"/>
  <c r="O102" i="10"/>
  <c r="O101" i="10"/>
  <c r="O100" i="10"/>
  <c r="O99" i="10"/>
  <c r="O98" i="10"/>
  <c r="O97" i="10"/>
  <c r="O96" i="10"/>
  <c r="O95" i="10"/>
  <c r="O94" i="10"/>
  <c r="O93" i="10"/>
  <c r="O92" i="10"/>
  <c r="O91" i="10"/>
  <c r="O90" i="10"/>
  <c r="O89" i="10"/>
  <c r="O88" i="10"/>
  <c r="O87" i="10"/>
  <c r="O86" i="10"/>
  <c r="O85" i="10"/>
  <c r="O84" i="10"/>
  <c r="O83" i="10"/>
  <c r="O82" i="10"/>
  <c r="O81" i="10"/>
  <c r="O80" i="10"/>
  <c r="O79" i="10"/>
  <c r="O78" i="10"/>
  <c r="O77" i="10"/>
  <c r="O76" i="10"/>
  <c r="O75" i="10"/>
  <c r="O74" i="10"/>
  <c r="O73" i="10"/>
  <c r="O72" i="10"/>
  <c r="O71" i="10"/>
  <c r="O70" i="10"/>
  <c r="O69" i="10"/>
  <c r="O68" i="10"/>
  <c r="O67" i="10"/>
  <c r="O66" i="10"/>
  <c r="O65" i="10"/>
  <c r="O64" i="10"/>
  <c r="O63" i="10"/>
  <c r="O62" i="10"/>
  <c r="O61" i="10"/>
  <c r="O60" i="10"/>
  <c r="O59" i="10"/>
  <c r="O58" i="10"/>
  <c r="O57" i="10"/>
  <c r="O56" i="10"/>
  <c r="O55" i="10"/>
  <c r="O54" i="10"/>
  <c r="O53" i="10"/>
  <c r="O52" i="10"/>
  <c r="O51" i="10"/>
  <c r="O50" i="10"/>
  <c r="O49" i="10"/>
  <c r="O48" i="10"/>
  <c r="O47" i="10"/>
  <c r="O46" i="10"/>
  <c r="O45" i="10"/>
  <c r="O44" i="10"/>
  <c r="O43" i="10"/>
  <c r="O42" i="10"/>
  <c r="O41" i="10"/>
  <c r="O40" i="10"/>
  <c r="O39" i="10"/>
  <c r="O38" i="10"/>
  <c r="O37" i="10"/>
  <c r="O36" i="10"/>
  <c r="B36" i="10"/>
  <c r="O35" i="10"/>
  <c r="O34" i="10"/>
  <c r="O33" i="10"/>
  <c r="B33" i="10"/>
  <c r="O32" i="10"/>
  <c r="O31" i="10"/>
  <c r="O30" i="10"/>
  <c r="O29" i="10"/>
  <c r="O28" i="10"/>
  <c r="O27" i="10"/>
  <c r="O26" i="10"/>
  <c r="O25" i="10"/>
  <c r="O24" i="10"/>
  <c r="O23" i="10"/>
  <c r="O22" i="10"/>
  <c r="O21" i="10"/>
  <c r="O20" i="10"/>
  <c r="O19" i="10"/>
  <c r="AG19" i="10" s="1"/>
  <c r="B229" i="2"/>
  <c r="G222" i="2"/>
  <c r="F222" i="2"/>
  <c r="B220" i="2"/>
  <c r="B214" i="2"/>
  <c r="B226" i="2"/>
  <c r="B217" i="2"/>
  <c r="B215" i="2"/>
  <c r="B216" i="2" s="1"/>
  <c r="H76" i="1" s="1"/>
  <c r="B213" i="2"/>
  <c r="I72" i="10" s="1"/>
  <c r="B38" i="3"/>
  <c r="B212" i="2"/>
  <c r="B211" i="2"/>
  <c r="B210" i="2"/>
  <c r="B207" i="2"/>
  <c r="B64" i="10" s="1"/>
  <c r="B205" i="2"/>
  <c r="B63" i="10" s="1"/>
  <c r="B204" i="2"/>
  <c r="E232" i="2" l="1"/>
  <c r="K222" i="2"/>
  <c r="B69" i="10"/>
  <c r="AF8" i="10" s="1"/>
  <c r="B65" i="10"/>
  <c r="B71" i="10"/>
  <c r="AP19" i="10" s="1"/>
  <c r="B66" i="10"/>
  <c r="B73" i="10"/>
  <c r="B70" i="10"/>
  <c r="AM19" i="10" s="1"/>
  <c r="B72" i="10"/>
  <c r="AG31" i="10"/>
  <c r="AG33" i="10"/>
  <c r="AG39" i="10"/>
  <c r="AG47" i="10"/>
  <c r="AG57" i="10"/>
  <c r="AG69" i="10"/>
  <c r="AG81" i="10"/>
  <c r="AG89" i="10"/>
  <c r="AG97" i="10"/>
  <c r="AG105" i="10"/>
  <c r="AG113" i="10"/>
  <c r="AG121" i="10"/>
  <c r="AG129" i="10"/>
  <c r="AG137" i="10"/>
  <c r="AG145" i="10"/>
  <c r="AG153" i="10"/>
  <c r="AG161" i="10"/>
  <c r="AG165" i="10"/>
  <c r="AG173" i="10"/>
  <c r="AG181" i="10"/>
  <c r="AG189" i="10"/>
  <c r="AG197" i="10"/>
  <c r="AG205" i="10"/>
  <c r="AG213" i="10"/>
  <c r="AG221" i="10"/>
  <c r="AG229" i="10"/>
  <c r="AG237" i="10"/>
  <c r="AG245" i="10"/>
  <c r="AG253" i="10"/>
  <c r="AG261" i="10"/>
  <c r="AG269" i="10"/>
  <c r="AG277" i="10"/>
  <c r="AG285" i="10"/>
  <c r="AG289" i="10"/>
  <c r="AG297" i="10"/>
  <c r="AG305" i="10"/>
  <c r="AG313" i="10"/>
  <c r="AG321" i="10"/>
  <c r="AG329" i="10"/>
  <c r="AG337" i="10"/>
  <c r="AG349" i="10"/>
  <c r="AG353" i="10"/>
  <c r="AG361" i="10"/>
  <c r="AG369" i="10"/>
  <c r="AG377" i="10"/>
  <c r="AG385" i="10"/>
  <c r="AG397" i="10"/>
  <c r="AG405" i="10"/>
  <c r="AG413" i="10"/>
  <c r="AG421" i="10"/>
  <c r="AG429" i="10"/>
  <c r="AG437" i="10"/>
  <c r="AG445" i="10"/>
  <c r="AG453" i="10"/>
  <c r="AG461" i="10"/>
  <c r="AG469" i="10"/>
  <c r="AG477" i="10"/>
  <c r="AG485" i="10"/>
  <c r="AG493" i="10"/>
  <c r="AG497" i="10"/>
  <c r="AG505" i="10"/>
  <c r="AG517" i="10"/>
  <c r="AG525" i="10"/>
  <c r="AG533" i="10"/>
  <c r="AG537" i="10"/>
  <c r="AG545" i="10"/>
  <c r="AG553" i="10"/>
  <c r="AG20" i="10"/>
  <c r="AG26" i="10"/>
  <c r="AG36" i="10"/>
  <c r="AG48" i="10"/>
  <c r="AG58" i="10"/>
  <c r="AG66" i="10"/>
  <c r="AG78" i="10"/>
  <c r="AG86" i="10"/>
  <c r="AG94" i="10"/>
  <c r="AG102" i="10"/>
  <c r="AG110" i="10"/>
  <c r="AG118" i="10"/>
  <c r="AG126" i="10"/>
  <c r="AG138" i="10"/>
  <c r="AG146" i="10"/>
  <c r="AG154" i="10"/>
  <c r="AG162" i="10"/>
  <c r="AG170" i="10"/>
  <c r="AG178" i="10"/>
  <c r="AG186" i="10"/>
  <c r="AG194" i="10"/>
  <c r="AG202" i="10"/>
  <c r="AG206" i="10"/>
  <c r="AG214" i="10"/>
  <c r="AG222" i="10"/>
  <c r="AG230" i="10"/>
  <c r="AG238" i="10"/>
  <c r="AG246" i="10"/>
  <c r="AG254" i="10"/>
  <c r="AG262" i="10"/>
  <c r="AG270" i="10"/>
  <c r="AG282" i="10"/>
  <c r="AG290" i="10"/>
  <c r="AG298" i="10"/>
  <c r="AG306" i="10"/>
  <c r="AG314" i="10"/>
  <c r="AG322" i="10"/>
  <c r="AG330" i="10"/>
  <c r="AG338" i="10"/>
  <c r="AG346" i="10"/>
  <c r="AG354" i="10"/>
  <c r="AG362" i="10"/>
  <c r="AG370" i="10"/>
  <c r="AG378" i="10"/>
  <c r="AG386" i="10"/>
  <c r="AG394" i="10"/>
  <c r="AG402" i="10"/>
  <c r="AG410" i="10"/>
  <c r="AG414" i="10"/>
  <c r="AG422" i="10"/>
  <c r="AG434" i="10"/>
  <c r="AG442" i="10"/>
  <c r="AG450" i="10"/>
  <c r="AG454" i="10"/>
  <c r="AG458" i="10"/>
  <c r="AG466" i="10"/>
  <c r="AG470" i="10"/>
  <c r="AG474" i="10"/>
  <c r="AG478" i="10"/>
  <c r="AG482" i="10"/>
  <c r="AG486" i="10"/>
  <c r="AG490" i="10"/>
  <c r="AG494" i="10"/>
  <c r="AG498" i="10"/>
  <c r="AG502" i="10"/>
  <c r="AG506" i="10"/>
  <c r="AG510" i="10"/>
  <c r="AG514" i="10"/>
  <c r="AG518" i="10"/>
  <c r="AG522" i="10"/>
  <c r="AG526" i="10"/>
  <c r="AG530" i="10"/>
  <c r="AG538" i="10"/>
  <c r="AG542" i="10"/>
  <c r="AG546" i="10"/>
  <c r="AG550" i="10"/>
  <c r="AG554" i="10"/>
  <c r="AG558" i="10"/>
  <c r="AG21" i="10"/>
  <c r="AG27" i="10"/>
  <c r="AG30" i="10"/>
  <c r="AG32" i="10"/>
  <c r="AG34" i="10"/>
  <c r="AG37" i="10"/>
  <c r="AG41" i="10"/>
  <c r="AG45" i="10"/>
  <c r="AG49" i="10"/>
  <c r="AG52" i="10"/>
  <c r="AG55" i="10"/>
  <c r="AG59" i="10"/>
  <c r="AG63" i="10"/>
  <c r="AG67" i="10"/>
  <c r="AG71" i="10"/>
  <c r="AG75" i="10"/>
  <c r="AG79" i="10"/>
  <c r="AG83" i="10"/>
  <c r="AG87" i="10"/>
  <c r="AG91" i="10"/>
  <c r="AG95" i="10"/>
  <c r="AG99" i="10"/>
  <c r="AG103" i="10"/>
  <c r="AG107" i="10"/>
  <c r="AG111" i="10"/>
  <c r="AG115" i="10"/>
  <c r="AG119" i="10"/>
  <c r="AG123" i="10"/>
  <c r="AG127" i="10"/>
  <c r="AG131" i="10"/>
  <c r="AG135" i="10"/>
  <c r="AG139" i="10"/>
  <c r="AG143" i="10"/>
  <c r="AG147" i="10"/>
  <c r="AG151" i="10"/>
  <c r="AG155" i="10"/>
  <c r="AG159" i="10"/>
  <c r="AG163" i="10"/>
  <c r="AG167" i="10"/>
  <c r="AG171" i="10"/>
  <c r="AG175" i="10"/>
  <c r="AG179" i="10"/>
  <c r="AG183" i="10"/>
  <c r="AG187" i="10"/>
  <c r="AG191" i="10"/>
  <c r="AG195" i="10"/>
  <c r="AG199" i="10"/>
  <c r="AG203" i="10"/>
  <c r="AG207" i="10"/>
  <c r="AG211" i="10"/>
  <c r="AG215" i="10"/>
  <c r="AG219" i="10"/>
  <c r="AG223" i="10"/>
  <c r="AG227" i="10"/>
  <c r="AG231" i="10"/>
  <c r="AG235" i="10"/>
  <c r="AG239" i="10"/>
  <c r="AG243" i="10"/>
  <c r="AG247" i="10"/>
  <c r="AG251" i="10"/>
  <c r="AG255" i="10"/>
  <c r="AG259" i="10"/>
  <c r="AG263" i="10"/>
  <c r="AG267" i="10"/>
  <c r="AG271" i="10"/>
  <c r="AG275" i="10"/>
  <c r="AG279" i="10"/>
  <c r="AG283" i="10"/>
  <c r="AG287" i="10"/>
  <c r="AG291" i="10"/>
  <c r="AG295" i="10"/>
  <c r="AG299" i="10"/>
  <c r="AG303" i="10"/>
  <c r="AG307" i="10"/>
  <c r="AG311" i="10"/>
  <c r="AG315" i="10"/>
  <c r="AG319" i="10"/>
  <c r="AG323" i="10"/>
  <c r="AG327" i="10"/>
  <c r="AG331" i="10"/>
  <c r="AG335" i="10"/>
  <c r="AG339" i="10"/>
  <c r="AG343" i="10"/>
  <c r="AG347" i="10"/>
  <c r="AG351" i="10"/>
  <c r="AG355" i="10"/>
  <c r="AG359" i="10"/>
  <c r="AG363" i="10"/>
  <c r="AG367" i="10"/>
  <c r="AG371" i="10"/>
  <c r="AG375" i="10"/>
  <c r="AG379" i="10"/>
  <c r="AG383" i="10"/>
  <c r="AG387" i="10"/>
  <c r="AG391" i="10"/>
  <c r="AG395" i="10"/>
  <c r="AG399" i="10"/>
  <c r="AG403" i="10"/>
  <c r="AG407" i="10"/>
  <c r="AG411" i="10"/>
  <c r="AG415" i="10"/>
  <c r="AG419" i="10"/>
  <c r="AG423" i="10"/>
  <c r="AG427" i="10"/>
  <c r="AG431" i="10"/>
  <c r="AG435" i="10"/>
  <c r="AG439" i="10"/>
  <c r="AG443" i="10"/>
  <c r="AG447" i="10"/>
  <c r="AG451" i="10"/>
  <c r="AG455" i="10"/>
  <c r="AG459" i="10"/>
  <c r="AG463" i="10"/>
  <c r="AG467" i="10"/>
  <c r="AG471" i="10"/>
  <c r="AG475" i="10"/>
  <c r="AG479" i="10"/>
  <c r="AG483" i="10"/>
  <c r="AG487" i="10"/>
  <c r="AG491" i="10"/>
  <c r="AG495" i="10"/>
  <c r="AG499" i="10"/>
  <c r="AG503" i="10"/>
  <c r="AG507" i="10"/>
  <c r="AG511" i="10"/>
  <c r="AG515" i="10"/>
  <c r="AG519" i="10"/>
  <c r="AG523" i="10"/>
  <c r="AG527" i="10"/>
  <c r="AG531" i="10"/>
  <c r="AG535" i="10"/>
  <c r="AG539" i="10"/>
  <c r="AG543" i="10"/>
  <c r="AG547" i="10"/>
  <c r="AG551" i="10"/>
  <c r="AG555" i="10"/>
  <c r="AG559" i="10"/>
  <c r="AG23" i="10"/>
  <c r="AG43" i="10"/>
  <c r="AG61" i="10"/>
  <c r="AG65" i="10"/>
  <c r="AG73" i="10"/>
  <c r="AG77" i="10"/>
  <c r="AG85" i="10"/>
  <c r="AG93" i="10"/>
  <c r="AG101" i="10"/>
  <c r="AG109" i="10"/>
  <c r="AG117" i="10"/>
  <c r="AG125" i="10"/>
  <c r="AG133" i="10"/>
  <c r="AG141" i="10"/>
  <c r="AG149" i="10"/>
  <c r="AG157" i="10"/>
  <c r="AG169" i="10"/>
  <c r="AG177" i="10"/>
  <c r="AG185" i="10"/>
  <c r="AG193" i="10"/>
  <c r="AG201" i="10"/>
  <c r="AG209" i="10"/>
  <c r="AG217" i="10"/>
  <c r="AG225" i="10"/>
  <c r="AG233" i="10"/>
  <c r="AG241" i="10"/>
  <c r="AG249" i="10"/>
  <c r="AG257" i="10"/>
  <c r="AG265" i="10"/>
  <c r="AG273" i="10"/>
  <c r="AG281" i="10"/>
  <c r="AG293" i="10"/>
  <c r="AG301" i="10"/>
  <c r="AG309" i="10"/>
  <c r="AG317" i="10"/>
  <c r="AG325" i="10"/>
  <c r="AG333" i="10"/>
  <c r="AG341" i="10"/>
  <c r="AG345" i="10"/>
  <c r="AG357" i="10"/>
  <c r="AG365" i="10"/>
  <c r="AG373" i="10"/>
  <c r="AG381" i="10"/>
  <c r="AG389" i="10"/>
  <c r="AG393" i="10"/>
  <c r="AG401" i="10"/>
  <c r="AG409" i="10"/>
  <c r="AG417" i="10"/>
  <c r="AG425" i="10"/>
  <c r="AG433" i="10"/>
  <c r="AG441" i="10"/>
  <c r="AG449" i="10"/>
  <c r="AG457" i="10"/>
  <c r="AG465" i="10"/>
  <c r="AG473" i="10"/>
  <c r="AG481" i="10"/>
  <c r="AG489" i="10"/>
  <c r="AG501" i="10"/>
  <c r="AG509" i="10"/>
  <c r="AG513" i="10"/>
  <c r="AG521" i="10"/>
  <c r="AG529" i="10"/>
  <c r="AG541" i="10"/>
  <c r="AG549" i="10"/>
  <c r="AG557" i="10"/>
  <c r="AG24" i="10"/>
  <c r="AG29" i="10"/>
  <c r="AG40" i="10"/>
  <c r="AG44" i="10"/>
  <c r="AG51" i="10"/>
  <c r="AG54" i="10"/>
  <c r="AG62" i="10"/>
  <c r="AG70" i="10"/>
  <c r="AG74" i="10"/>
  <c r="AG82" i="10"/>
  <c r="AG90" i="10"/>
  <c r="AG98" i="10"/>
  <c r="AG106" i="10"/>
  <c r="AG114" i="10"/>
  <c r="AG122" i="10"/>
  <c r="AG130" i="10"/>
  <c r="AG134" i="10"/>
  <c r="AG142" i="10"/>
  <c r="AG150" i="10"/>
  <c r="AG158" i="10"/>
  <c r="AG166" i="10"/>
  <c r="AG174" i="10"/>
  <c r="AG182" i="10"/>
  <c r="AG190" i="10"/>
  <c r="AG198" i="10"/>
  <c r="AG210" i="10"/>
  <c r="AG218" i="10"/>
  <c r="AG226" i="10"/>
  <c r="AG234" i="10"/>
  <c r="AG242" i="10"/>
  <c r="AG250" i="10"/>
  <c r="AG258" i="10"/>
  <c r="AG266" i="10"/>
  <c r="AG274" i="10"/>
  <c r="AG278" i="10"/>
  <c r="AG286" i="10"/>
  <c r="AG294" i="10"/>
  <c r="AG302" i="10"/>
  <c r="AG310" i="10"/>
  <c r="AG318" i="10"/>
  <c r="AG326" i="10"/>
  <c r="AG334" i="10"/>
  <c r="AG342" i="10"/>
  <c r="AG350" i="10"/>
  <c r="AG358" i="10"/>
  <c r="AG366" i="10"/>
  <c r="AG374" i="10"/>
  <c r="AG382" i="10"/>
  <c r="AG390" i="10"/>
  <c r="AG398" i="10"/>
  <c r="AG406" i="10"/>
  <c r="AG418" i="10"/>
  <c r="AG426" i="10"/>
  <c r="AG430" i="10"/>
  <c r="AG438" i="10"/>
  <c r="AG446" i="10"/>
  <c r="AG462" i="10"/>
  <c r="AG534" i="10"/>
  <c r="AG22" i="10"/>
  <c r="AG25" i="10"/>
  <c r="AG28" i="10"/>
  <c r="AG35" i="10"/>
  <c r="AG38" i="10"/>
  <c r="AG42" i="10"/>
  <c r="AG46" i="10"/>
  <c r="AG50" i="10"/>
  <c r="AG53" i="10"/>
  <c r="AG56" i="10"/>
  <c r="AG60" i="10"/>
  <c r="AG64" i="10"/>
  <c r="AG68" i="10"/>
  <c r="AG72" i="10"/>
  <c r="AG76" i="10"/>
  <c r="AG80" i="10"/>
  <c r="AG84" i="10"/>
  <c r="AG88" i="10"/>
  <c r="AG92" i="10"/>
  <c r="AG96" i="10"/>
  <c r="AG100" i="10"/>
  <c r="AG104" i="10"/>
  <c r="AG108" i="10"/>
  <c r="AG112" i="10"/>
  <c r="AG116" i="10"/>
  <c r="AG120" i="10"/>
  <c r="AG124" i="10"/>
  <c r="AG128" i="10"/>
  <c r="AG132" i="10"/>
  <c r="AG136" i="10"/>
  <c r="AG140" i="10"/>
  <c r="AG144" i="10"/>
  <c r="AG148" i="10"/>
  <c r="AG152" i="10"/>
  <c r="AG156" i="10"/>
  <c r="AG160" i="10"/>
  <c r="AG164" i="10"/>
  <c r="AG168" i="10"/>
  <c r="AG172" i="10"/>
  <c r="AG176" i="10"/>
  <c r="AG180" i="10"/>
  <c r="AG184" i="10"/>
  <c r="AG188" i="10"/>
  <c r="AG192" i="10"/>
  <c r="AG196" i="10"/>
  <c r="AG200" i="10"/>
  <c r="AG204" i="10"/>
  <c r="AG208" i="10"/>
  <c r="AG212" i="10"/>
  <c r="AG216" i="10"/>
  <c r="AG220" i="10"/>
  <c r="AG224" i="10"/>
  <c r="AG228" i="10"/>
  <c r="AG232" i="10"/>
  <c r="AG236" i="10"/>
  <c r="AG240" i="10"/>
  <c r="AG244" i="10"/>
  <c r="AG248" i="10"/>
  <c r="AG252" i="10"/>
  <c r="AG256" i="10"/>
  <c r="AG260" i="10"/>
  <c r="AG264" i="10"/>
  <c r="AG268" i="10"/>
  <c r="AG272" i="10"/>
  <c r="AG276" i="10"/>
  <c r="AG280" i="10"/>
  <c r="AG284" i="10"/>
  <c r="AG288" i="10"/>
  <c r="AG292" i="10"/>
  <c r="AG296" i="10"/>
  <c r="AG300" i="10"/>
  <c r="AG304" i="10"/>
  <c r="AG308" i="10"/>
  <c r="AG312" i="10"/>
  <c r="AG316" i="10"/>
  <c r="AG320" i="10"/>
  <c r="AG324" i="10"/>
  <c r="AG328" i="10"/>
  <c r="AG332" i="10"/>
  <c r="AG336" i="10"/>
  <c r="AG340" i="10"/>
  <c r="AG344" i="10"/>
  <c r="AG348" i="10"/>
  <c r="AG352" i="10"/>
  <c r="AG356" i="10"/>
  <c r="AG360" i="10"/>
  <c r="AG364" i="10"/>
  <c r="AG368" i="10"/>
  <c r="AG372" i="10"/>
  <c r="AG376" i="10"/>
  <c r="AG380" i="10"/>
  <c r="AG384" i="10"/>
  <c r="AG388" i="10"/>
  <c r="AG392" i="10"/>
  <c r="AG396" i="10"/>
  <c r="AG400" i="10"/>
  <c r="AG404" i="10"/>
  <c r="AG408" i="10"/>
  <c r="AG412" i="10"/>
  <c r="AG416" i="10"/>
  <c r="AG420" i="10"/>
  <c r="AG424" i="10"/>
  <c r="AG428" i="10"/>
  <c r="AG432" i="10"/>
  <c r="AG436" i="10"/>
  <c r="AG440" i="10"/>
  <c r="AG444" i="10"/>
  <c r="AG448" i="10"/>
  <c r="AG452" i="10"/>
  <c r="AG456" i="10"/>
  <c r="AG460" i="10"/>
  <c r="AG464" i="10"/>
  <c r="AG468" i="10"/>
  <c r="AG472" i="10"/>
  <c r="AG476" i="10"/>
  <c r="AG480" i="10"/>
  <c r="AG484" i="10"/>
  <c r="AG488" i="10"/>
  <c r="AG492" i="10"/>
  <c r="AG496" i="10"/>
  <c r="AG500" i="10"/>
  <c r="AG504" i="10"/>
  <c r="AG508" i="10"/>
  <c r="AG512" i="10"/>
  <c r="AG516" i="10"/>
  <c r="AG520" i="10"/>
  <c r="AG524" i="10"/>
  <c r="AG528" i="10"/>
  <c r="AG532" i="10"/>
  <c r="AG536" i="10"/>
  <c r="AG540" i="10"/>
  <c r="AG544" i="10"/>
  <c r="AG548" i="10"/>
  <c r="AG552" i="10"/>
  <c r="AG556" i="10"/>
  <c r="AG560" i="10"/>
  <c r="B218" i="2"/>
  <c r="B224" i="2" s="1"/>
  <c r="B77" i="2"/>
  <c r="B142" i="2"/>
  <c r="AF19" i="10" l="1"/>
  <c r="AF13" i="10"/>
  <c r="AF7" i="10"/>
  <c r="AF11" i="10"/>
  <c r="AF12" i="10"/>
  <c r="AF10" i="10"/>
  <c r="AF9" i="10"/>
  <c r="AJ21" i="10"/>
  <c r="AL21" i="10" s="1"/>
  <c r="AJ25" i="10"/>
  <c r="AK25" i="10" s="1"/>
  <c r="AJ29" i="10"/>
  <c r="AL29" i="10" s="1"/>
  <c r="AJ33" i="10"/>
  <c r="AJ37" i="10"/>
  <c r="AJ41" i="10"/>
  <c r="AL41" i="10" s="1"/>
  <c r="AJ45" i="10"/>
  <c r="AL45" i="10" s="1"/>
  <c r="AJ49" i="10"/>
  <c r="AK49" i="10" s="1"/>
  <c r="AJ53" i="10"/>
  <c r="AL53" i="10" s="1"/>
  <c r="AJ57" i="10"/>
  <c r="AJ61" i="10"/>
  <c r="AL61" i="10" s="1"/>
  <c r="AJ65" i="10"/>
  <c r="AL65" i="10" s="1"/>
  <c r="AJ69" i="10"/>
  <c r="AK69" i="10" s="1"/>
  <c r="AJ73" i="10"/>
  <c r="AK73" i="10" s="1"/>
  <c r="AJ77" i="10"/>
  <c r="AK77" i="10" s="1"/>
  <c r="AJ81" i="10"/>
  <c r="AK81" i="10" s="1"/>
  <c r="AJ85" i="10"/>
  <c r="AK85" i="10" s="1"/>
  <c r="AJ89" i="10"/>
  <c r="AK89" i="10" s="1"/>
  <c r="AJ93" i="10"/>
  <c r="AK93" i="10" s="1"/>
  <c r="AJ97" i="10"/>
  <c r="AJ101" i="10"/>
  <c r="AL101" i="10" s="1"/>
  <c r="AJ105" i="10"/>
  <c r="AL105" i="10" s="1"/>
  <c r="AJ109" i="10"/>
  <c r="AK109" i="10" s="1"/>
  <c r="AJ113" i="10"/>
  <c r="AK113" i="10" s="1"/>
  <c r="AJ117" i="10"/>
  <c r="AK117" i="10" s="1"/>
  <c r="AJ121" i="10"/>
  <c r="AL121" i="10" s="1"/>
  <c r="AJ125" i="10"/>
  <c r="AL125" i="10" s="1"/>
  <c r="AJ129" i="10"/>
  <c r="AK129" i="10" s="1"/>
  <c r="AJ133" i="10"/>
  <c r="AL133" i="10" s="1"/>
  <c r="AJ137" i="10"/>
  <c r="AL137" i="10" s="1"/>
  <c r="AJ141" i="10"/>
  <c r="AL141" i="10" s="1"/>
  <c r="AJ145" i="10"/>
  <c r="AJ149" i="10"/>
  <c r="AL149" i="10" s="1"/>
  <c r="AJ153" i="10"/>
  <c r="AL153" i="10" s="1"/>
  <c r="AJ157" i="10"/>
  <c r="AK157" i="10" s="1"/>
  <c r="AJ161" i="10"/>
  <c r="AK161" i="10" s="1"/>
  <c r="AJ165" i="10"/>
  <c r="AJ169" i="10"/>
  <c r="AK169" i="10" s="1"/>
  <c r="AJ173" i="10"/>
  <c r="AK173" i="10" s="1"/>
  <c r="AJ177" i="10"/>
  <c r="AK177" i="10" s="1"/>
  <c r="AJ181" i="10"/>
  <c r="AJ185" i="10"/>
  <c r="AK185" i="10" s="1"/>
  <c r="AJ189" i="10"/>
  <c r="AK189" i="10" s="1"/>
  <c r="AJ193" i="10"/>
  <c r="AJ197" i="10"/>
  <c r="AK197" i="10" s="1"/>
  <c r="AJ201" i="10"/>
  <c r="AL201" i="10" s="1"/>
  <c r="AJ205" i="10"/>
  <c r="AK205" i="10" s="1"/>
  <c r="AJ209" i="10"/>
  <c r="AK209" i="10" s="1"/>
  <c r="AJ213" i="10"/>
  <c r="AL213" i="10" s="1"/>
  <c r="AJ217" i="10"/>
  <c r="AJ221" i="10"/>
  <c r="AK221" i="10" s="1"/>
  <c r="AJ225" i="10"/>
  <c r="AL225" i="10" s="1"/>
  <c r="AJ229" i="10"/>
  <c r="AJ233" i="10"/>
  <c r="AL233" i="10" s="1"/>
  <c r="AJ237" i="10"/>
  <c r="AL237" i="10" s="1"/>
  <c r="AJ241" i="10"/>
  <c r="AL241" i="10" s="1"/>
  <c r="AJ245" i="10"/>
  <c r="AK245" i="10" s="1"/>
  <c r="AJ249" i="10"/>
  <c r="AL249" i="10" s="1"/>
  <c r="AJ253" i="10"/>
  <c r="AL253" i="10" s="1"/>
  <c r="AJ257" i="10"/>
  <c r="AL257" i="10" s="1"/>
  <c r="AJ261" i="10"/>
  <c r="AL261" i="10" s="1"/>
  <c r="AJ265" i="10"/>
  <c r="AK265" i="10" s="1"/>
  <c r="AJ269" i="10"/>
  <c r="AL269" i="10" s="1"/>
  <c r="AJ273" i="10"/>
  <c r="AL273" i="10" s="1"/>
  <c r="AJ277" i="10"/>
  <c r="AJ281" i="10"/>
  <c r="AL281" i="10" s="1"/>
  <c r="AJ285" i="10"/>
  <c r="AL285" i="10" s="1"/>
  <c r="AJ289" i="10"/>
  <c r="AJ293" i="10"/>
  <c r="AK293" i="10" s="1"/>
  <c r="AJ297" i="10"/>
  <c r="AJ301" i="10"/>
  <c r="AK301" i="10" s="1"/>
  <c r="AJ305" i="10"/>
  <c r="AJ309" i="10"/>
  <c r="AK309" i="10" s="1"/>
  <c r="AJ313" i="10"/>
  <c r="AL313" i="10" s="1"/>
  <c r="AJ20" i="10"/>
  <c r="AL20" i="10" s="1"/>
  <c r="AJ24" i="10"/>
  <c r="AL24" i="10" s="1"/>
  <c r="AJ28" i="10"/>
  <c r="AK28" i="10" s="1"/>
  <c r="AJ32" i="10"/>
  <c r="AK32" i="10" s="1"/>
  <c r="AJ36" i="10"/>
  <c r="AK36" i="10" s="1"/>
  <c r="AJ40" i="10"/>
  <c r="AL40" i="10" s="1"/>
  <c r="AJ44" i="10"/>
  <c r="AK44" i="10" s="1"/>
  <c r="AJ48" i="10"/>
  <c r="AL48" i="10" s="1"/>
  <c r="AJ52" i="10"/>
  <c r="AJ56" i="10"/>
  <c r="AJ60" i="10"/>
  <c r="AK60" i="10" s="1"/>
  <c r="AJ64" i="10"/>
  <c r="AL64" i="10" s="1"/>
  <c r="AJ68" i="10"/>
  <c r="AK68" i="10" s="1"/>
  <c r="AJ72" i="10"/>
  <c r="AJ76" i="10"/>
  <c r="AJ80" i="10"/>
  <c r="AK80" i="10" s="1"/>
  <c r="AJ84" i="10"/>
  <c r="AL84" i="10" s="1"/>
  <c r="AJ88" i="10"/>
  <c r="AK88" i="10" s="1"/>
  <c r="AJ92" i="10"/>
  <c r="AL92" i="10" s="1"/>
  <c r="AJ96" i="10"/>
  <c r="AL96" i="10" s="1"/>
  <c r="AJ100" i="10"/>
  <c r="AK100" i="10" s="1"/>
  <c r="AJ104" i="10"/>
  <c r="AJ108" i="10"/>
  <c r="AK108" i="10" s="1"/>
  <c r="AJ112" i="10"/>
  <c r="AK112" i="10" s="1"/>
  <c r="AJ116" i="10"/>
  <c r="AK116" i="10" s="1"/>
  <c r="AJ120" i="10"/>
  <c r="AJ124" i="10"/>
  <c r="AK124" i="10" s="1"/>
  <c r="AJ128" i="10"/>
  <c r="AJ132" i="10"/>
  <c r="AL132" i="10" s="1"/>
  <c r="AJ136" i="10"/>
  <c r="AJ140" i="10"/>
  <c r="AL140" i="10" s="1"/>
  <c r="AJ144" i="10"/>
  <c r="AK144" i="10" s="1"/>
  <c r="AJ148" i="10"/>
  <c r="AK148" i="10" s="1"/>
  <c r="AJ152" i="10"/>
  <c r="AK152" i="10" s="1"/>
  <c r="AJ156" i="10"/>
  <c r="AL156" i="10" s="1"/>
  <c r="AJ160" i="10"/>
  <c r="AL160" i="10" s="1"/>
  <c r="AJ164" i="10"/>
  <c r="AK164" i="10" s="1"/>
  <c r="AJ168" i="10"/>
  <c r="AJ172" i="10"/>
  <c r="AK172" i="10" s="1"/>
  <c r="AJ176" i="10"/>
  <c r="AJ180" i="10"/>
  <c r="AL180" i="10" s="1"/>
  <c r="AJ184" i="10"/>
  <c r="AJ188" i="10"/>
  <c r="AL188" i="10" s="1"/>
  <c r="AJ192" i="10"/>
  <c r="AK192" i="10" s="1"/>
  <c r="AJ196" i="10"/>
  <c r="AK196" i="10" s="1"/>
  <c r="AJ200" i="10"/>
  <c r="AJ204" i="10"/>
  <c r="AK204" i="10" s="1"/>
  <c r="AJ208" i="10"/>
  <c r="AJ212" i="10"/>
  <c r="AL212" i="10" s="1"/>
  <c r="AJ216" i="10"/>
  <c r="AL216" i="10" s="1"/>
  <c r="AJ220" i="10"/>
  <c r="AJ224" i="10"/>
  <c r="AK224" i="10" s="1"/>
  <c r="AJ228" i="10"/>
  <c r="AL228" i="10" s="1"/>
  <c r="AJ232" i="10"/>
  <c r="AJ236" i="10"/>
  <c r="AK236" i="10" s="1"/>
  <c r="AJ240" i="10"/>
  <c r="AJ244" i="10"/>
  <c r="AL244" i="10" s="1"/>
  <c r="AJ248" i="10"/>
  <c r="AJ252" i="10"/>
  <c r="AL252" i="10" s="1"/>
  <c r="AJ256" i="10"/>
  <c r="AL256" i="10" s="1"/>
  <c r="AJ260" i="10"/>
  <c r="AL260" i="10" s="1"/>
  <c r="AJ264" i="10"/>
  <c r="AJ268" i="10"/>
  <c r="AL268" i="10" s="1"/>
  <c r="AJ272" i="10"/>
  <c r="AJ276" i="10"/>
  <c r="AL276" i="10" s="1"/>
  <c r="AJ280" i="10"/>
  <c r="AL280" i="10" s="1"/>
  <c r="AJ284" i="10"/>
  <c r="AK284" i="10" s="1"/>
  <c r="AJ288" i="10"/>
  <c r="AK288" i="10" s="1"/>
  <c r="AJ292" i="10"/>
  <c r="AK292" i="10" s="1"/>
  <c r="AJ296" i="10"/>
  <c r="AJ23" i="10"/>
  <c r="AL23" i="10" s="1"/>
  <c r="AJ31" i="10"/>
  <c r="AK31" i="10" s="1"/>
  <c r="AJ39" i="10"/>
  <c r="AK39" i="10" s="1"/>
  <c r="AJ47" i="10"/>
  <c r="AL47" i="10" s="1"/>
  <c r="AJ55" i="10"/>
  <c r="AK55" i="10" s="1"/>
  <c r="AJ63" i="10"/>
  <c r="AJ71" i="10"/>
  <c r="AK71" i="10" s="1"/>
  <c r="AJ79" i="10"/>
  <c r="AK79" i="10" s="1"/>
  <c r="AJ87" i="10"/>
  <c r="AJ95" i="10"/>
  <c r="AK95" i="10" s="1"/>
  <c r="AJ103" i="10"/>
  <c r="AK103" i="10" s="1"/>
  <c r="AJ111" i="10"/>
  <c r="AK111" i="10" s="1"/>
  <c r="AJ119" i="10"/>
  <c r="AK119" i="10" s="1"/>
  <c r="AJ127" i="10"/>
  <c r="AK127" i="10" s="1"/>
  <c r="AJ135" i="10"/>
  <c r="AL135" i="10" s="1"/>
  <c r="AJ143" i="10"/>
  <c r="AK143" i="10" s="1"/>
  <c r="AJ151" i="10"/>
  <c r="AJ159" i="10"/>
  <c r="AK159" i="10" s="1"/>
  <c r="AJ167" i="10"/>
  <c r="AJ175" i="10"/>
  <c r="AL175" i="10" s="1"/>
  <c r="AJ183" i="10"/>
  <c r="AK183" i="10" s="1"/>
  <c r="AJ191" i="10"/>
  <c r="AJ199" i="10"/>
  <c r="AK199" i="10" s="1"/>
  <c r="AJ207" i="10"/>
  <c r="AL207" i="10" s="1"/>
  <c r="AJ215" i="10"/>
  <c r="AL215" i="10" s="1"/>
  <c r="AJ223" i="10"/>
  <c r="AL223" i="10" s="1"/>
  <c r="AJ231" i="10"/>
  <c r="AK231" i="10" s="1"/>
  <c r="AJ239" i="10"/>
  <c r="AJ247" i="10"/>
  <c r="AK247" i="10" s="1"/>
  <c r="AJ255" i="10"/>
  <c r="AL255" i="10" s="1"/>
  <c r="AJ263" i="10"/>
  <c r="AK263" i="10" s="1"/>
  <c r="AJ271" i="10"/>
  <c r="AL271" i="10" s="1"/>
  <c r="AJ279" i="10"/>
  <c r="AL279" i="10" s="1"/>
  <c r="AJ287" i="10"/>
  <c r="AL287" i="10" s="1"/>
  <c r="AJ295" i="10"/>
  <c r="AJ302" i="10"/>
  <c r="AJ307" i="10"/>
  <c r="AK307" i="10" s="1"/>
  <c r="AJ312" i="10"/>
  <c r="AJ317" i="10"/>
  <c r="AL317" i="10" s="1"/>
  <c r="AJ321" i="10"/>
  <c r="AJ325" i="10"/>
  <c r="AJ329" i="10"/>
  <c r="AL329" i="10" s="1"/>
  <c r="AJ333" i="10"/>
  <c r="AL333" i="10" s="1"/>
  <c r="AJ337" i="10"/>
  <c r="AJ341" i="10"/>
  <c r="AK341" i="10" s="1"/>
  <c r="AJ345" i="10"/>
  <c r="AK345" i="10" s="1"/>
  <c r="AJ349" i="10"/>
  <c r="AL349" i="10" s="1"/>
  <c r="AJ353" i="10"/>
  <c r="AK353" i="10" s="1"/>
  <c r="AJ357" i="10"/>
  <c r="AL357" i="10" s="1"/>
  <c r="AJ361" i="10"/>
  <c r="AK361" i="10" s="1"/>
  <c r="AJ365" i="10"/>
  <c r="AK365" i="10" s="1"/>
  <c r="AJ369" i="10"/>
  <c r="AJ373" i="10"/>
  <c r="AL373" i="10" s="1"/>
  <c r="AJ377" i="10"/>
  <c r="AL377" i="10" s="1"/>
  <c r="AJ381" i="10"/>
  <c r="AK381" i="10" s="1"/>
  <c r="AJ385" i="10"/>
  <c r="AJ389" i="10"/>
  <c r="AL389" i="10" s="1"/>
  <c r="AJ393" i="10"/>
  <c r="AL393" i="10" s="1"/>
  <c r="AJ397" i="10"/>
  <c r="AL397" i="10" s="1"/>
  <c r="AJ401" i="10"/>
  <c r="AJ405" i="10"/>
  <c r="AL405" i="10" s="1"/>
  <c r="AJ409" i="10"/>
  <c r="AK409" i="10" s="1"/>
  <c r="AJ413" i="10"/>
  <c r="AK413" i="10" s="1"/>
  <c r="AJ417" i="10"/>
  <c r="AK417" i="10" s="1"/>
  <c r="AJ421" i="10"/>
  <c r="AL421" i="10" s="1"/>
  <c r="AJ425" i="10"/>
  <c r="AL425" i="10" s="1"/>
  <c r="AJ429" i="10"/>
  <c r="AL429" i="10" s="1"/>
  <c r="AJ433" i="10"/>
  <c r="AK433" i="10" s="1"/>
  <c r="AJ437" i="10"/>
  <c r="AJ441" i="10"/>
  <c r="AK441" i="10" s="1"/>
  <c r="AJ445" i="10"/>
  <c r="AK445" i="10" s="1"/>
  <c r="AJ449" i="10"/>
  <c r="AJ453" i="10"/>
  <c r="AL453" i="10" s="1"/>
  <c r="AJ457" i="10"/>
  <c r="AL457" i="10" s="1"/>
  <c r="AJ461" i="10"/>
  <c r="AL461" i="10" s="1"/>
  <c r="AJ465" i="10"/>
  <c r="AK465" i="10" s="1"/>
  <c r="AJ469" i="10"/>
  <c r="AJ473" i="10"/>
  <c r="AK473" i="10" s="1"/>
  <c r="AJ477" i="10"/>
  <c r="AL477" i="10" s="1"/>
  <c r="AJ481" i="10"/>
  <c r="AL481" i="10" s="1"/>
  <c r="AJ30" i="10"/>
  <c r="AK30" i="10" s="1"/>
  <c r="AJ42" i="10"/>
  <c r="AK42" i="10" s="1"/>
  <c r="AJ51" i="10"/>
  <c r="AK51" i="10" s="1"/>
  <c r="AJ62" i="10"/>
  <c r="AJ74" i="10"/>
  <c r="AL74" i="10" s="1"/>
  <c r="AJ83" i="10"/>
  <c r="AL83" i="10" s="1"/>
  <c r="AJ94" i="10"/>
  <c r="AL94" i="10" s="1"/>
  <c r="AJ106" i="10"/>
  <c r="AJ115" i="10"/>
  <c r="AJ126" i="10"/>
  <c r="AJ138" i="10"/>
  <c r="AK138" i="10" s="1"/>
  <c r="AJ147" i="10"/>
  <c r="AL147" i="10" s="1"/>
  <c r="AJ158" i="10"/>
  <c r="AK158" i="10" s="1"/>
  <c r="AJ170" i="10"/>
  <c r="AJ179" i="10"/>
  <c r="AL179" i="10" s="1"/>
  <c r="AJ190" i="10"/>
  <c r="AL190" i="10" s="1"/>
  <c r="AJ202" i="10"/>
  <c r="AL202" i="10" s="1"/>
  <c r="AJ211" i="10"/>
  <c r="AK211" i="10" s="1"/>
  <c r="AJ222" i="10"/>
  <c r="AK222" i="10" s="1"/>
  <c r="AJ234" i="10"/>
  <c r="AK234" i="10" s="1"/>
  <c r="AJ243" i="10"/>
  <c r="AK243" i="10" s="1"/>
  <c r="AJ254" i="10"/>
  <c r="AJ266" i="10"/>
  <c r="AK266" i="10" s="1"/>
  <c r="AJ275" i="10"/>
  <c r="AL275" i="10" s="1"/>
  <c r="AJ286" i="10"/>
  <c r="AK286" i="10" s="1"/>
  <c r="AJ298" i="10"/>
  <c r="AL298" i="10" s="1"/>
  <c r="AJ304" i="10"/>
  <c r="AL304" i="10" s="1"/>
  <c r="AJ311" i="10"/>
  <c r="AK311" i="10" s="1"/>
  <c r="AJ318" i="10"/>
  <c r="AK318" i="10" s="1"/>
  <c r="AJ323" i="10"/>
  <c r="AK323" i="10" s="1"/>
  <c r="AJ328" i="10"/>
  <c r="AL328" i="10" s="1"/>
  <c r="AJ334" i="10"/>
  <c r="AL334" i="10" s="1"/>
  <c r="AJ339" i="10"/>
  <c r="AL339" i="10" s="1"/>
  <c r="AJ344" i="10"/>
  <c r="AL344" i="10" s="1"/>
  <c r="AJ350" i="10"/>
  <c r="AK350" i="10" s="1"/>
  <c r="AJ355" i="10"/>
  <c r="AK355" i="10" s="1"/>
  <c r="AJ360" i="10"/>
  <c r="AL360" i="10" s="1"/>
  <c r="AJ366" i="10"/>
  <c r="AL366" i="10" s="1"/>
  <c r="AJ371" i="10"/>
  <c r="AK371" i="10" s="1"/>
  <c r="AJ376" i="10"/>
  <c r="AK376" i="10" s="1"/>
  <c r="AJ382" i="10"/>
  <c r="AL382" i="10" s="1"/>
  <c r="AJ387" i="10"/>
  <c r="AJ392" i="10"/>
  <c r="AL392" i="10" s="1"/>
  <c r="AJ398" i="10"/>
  <c r="AL398" i="10" s="1"/>
  <c r="AJ403" i="10"/>
  <c r="AJ408" i="10"/>
  <c r="AJ414" i="10"/>
  <c r="AK414" i="10" s="1"/>
  <c r="AJ419" i="10"/>
  <c r="AJ424" i="10"/>
  <c r="AK424" i="10" s="1"/>
  <c r="AJ430" i="10"/>
  <c r="AL430" i="10" s="1"/>
  <c r="AJ435" i="10"/>
  <c r="AK435" i="10" s="1"/>
  <c r="AJ440" i="10"/>
  <c r="AL440" i="10" s="1"/>
  <c r="AJ446" i="10"/>
  <c r="AK446" i="10" s="1"/>
  <c r="AJ451" i="10"/>
  <c r="AL451" i="10" s="1"/>
  <c r="AJ456" i="10"/>
  <c r="AL456" i="10" s="1"/>
  <c r="AJ462" i="10"/>
  <c r="AL462" i="10" s="1"/>
  <c r="AJ467" i="10"/>
  <c r="AK467" i="10" s="1"/>
  <c r="AJ472" i="10"/>
  <c r="AK472" i="10" s="1"/>
  <c r="AJ478" i="10"/>
  <c r="AJ483" i="10"/>
  <c r="AJ487" i="10"/>
  <c r="AL487" i="10" s="1"/>
  <c r="AJ491" i="10"/>
  <c r="AL491" i="10" s="1"/>
  <c r="AJ495" i="10"/>
  <c r="AK495" i="10" s="1"/>
  <c r="AJ499" i="10"/>
  <c r="AJ503" i="10"/>
  <c r="AK503" i="10" s="1"/>
  <c r="AJ507" i="10"/>
  <c r="AL507" i="10" s="1"/>
  <c r="AJ511" i="10"/>
  <c r="AK511" i="10" s="1"/>
  <c r="AJ515" i="10"/>
  <c r="AJ519" i="10"/>
  <c r="AK519" i="10" s="1"/>
  <c r="AJ523" i="10"/>
  <c r="AL523" i="10" s="1"/>
  <c r="AJ527" i="10"/>
  <c r="AL527" i="10" s="1"/>
  <c r="AJ531" i="10"/>
  <c r="AJ535" i="10"/>
  <c r="AK535" i="10" s="1"/>
  <c r="AJ539" i="10"/>
  <c r="AL539" i="10" s="1"/>
  <c r="AJ543" i="10"/>
  <c r="AK543" i="10" s="1"/>
  <c r="AJ547" i="10"/>
  <c r="AJ551" i="10"/>
  <c r="AL551" i="10" s="1"/>
  <c r="AJ555" i="10"/>
  <c r="AJ559" i="10"/>
  <c r="AL559" i="10" s="1"/>
  <c r="AJ27" i="10"/>
  <c r="AK27" i="10" s="1"/>
  <c r="AJ38" i="10"/>
  <c r="AK38" i="10" s="1"/>
  <c r="AJ50" i="10"/>
  <c r="AL50" i="10" s="1"/>
  <c r="AJ59" i="10"/>
  <c r="AL59" i="10" s="1"/>
  <c r="AJ70" i="10"/>
  <c r="AL70" i="10" s="1"/>
  <c r="AJ82" i="10"/>
  <c r="AK82" i="10" s="1"/>
  <c r="AJ91" i="10"/>
  <c r="AL91" i="10" s="1"/>
  <c r="AJ102" i="10"/>
  <c r="AK102" i="10" s="1"/>
  <c r="AJ114" i="10"/>
  <c r="AL114" i="10" s="1"/>
  <c r="AJ123" i="10"/>
  <c r="AK123" i="10" s="1"/>
  <c r="AJ134" i="10"/>
  <c r="AJ146" i="10"/>
  <c r="AJ155" i="10"/>
  <c r="AJ166" i="10"/>
  <c r="AL166" i="10" s="1"/>
  <c r="AJ178" i="10"/>
  <c r="AK178" i="10" s="1"/>
  <c r="AJ187" i="10"/>
  <c r="AJ198" i="10"/>
  <c r="AL198" i="10" s="1"/>
  <c r="AJ210" i="10"/>
  <c r="AL210" i="10" s="1"/>
  <c r="AJ219" i="10"/>
  <c r="AJ230" i="10"/>
  <c r="AK230" i="10" s="1"/>
  <c r="AJ242" i="10"/>
  <c r="AJ251" i="10"/>
  <c r="AL251" i="10" s="1"/>
  <c r="AJ262" i="10"/>
  <c r="AL262" i="10" s="1"/>
  <c r="AJ274" i="10"/>
  <c r="AJ283" i="10"/>
  <c r="AK283" i="10" s="1"/>
  <c r="AJ294" i="10"/>
  <c r="AL294" i="10" s="1"/>
  <c r="AJ303" i="10"/>
  <c r="AK303" i="10" s="1"/>
  <c r="AJ310" i="10"/>
  <c r="AK310" i="10" s="1"/>
  <c r="AJ316" i="10"/>
  <c r="AL316" i="10" s="1"/>
  <c r="AJ322" i="10"/>
  <c r="AL322" i="10" s="1"/>
  <c r="AJ327" i="10"/>
  <c r="AL327" i="10" s="1"/>
  <c r="AJ332" i="10"/>
  <c r="AJ338" i="10"/>
  <c r="AK338" i="10" s="1"/>
  <c r="AJ343" i="10"/>
  <c r="AK343" i="10" s="1"/>
  <c r="AJ348" i="10"/>
  <c r="AK348" i="10" s="1"/>
  <c r="AJ354" i="10"/>
  <c r="AK354" i="10" s="1"/>
  <c r="AJ359" i="10"/>
  <c r="AK359" i="10" s="1"/>
  <c r="AJ364" i="10"/>
  <c r="AL364" i="10" s="1"/>
  <c r="AJ370" i="10"/>
  <c r="AK370" i="10" s="1"/>
  <c r="AJ375" i="10"/>
  <c r="AK375" i="10" s="1"/>
  <c r="AJ380" i="10"/>
  <c r="AL380" i="10" s="1"/>
  <c r="AJ386" i="10"/>
  <c r="AJ391" i="10"/>
  <c r="AJ396" i="10"/>
  <c r="AL396" i="10" s="1"/>
  <c r="AJ402" i="10"/>
  <c r="AK402" i="10" s="1"/>
  <c r="AJ407" i="10"/>
  <c r="AK407" i="10" s="1"/>
  <c r="AJ412" i="10"/>
  <c r="AL412" i="10" s="1"/>
  <c r="AJ418" i="10"/>
  <c r="AK418" i="10" s="1"/>
  <c r="AJ423" i="10"/>
  <c r="AK423" i="10" s="1"/>
  <c r="AJ428" i="10"/>
  <c r="AJ434" i="10"/>
  <c r="AJ439" i="10"/>
  <c r="AK439" i="10" s="1"/>
  <c r="AJ444" i="10"/>
  <c r="AJ450" i="10"/>
  <c r="AJ455" i="10"/>
  <c r="AK455" i="10" s="1"/>
  <c r="AJ460" i="10"/>
  <c r="AL460" i="10" s="1"/>
  <c r="AJ466" i="10"/>
  <c r="AJ471" i="10"/>
  <c r="AK471" i="10" s="1"/>
  <c r="AJ476" i="10"/>
  <c r="AJ482" i="10"/>
  <c r="AK482" i="10" s="1"/>
  <c r="AJ486" i="10"/>
  <c r="AL486" i="10" s="1"/>
  <c r="AJ490" i="10"/>
  <c r="AL490" i="10" s="1"/>
  <c r="AJ494" i="10"/>
  <c r="AL494" i="10" s="1"/>
  <c r="AJ498" i="10"/>
  <c r="AJ502" i="10"/>
  <c r="AL502" i="10" s="1"/>
  <c r="AJ506" i="10"/>
  <c r="AL506" i="10" s="1"/>
  <c r="AJ510" i="10"/>
  <c r="AJ514" i="10"/>
  <c r="AL514" i="10" s="1"/>
  <c r="AJ518" i="10"/>
  <c r="AL518" i="10" s="1"/>
  <c r="AJ522" i="10"/>
  <c r="AK522" i="10" s="1"/>
  <c r="AJ526" i="10"/>
  <c r="AJ530" i="10"/>
  <c r="AK530" i="10" s="1"/>
  <c r="AJ534" i="10"/>
  <c r="AL534" i="10" s="1"/>
  <c r="AJ538" i="10"/>
  <c r="AL538" i="10" s="1"/>
  <c r="AJ542" i="10"/>
  <c r="AJ546" i="10"/>
  <c r="AK546" i="10" s="1"/>
  <c r="AJ550" i="10"/>
  <c r="AK550" i="10" s="1"/>
  <c r="AJ554" i="10"/>
  <c r="AK554" i="10" s="1"/>
  <c r="AJ558" i="10"/>
  <c r="AL558" i="10" s="1"/>
  <c r="AJ22" i="10"/>
  <c r="AL22" i="10" s="1"/>
  <c r="AJ43" i="10"/>
  <c r="AK43" i="10" s="1"/>
  <c r="AJ66" i="10"/>
  <c r="AK66" i="10" s="1"/>
  <c r="AJ86" i="10"/>
  <c r="AL86" i="10" s="1"/>
  <c r="AJ107" i="10"/>
  <c r="AJ130" i="10"/>
  <c r="AL130" i="10" s="1"/>
  <c r="AJ150" i="10"/>
  <c r="AL150" i="10" s="1"/>
  <c r="AJ171" i="10"/>
  <c r="AK171" i="10" s="1"/>
  <c r="AJ194" i="10"/>
  <c r="AL194" i="10" s="1"/>
  <c r="AJ214" i="10"/>
  <c r="AK214" i="10" s="1"/>
  <c r="AJ235" i="10"/>
  <c r="AL235" i="10" s="1"/>
  <c r="AJ258" i="10"/>
  <c r="AK258" i="10" s="1"/>
  <c r="AJ278" i="10"/>
  <c r="AK278" i="10" s="1"/>
  <c r="AJ299" i="10"/>
  <c r="AK299" i="10" s="1"/>
  <c r="AJ314" i="10"/>
  <c r="AJ324" i="10"/>
  <c r="AK324" i="10" s="1"/>
  <c r="AJ335" i="10"/>
  <c r="AK335" i="10" s="1"/>
  <c r="AJ346" i="10"/>
  <c r="AK346" i="10" s="1"/>
  <c r="AJ356" i="10"/>
  <c r="AK356" i="10" s="1"/>
  <c r="AJ367" i="10"/>
  <c r="AL367" i="10" s="1"/>
  <c r="AJ378" i="10"/>
  <c r="AL378" i="10" s="1"/>
  <c r="AJ388" i="10"/>
  <c r="AJ399" i="10"/>
  <c r="AL399" i="10" s="1"/>
  <c r="AJ410" i="10"/>
  <c r="AK410" i="10" s="1"/>
  <c r="AJ420" i="10"/>
  <c r="AL420" i="10" s="1"/>
  <c r="AJ431" i="10"/>
  <c r="AJ442" i="10"/>
  <c r="AK442" i="10" s="1"/>
  <c r="AJ452" i="10"/>
  <c r="AJ463" i="10"/>
  <c r="AK463" i="10" s="1"/>
  <c r="AJ474" i="10"/>
  <c r="AK474" i="10" s="1"/>
  <c r="AJ484" i="10"/>
  <c r="AK484" i="10" s="1"/>
  <c r="AJ492" i="10"/>
  <c r="AJ500" i="10"/>
  <c r="AK500" i="10" s="1"/>
  <c r="AJ508" i="10"/>
  <c r="AJ516" i="10"/>
  <c r="AK516" i="10" s="1"/>
  <c r="AJ524" i="10"/>
  <c r="AL524" i="10" s="1"/>
  <c r="AJ532" i="10"/>
  <c r="AL532" i="10" s="1"/>
  <c r="AJ540" i="10"/>
  <c r="AJ548" i="10"/>
  <c r="AJ556" i="10"/>
  <c r="AK556" i="10" s="1"/>
  <c r="AJ35" i="10"/>
  <c r="AL35" i="10" s="1"/>
  <c r="AJ58" i="10"/>
  <c r="AK58" i="10" s="1"/>
  <c r="AJ78" i="10"/>
  <c r="AL78" i="10" s="1"/>
  <c r="AJ99" i="10"/>
  <c r="AK99" i="10" s="1"/>
  <c r="AJ122" i="10"/>
  <c r="AK122" i="10" s="1"/>
  <c r="AJ142" i="10"/>
  <c r="AL142" i="10" s="1"/>
  <c r="AJ163" i="10"/>
  <c r="AL163" i="10" s="1"/>
  <c r="AJ186" i="10"/>
  <c r="AK186" i="10" s="1"/>
  <c r="AJ206" i="10"/>
  <c r="AK206" i="10" s="1"/>
  <c r="AJ227" i="10"/>
  <c r="AL227" i="10" s="1"/>
  <c r="AJ250" i="10"/>
  <c r="AK250" i="10" s="1"/>
  <c r="AJ270" i="10"/>
  <c r="AK270" i="10" s="1"/>
  <c r="AJ291" i="10"/>
  <c r="AK291" i="10" s="1"/>
  <c r="AJ308" i="10"/>
  <c r="AL308" i="10" s="1"/>
  <c r="AJ320" i="10"/>
  <c r="AK320" i="10" s="1"/>
  <c r="AJ331" i="10"/>
  <c r="AL331" i="10" s="1"/>
  <c r="AJ342" i="10"/>
  <c r="AL342" i="10" s="1"/>
  <c r="AJ352" i="10"/>
  <c r="AJ363" i="10"/>
  <c r="AK363" i="10" s="1"/>
  <c r="AJ374" i="10"/>
  <c r="AL374" i="10" s="1"/>
  <c r="AJ384" i="10"/>
  <c r="AK384" i="10" s="1"/>
  <c r="AJ395" i="10"/>
  <c r="AJ406" i="10"/>
  <c r="AK406" i="10" s="1"/>
  <c r="AJ416" i="10"/>
  <c r="AL416" i="10" s="1"/>
  <c r="AJ427" i="10"/>
  <c r="AK427" i="10" s="1"/>
  <c r="AJ438" i="10"/>
  <c r="AL438" i="10" s="1"/>
  <c r="AJ448" i="10"/>
  <c r="AL448" i="10" s="1"/>
  <c r="AJ459" i="10"/>
  <c r="AK459" i="10" s="1"/>
  <c r="AJ470" i="10"/>
  <c r="AK470" i="10" s="1"/>
  <c r="AJ480" i="10"/>
  <c r="AJ489" i="10"/>
  <c r="AL489" i="10" s="1"/>
  <c r="AJ497" i="10"/>
  <c r="AK497" i="10" s="1"/>
  <c r="AJ505" i="10"/>
  <c r="AL505" i="10" s="1"/>
  <c r="AJ513" i="10"/>
  <c r="AJ521" i="10"/>
  <c r="AL521" i="10" s="1"/>
  <c r="AJ529" i="10"/>
  <c r="AL529" i="10" s="1"/>
  <c r="AJ537" i="10"/>
  <c r="AL537" i="10" s="1"/>
  <c r="AJ545" i="10"/>
  <c r="AJ553" i="10"/>
  <c r="AJ19" i="10"/>
  <c r="AS19" i="10" s="1"/>
  <c r="AJ26" i="10"/>
  <c r="AL26" i="10" s="1"/>
  <c r="AJ67" i="10"/>
  <c r="AJ110" i="10"/>
  <c r="AL110" i="10" s="1"/>
  <c r="AJ154" i="10"/>
  <c r="AL154" i="10" s="1"/>
  <c r="AJ195" i="10"/>
  <c r="AL195" i="10" s="1"/>
  <c r="AJ238" i="10"/>
  <c r="AK238" i="10" s="1"/>
  <c r="AJ282" i="10"/>
  <c r="AK282" i="10" s="1"/>
  <c r="AJ315" i="10"/>
  <c r="AL315" i="10" s="1"/>
  <c r="AJ336" i="10"/>
  <c r="AK336" i="10" s="1"/>
  <c r="AJ358" i="10"/>
  <c r="AJ379" i="10"/>
  <c r="AK379" i="10" s="1"/>
  <c r="AJ400" i="10"/>
  <c r="AL400" i="10" s="1"/>
  <c r="AJ422" i="10"/>
  <c r="AL422" i="10" s="1"/>
  <c r="AJ443" i="10"/>
  <c r="AJ464" i="10"/>
  <c r="AL464" i="10" s="1"/>
  <c r="AJ485" i="10"/>
  <c r="AL485" i="10" s="1"/>
  <c r="AJ501" i="10"/>
  <c r="AK501" i="10" s="1"/>
  <c r="AJ517" i="10"/>
  <c r="AL517" i="10" s="1"/>
  <c r="AJ533" i="10"/>
  <c r="AJ549" i="10"/>
  <c r="AL549" i="10" s="1"/>
  <c r="AJ34" i="10"/>
  <c r="AK34" i="10" s="1"/>
  <c r="AJ75" i="10"/>
  <c r="AJ118" i="10"/>
  <c r="AL118" i="10" s="1"/>
  <c r="AJ162" i="10"/>
  <c r="AK162" i="10" s="1"/>
  <c r="AJ203" i="10"/>
  <c r="AL203" i="10" s="1"/>
  <c r="AJ246" i="10"/>
  <c r="AJ290" i="10"/>
  <c r="AK290" i="10" s="1"/>
  <c r="AJ319" i="10"/>
  <c r="AK319" i="10" s="1"/>
  <c r="AJ340" i="10"/>
  <c r="AL340" i="10" s="1"/>
  <c r="AJ362" i="10"/>
  <c r="AL362" i="10" s="1"/>
  <c r="AJ383" i="10"/>
  <c r="AL383" i="10" s="1"/>
  <c r="AJ404" i="10"/>
  <c r="AL404" i="10" s="1"/>
  <c r="AJ426" i="10"/>
  <c r="AK426" i="10" s="1"/>
  <c r="AJ447" i="10"/>
  <c r="AK447" i="10" s="1"/>
  <c r="AJ468" i="10"/>
  <c r="AL468" i="10" s="1"/>
  <c r="AJ488" i="10"/>
  <c r="AK488" i="10" s="1"/>
  <c r="AJ504" i="10"/>
  <c r="AL504" i="10" s="1"/>
  <c r="AJ520" i="10"/>
  <c r="AJ536" i="10"/>
  <c r="AK536" i="10" s="1"/>
  <c r="AJ552" i="10"/>
  <c r="AJ54" i="10"/>
  <c r="AK54" i="10" s="1"/>
  <c r="AJ98" i="10"/>
  <c r="AL98" i="10" s="1"/>
  <c r="AJ139" i="10"/>
  <c r="AJ182" i="10"/>
  <c r="AL182" i="10" s="1"/>
  <c r="AJ226" i="10"/>
  <c r="AL226" i="10" s="1"/>
  <c r="AJ267" i="10"/>
  <c r="AJ306" i="10"/>
  <c r="AK306" i="10" s="1"/>
  <c r="AJ330" i="10"/>
  <c r="AL330" i="10" s="1"/>
  <c r="AJ351" i="10"/>
  <c r="AK351" i="10" s="1"/>
  <c r="AJ372" i="10"/>
  <c r="AK372" i="10" s="1"/>
  <c r="AJ394" i="10"/>
  <c r="AL394" i="10" s="1"/>
  <c r="AJ415" i="10"/>
  <c r="AK415" i="10" s="1"/>
  <c r="AJ436" i="10"/>
  <c r="AK436" i="10" s="1"/>
  <c r="AJ458" i="10"/>
  <c r="AK458" i="10" s="1"/>
  <c r="AJ479" i="10"/>
  <c r="AL479" i="10" s="1"/>
  <c r="AJ496" i="10"/>
  <c r="AK496" i="10" s="1"/>
  <c r="AJ512" i="10"/>
  <c r="AK512" i="10" s="1"/>
  <c r="AJ528" i="10"/>
  <c r="AL528" i="10" s="1"/>
  <c r="AJ544" i="10"/>
  <c r="AK544" i="10" s="1"/>
  <c r="AJ560" i="10"/>
  <c r="AL560" i="10" s="1"/>
  <c r="AJ174" i="10"/>
  <c r="AL174" i="10" s="1"/>
  <c r="AJ326" i="10"/>
  <c r="AJ411" i="10"/>
  <c r="AK411" i="10" s="1"/>
  <c r="AJ493" i="10"/>
  <c r="AL493" i="10" s="1"/>
  <c r="AJ557" i="10"/>
  <c r="AL557" i="10" s="1"/>
  <c r="AJ46" i="10"/>
  <c r="AK46" i="10" s="1"/>
  <c r="AJ218" i="10"/>
  <c r="AK218" i="10" s="1"/>
  <c r="AJ347" i="10"/>
  <c r="AL347" i="10" s="1"/>
  <c r="AJ432" i="10"/>
  <c r="AL432" i="10" s="1"/>
  <c r="AJ509" i="10"/>
  <c r="AL509" i="10" s="1"/>
  <c r="AJ131" i="10"/>
  <c r="AL131" i="10" s="1"/>
  <c r="AJ300" i="10"/>
  <c r="AL300" i="10" s="1"/>
  <c r="AJ390" i="10"/>
  <c r="AK390" i="10" s="1"/>
  <c r="AJ475" i="10"/>
  <c r="AJ541" i="10"/>
  <c r="AL541" i="10" s="1"/>
  <c r="AJ90" i="10"/>
  <c r="AL90" i="10" s="1"/>
  <c r="AJ525" i="10"/>
  <c r="AL525" i="10" s="1"/>
  <c r="AJ259" i="10"/>
  <c r="AL259" i="10" s="1"/>
  <c r="AJ454" i="10"/>
  <c r="AK454" i="10" s="1"/>
  <c r="AJ368" i="10"/>
  <c r="AK368" i="10" s="1"/>
  <c r="AO19" i="10"/>
  <c r="AN19" i="10"/>
  <c r="AM24" i="10"/>
  <c r="AM29" i="10"/>
  <c r="AM31" i="10"/>
  <c r="AM34" i="10"/>
  <c r="AM40" i="10"/>
  <c r="AM45" i="10"/>
  <c r="AM47" i="10"/>
  <c r="AM50" i="10"/>
  <c r="AM56" i="10"/>
  <c r="AM61" i="10"/>
  <c r="AM63" i="10"/>
  <c r="AM66" i="10"/>
  <c r="AM72" i="10"/>
  <c r="AM77" i="10"/>
  <c r="AM79" i="10"/>
  <c r="AM82" i="10"/>
  <c r="AM21" i="10"/>
  <c r="AM30" i="10"/>
  <c r="AM33" i="10"/>
  <c r="AM42" i="10"/>
  <c r="AM52" i="10"/>
  <c r="AM26" i="10"/>
  <c r="AM36" i="10"/>
  <c r="AM38" i="10"/>
  <c r="AM23" i="10"/>
  <c r="AM25" i="10"/>
  <c r="AM28" i="10"/>
  <c r="AM35" i="10"/>
  <c r="AM37" i="10"/>
  <c r="AM46" i="10"/>
  <c r="AM49" i="10"/>
  <c r="AM58" i="10"/>
  <c r="AM68" i="10"/>
  <c r="AM70" i="10"/>
  <c r="AM75" i="10"/>
  <c r="AM80" i="10"/>
  <c r="AM88" i="10"/>
  <c r="AM93" i="10"/>
  <c r="AM95" i="10"/>
  <c r="AM98" i="10"/>
  <c r="AM112" i="10"/>
  <c r="AM114" i="10"/>
  <c r="AM120" i="10"/>
  <c r="AM122" i="10"/>
  <c r="AM27" i="10"/>
  <c r="AM43" i="10"/>
  <c r="AM48" i="10"/>
  <c r="AM59" i="10"/>
  <c r="AM65" i="10"/>
  <c r="AM74" i="10"/>
  <c r="AM81" i="10"/>
  <c r="AM84" i="10"/>
  <c r="AM86" i="10"/>
  <c r="AM91" i="10"/>
  <c r="AM96" i="10"/>
  <c r="AM103" i="10"/>
  <c r="AM111" i="10"/>
  <c r="AM119" i="10"/>
  <c r="AM128" i="10"/>
  <c r="AM130" i="10"/>
  <c r="AM136" i="10"/>
  <c r="AM138" i="10"/>
  <c r="AM144" i="10"/>
  <c r="AM146" i="10"/>
  <c r="AM152" i="10"/>
  <c r="AM154" i="10"/>
  <c r="AM160" i="10"/>
  <c r="AM162" i="10"/>
  <c r="AM168" i="10"/>
  <c r="AM170" i="10"/>
  <c r="AM176" i="10"/>
  <c r="AM178" i="10"/>
  <c r="AM184" i="10"/>
  <c r="AM188" i="10"/>
  <c r="AM198" i="10"/>
  <c r="AM201" i="10"/>
  <c r="AM203" i="10"/>
  <c r="AM208" i="10"/>
  <c r="AM213" i="10"/>
  <c r="AM219" i="10"/>
  <c r="AM221" i="10"/>
  <c r="AM223" i="10"/>
  <c r="AM226" i="10"/>
  <c r="AM228" i="10"/>
  <c r="AM230" i="10"/>
  <c r="AM235" i="10"/>
  <c r="AM241" i="10"/>
  <c r="AM244" i="10"/>
  <c r="AM246" i="10"/>
  <c r="AM251" i="10"/>
  <c r="AM257" i="10"/>
  <c r="AM260" i="10"/>
  <c r="AM262" i="10"/>
  <c r="AM267" i="10"/>
  <c r="AM273" i="10"/>
  <c r="AM276" i="10"/>
  <c r="AM278" i="10"/>
  <c r="AM283" i="10"/>
  <c r="AM289" i="10"/>
  <c r="AM292" i="10"/>
  <c r="AM294" i="10"/>
  <c r="AM297" i="10"/>
  <c r="AM301" i="10"/>
  <c r="AM305" i="10"/>
  <c r="AM309" i="10"/>
  <c r="AM313" i="10"/>
  <c r="AM317" i="10"/>
  <c r="AM321" i="10"/>
  <c r="AM325" i="10"/>
  <c r="AM329" i="10"/>
  <c r="AM333" i="10"/>
  <c r="AM337" i="10"/>
  <c r="AM341" i="10"/>
  <c r="AM345" i="10"/>
  <c r="AM349" i="10"/>
  <c r="AM353" i="10"/>
  <c r="AM357" i="10"/>
  <c r="AM361" i="10"/>
  <c r="AM365" i="10"/>
  <c r="AM369" i="10"/>
  <c r="AM20" i="10"/>
  <c r="AM39" i="10"/>
  <c r="AM44" i="10"/>
  <c r="AM53" i="10"/>
  <c r="AM60" i="10"/>
  <c r="AM62" i="10"/>
  <c r="AM69" i="10"/>
  <c r="AM76" i="10"/>
  <c r="AM78" i="10"/>
  <c r="AM87" i="10"/>
  <c r="AM89" i="10"/>
  <c r="AM92" i="10"/>
  <c r="AM99" i="10"/>
  <c r="AM101" i="10"/>
  <c r="AM104" i="10"/>
  <c r="AM106" i="10"/>
  <c r="AM109" i="10"/>
  <c r="AM117" i="10"/>
  <c r="AM126" i="10"/>
  <c r="AM129" i="10"/>
  <c r="AM134" i="10"/>
  <c r="AM137" i="10"/>
  <c r="AM142" i="10"/>
  <c r="AM145" i="10"/>
  <c r="AM150" i="10"/>
  <c r="AM153" i="10"/>
  <c r="AM158" i="10"/>
  <c r="AM161" i="10"/>
  <c r="AM166" i="10"/>
  <c r="AM169" i="10"/>
  <c r="AM174" i="10"/>
  <c r="AM177" i="10"/>
  <c r="AM182" i="10"/>
  <c r="AM186" i="10"/>
  <c r="AM193" i="10"/>
  <c r="AM195" i="10"/>
  <c r="AM200" i="10"/>
  <c r="AM205" i="10"/>
  <c r="AM207" i="10"/>
  <c r="AM210" i="10"/>
  <c r="AM212" i="10"/>
  <c r="AM217" i="10"/>
  <c r="AM220" i="10"/>
  <c r="AM231" i="10"/>
  <c r="AM237" i="10"/>
  <c r="AM240" i="10"/>
  <c r="AM242" i="10"/>
  <c r="AM247" i="10"/>
  <c r="AM253" i="10"/>
  <c r="AM256" i="10"/>
  <c r="AM258" i="10"/>
  <c r="AM263" i="10"/>
  <c r="AM269" i="10"/>
  <c r="AM272" i="10"/>
  <c r="AM274" i="10"/>
  <c r="AM279" i="10"/>
  <c r="AM285" i="10"/>
  <c r="AM288" i="10"/>
  <c r="AM290" i="10"/>
  <c r="AM295" i="10"/>
  <c r="AM299" i="10"/>
  <c r="AM303" i="10"/>
  <c r="AM307" i="10"/>
  <c r="AM311" i="10"/>
  <c r="AM315" i="10"/>
  <c r="AM319" i="10"/>
  <c r="AM323" i="10"/>
  <c r="AM327" i="10"/>
  <c r="AM331" i="10"/>
  <c r="AM335" i="10"/>
  <c r="AM339" i="10"/>
  <c r="AM343" i="10"/>
  <c r="AM347" i="10"/>
  <c r="AM351" i="10"/>
  <c r="AM355" i="10"/>
  <c r="AM359" i="10"/>
  <c r="AM363" i="10"/>
  <c r="AM367" i="10"/>
  <c r="AM41" i="10"/>
  <c r="AM51" i="10"/>
  <c r="AM55" i="10"/>
  <c r="AM71" i="10"/>
  <c r="AM90" i="10"/>
  <c r="AM100" i="10"/>
  <c r="AM102" i="10"/>
  <c r="AM105" i="10"/>
  <c r="AM108" i="10"/>
  <c r="AM110" i="10"/>
  <c r="AM116" i="10"/>
  <c r="AM118" i="10"/>
  <c r="AM124" i="10"/>
  <c r="AM132" i="10"/>
  <c r="AM140" i="10"/>
  <c r="AM148" i="10"/>
  <c r="AM156" i="10"/>
  <c r="AM164" i="10"/>
  <c r="AM172" i="10"/>
  <c r="AM180" i="10"/>
  <c r="AM187" i="10"/>
  <c r="AM189" i="10"/>
  <c r="AM191" i="10"/>
  <c r="AM194" i="10"/>
  <c r="AM196" i="10"/>
  <c r="AM206" i="10"/>
  <c r="AM209" i="10"/>
  <c r="AM211" i="10"/>
  <c r="AM215" i="10"/>
  <c r="AM224" i="10"/>
  <c r="AM229" i="10"/>
  <c r="AM232" i="10"/>
  <c r="AM234" i="10"/>
  <c r="AM239" i="10"/>
  <c r="AM245" i="10"/>
  <c r="AM248" i="10"/>
  <c r="AM250" i="10"/>
  <c r="AM255" i="10"/>
  <c r="AM261" i="10"/>
  <c r="AM264" i="10"/>
  <c r="AM266" i="10"/>
  <c r="AM271" i="10"/>
  <c r="AM277" i="10"/>
  <c r="AM280" i="10"/>
  <c r="AM282" i="10"/>
  <c r="AM287" i="10"/>
  <c r="AM293" i="10"/>
  <c r="AM296" i="10"/>
  <c r="AM300" i="10"/>
  <c r="AM304" i="10"/>
  <c r="AM308" i="10"/>
  <c r="AM312" i="10"/>
  <c r="AM316" i="10"/>
  <c r="AM320" i="10"/>
  <c r="AM324" i="10"/>
  <c r="AM332" i="10"/>
  <c r="AM340" i="10"/>
  <c r="AM348" i="10"/>
  <c r="AM356" i="10"/>
  <c r="AM364" i="10"/>
  <c r="AM372" i="10"/>
  <c r="AM380" i="10"/>
  <c r="AM388" i="10"/>
  <c r="AM396" i="10"/>
  <c r="AM404" i="10"/>
  <c r="AM410" i="10"/>
  <c r="AM414" i="10"/>
  <c r="AM418" i="10"/>
  <c r="AM422" i="10"/>
  <c r="AM426" i="10"/>
  <c r="AM430" i="10"/>
  <c r="AM434" i="10"/>
  <c r="AM438" i="10"/>
  <c r="AM442" i="10"/>
  <c r="AM446" i="10"/>
  <c r="AM22" i="10"/>
  <c r="AM64" i="10"/>
  <c r="AM97" i="10"/>
  <c r="AM107" i="10"/>
  <c r="AM127" i="10"/>
  <c r="AM135" i="10"/>
  <c r="AM143" i="10"/>
  <c r="AM151" i="10"/>
  <c r="AM159" i="10"/>
  <c r="AM167" i="10"/>
  <c r="AM175" i="10"/>
  <c r="AM183" i="10"/>
  <c r="AM190" i="10"/>
  <c r="AM197" i="10"/>
  <c r="AM204" i="10"/>
  <c r="AM218" i="10"/>
  <c r="AM225" i="10"/>
  <c r="AM233" i="10"/>
  <c r="AM243" i="10"/>
  <c r="AM252" i="10"/>
  <c r="AM270" i="10"/>
  <c r="AM298" i="10"/>
  <c r="AM306" i="10"/>
  <c r="AM314" i="10"/>
  <c r="AM322" i="10"/>
  <c r="AM330" i="10"/>
  <c r="AM338" i="10"/>
  <c r="AM346" i="10"/>
  <c r="AM354" i="10"/>
  <c r="AM362" i="10"/>
  <c r="AM412" i="10"/>
  <c r="AM420" i="10"/>
  <c r="AM428" i="10"/>
  <c r="AM436" i="10"/>
  <c r="AM444" i="10"/>
  <c r="AM451" i="10"/>
  <c r="AM455" i="10"/>
  <c r="AM459" i="10"/>
  <c r="AM463" i="10"/>
  <c r="AM467" i="10"/>
  <c r="AM471" i="10"/>
  <c r="AM475" i="10"/>
  <c r="AM479" i="10"/>
  <c r="AM483" i="10"/>
  <c r="AM487" i="10"/>
  <c r="AM491" i="10"/>
  <c r="AM495" i="10"/>
  <c r="AM499" i="10"/>
  <c r="AM503" i="10"/>
  <c r="AM507" i="10"/>
  <c r="AM511" i="10"/>
  <c r="AM515" i="10"/>
  <c r="AM519" i="10"/>
  <c r="AM523" i="10"/>
  <c r="AM527" i="10"/>
  <c r="AM531" i="10"/>
  <c r="AM535" i="10"/>
  <c r="AM539" i="10"/>
  <c r="AM543" i="10"/>
  <c r="AM547" i="10"/>
  <c r="AM551" i="10"/>
  <c r="AM559" i="10"/>
  <c r="AM57" i="10"/>
  <c r="AM123" i="10"/>
  <c r="AM163" i="10"/>
  <c r="AM179" i="10"/>
  <c r="AM238" i="10"/>
  <c r="AM284" i="10"/>
  <c r="AM318" i="10"/>
  <c r="AM342" i="10"/>
  <c r="AM366" i="10"/>
  <c r="AM400" i="10"/>
  <c r="AM432" i="10"/>
  <c r="AM448" i="10"/>
  <c r="AM458" i="10"/>
  <c r="AM470" i="10"/>
  <c r="AM482" i="10"/>
  <c r="AM490" i="10"/>
  <c r="AM506" i="10"/>
  <c r="AM522" i="10"/>
  <c r="AM534" i="10"/>
  <c r="AM546" i="10"/>
  <c r="AM558" i="10"/>
  <c r="AM32" i="10"/>
  <c r="AM54" i="10"/>
  <c r="AM67" i="10"/>
  <c r="AM121" i="10"/>
  <c r="AM185" i="10"/>
  <c r="AM192" i="10"/>
  <c r="AM199" i="10"/>
  <c r="AM227" i="10"/>
  <c r="AM236" i="10"/>
  <c r="AM254" i="10"/>
  <c r="AM281" i="10"/>
  <c r="AM291" i="10"/>
  <c r="AM370" i="10"/>
  <c r="AM373" i="10"/>
  <c r="AM375" i="10"/>
  <c r="AM378" i="10"/>
  <c r="AM381" i="10"/>
  <c r="AM383" i="10"/>
  <c r="AM386" i="10"/>
  <c r="AM389" i="10"/>
  <c r="AM391" i="10"/>
  <c r="AM394" i="10"/>
  <c r="AM397" i="10"/>
  <c r="AM399" i="10"/>
  <c r="AM402" i="10"/>
  <c r="AM405" i="10"/>
  <c r="AM407" i="10"/>
  <c r="AM413" i="10"/>
  <c r="AM415" i="10"/>
  <c r="AM421" i="10"/>
  <c r="AM423" i="10"/>
  <c r="AM429" i="10"/>
  <c r="AM431" i="10"/>
  <c r="AM437" i="10"/>
  <c r="AM439" i="10"/>
  <c r="AM445" i="10"/>
  <c r="AM447" i="10"/>
  <c r="AM452" i="10"/>
  <c r="AM456" i="10"/>
  <c r="AM460" i="10"/>
  <c r="AM464" i="10"/>
  <c r="AM468" i="10"/>
  <c r="AM472" i="10"/>
  <c r="AM476" i="10"/>
  <c r="AM480" i="10"/>
  <c r="AM484" i="10"/>
  <c r="AM488" i="10"/>
  <c r="AM492" i="10"/>
  <c r="AM496" i="10"/>
  <c r="AM500" i="10"/>
  <c r="AM504" i="10"/>
  <c r="AM508" i="10"/>
  <c r="AM512" i="10"/>
  <c r="AM516" i="10"/>
  <c r="AM520" i="10"/>
  <c r="AM524" i="10"/>
  <c r="AM528" i="10"/>
  <c r="AM532" i="10"/>
  <c r="AM536" i="10"/>
  <c r="AM540" i="10"/>
  <c r="AM544" i="10"/>
  <c r="AM548" i="10"/>
  <c r="AM552" i="10"/>
  <c r="AM556" i="10"/>
  <c r="AM83" i="10"/>
  <c r="AM131" i="10"/>
  <c r="AM155" i="10"/>
  <c r="AM222" i="10"/>
  <c r="AM275" i="10"/>
  <c r="AM310" i="10"/>
  <c r="AM334" i="10"/>
  <c r="AM358" i="10"/>
  <c r="AM384" i="10"/>
  <c r="AM408" i="10"/>
  <c r="AM424" i="10"/>
  <c r="AM440" i="10"/>
  <c r="AM454" i="10"/>
  <c r="AM466" i="10"/>
  <c r="AM478" i="10"/>
  <c r="AM494" i="10"/>
  <c r="AM502" i="10"/>
  <c r="AM514" i="10"/>
  <c r="AM530" i="10"/>
  <c r="AM538" i="10"/>
  <c r="AM554" i="10"/>
  <c r="AM73" i="10"/>
  <c r="AM85" i="10"/>
  <c r="AM94" i="10"/>
  <c r="AM115" i="10"/>
  <c r="AM125" i="10"/>
  <c r="AM133" i="10"/>
  <c r="AM141" i="10"/>
  <c r="AM149" i="10"/>
  <c r="AM157" i="10"/>
  <c r="AM165" i="10"/>
  <c r="AM173" i="10"/>
  <c r="AM181" i="10"/>
  <c r="AM202" i="10"/>
  <c r="AM216" i="10"/>
  <c r="AM249" i="10"/>
  <c r="AM259" i="10"/>
  <c r="AM268" i="10"/>
  <c r="AM286" i="10"/>
  <c r="AM328" i="10"/>
  <c r="AM336" i="10"/>
  <c r="AM344" i="10"/>
  <c r="AM352" i="10"/>
  <c r="AM360" i="10"/>
  <c r="AM368" i="10"/>
  <c r="AM371" i="10"/>
  <c r="AM374" i="10"/>
  <c r="AM377" i="10"/>
  <c r="AM379" i="10"/>
  <c r="AM382" i="10"/>
  <c r="AM385" i="10"/>
  <c r="AM387" i="10"/>
  <c r="AM390" i="10"/>
  <c r="AM393" i="10"/>
  <c r="AM395" i="10"/>
  <c r="AM398" i="10"/>
  <c r="AM401" i="10"/>
  <c r="AM403" i="10"/>
  <c r="AM406" i="10"/>
  <c r="AM409" i="10"/>
  <c r="AM411" i="10"/>
  <c r="AM417" i="10"/>
  <c r="AM419" i="10"/>
  <c r="AM425" i="10"/>
  <c r="AM427" i="10"/>
  <c r="AM433" i="10"/>
  <c r="AM435" i="10"/>
  <c r="AM441" i="10"/>
  <c r="AM443" i="10"/>
  <c r="AM449" i="10"/>
  <c r="AM453" i="10"/>
  <c r="AM457" i="10"/>
  <c r="AM461" i="10"/>
  <c r="AM465" i="10"/>
  <c r="AM469" i="10"/>
  <c r="AM473" i="10"/>
  <c r="AM477" i="10"/>
  <c r="AM481" i="10"/>
  <c r="AM485" i="10"/>
  <c r="AM489" i="10"/>
  <c r="AM493" i="10"/>
  <c r="AM497" i="10"/>
  <c r="AM501" i="10"/>
  <c r="AM505" i="10"/>
  <c r="AM509" i="10"/>
  <c r="AM513" i="10"/>
  <c r="AM517" i="10"/>
  <c r="AM521" i="10"/>
  <c r="AM525" i="10"/>
  <c r="AM529" i="10"/>
  <c r="AM533" i="10"/>
  <c r="AM537" i="10"/>
  <c r="AM541" i="10"/>
  <c r="AM545" i="10"/>
  <c r="AM549" i="10"/>
  <c r="AM553" i="10"/>
  <c r="AM557" i="10"/>
  <c r="AM555" i="10"/>
  <c r="AM560" i="10"/>
  <c r="AM113" i="10"/>
  <c r="AM139" i="10"/>
  <c r="AM147" i="10"/>
  <c r="AM171" i="10"/>
  <c r="AM214" i="10"/>
  <c r="AM265" i="10"/>
  <c r="AM302" i="10"/>
  <c r="AM326" i="10"/>
  <c r="AM350" i="10"/>
  <c r="AM376" i="10"/>
  <c r="AM392" i="10"/>
  <c r="AM416" i="10"/>
  <c r="AM450" i="10"/>
  <c r="AM462" i="10"/>
  <c r="AM474" i="10"/>
  <c r="AM486" i="10"/>
  <c r="AM498" i="10"/>
  <c r="AM510" i="10"/>
  <c r="AM518" i="10"/>
  <c r="AM526" i="10"/>
  <c r="AM542" i="10"/>
  <c r="AM550" i="10"/>
  <c r="AL288" i="10"/>
  <c r="AK105" i="10" l="1"/>
  <c r="AL473" i="10"/>
  <c r="AL152" i="10"/>
  <c r="AL353" i="10"/>
  <c r="AL465" i="10"/>
  <c r="AL209" i="10"/>
  <c r="AL458" i="10"/>
  <c r="AK490" i="10"/>
  <c r="AL79" i="10"/>
  <c r="AL341" i="10"/>
  <c r="AL309" i="10"/>
  <c r="AK551" i="10"/>
  <c r="AL119" i="10"/>
  <c r="AK453" i="10"/>
  <c r="AK294" i="10"/>
  <c r="AK399" i="10"/>
  <c r="AK210" i="10"/>
  <c r="AL379" i="10"/>
  <c r="AK188" i="10"/>
  <c r="AK357" i="10"/>
  <c r="AK53" i="10"/>
  <c r="AL124" i="10"/>
  <c r="AL69" i="10"/>
  <c r="AL183" i="10"/>
  <c r="AL471" i="10"/>
  <c r="AK149" i="10"/>
  <c r="AL284" i="10"/>
  <c r="AL442" i="10"/>
  <c r="AL554" i="10"/>
  <c r="AL243" i="10"/>
  <c r="AK101" i="10"/>
  <c r="AK360" i="10"/>
  <c r="AL28" i="10"/>
  <c r="AK268" i="10"/>
  <c r="AL516" i="10"/>
  <c r="AK405" i="10"/>
  <c r="AL318" i="10"/>
  <c r="AL535" i="10"/>
  <c r="AL172" i="10"/>
  <c r="AL44" i="10"/>
  <c r="AK322" i="10"/>
  <c r="AK506" i="10"/>
  <c r="AL123" i="10"/>
  <c r="AL411" i="10"/>
  <c r="AL236" i="10"/>
  <c r="AK150" i="10"/>
  <c r="AL85" i="10"/>
  <c r="AK215" i="10"/>
  <c r="AL66" i="10"/>
  <c r="AL158" i="10"/>
  <c r="AK21" i="10"/>
  <c r="AL343" i="10"/>
  <c r="AL55" i="10"/>
  <c r="AK202" i="10"/>
  <c r="AK23" i="10"/>
  <c r="AK251" i="10"/>
  <c r="AK389" i="10"/>
  <c r="AK92" i="10"/>
  <c r="AL484" i="10"/>
  <c r="AK510" i="10"/>
  <c r="AL510" i="10"/>
  <c r="AK126" i="10"/>
  <c r="AL126" i="10"/>
  <c r="AK191" i="10"/>
  <c r="AL191" i="10"/>
  <c r="AL128" i="10"/>
  <c r="AK128" i="10"/>
  <c r="AL57" i="10"/>
  <c r="AK57" i="10"/>
  <c r="AL139" i="10"/>
  <c r="AK139" i="10"/>
  <c r="AL533" i="10"/>
  <c r="AK533" i="10"/>
  <c r="AL553" i="10"/>
  <c r="AK553" i="10"/>
  <c r="AK548" i="10"/>
  <c r="AL548" i="10"/>
  <c r="AK314" i="10"/>
  <c r="AL314" i="10"/>
  <c r="AK450" i="10"/>
  <c r="AL450" i="10"/>
  <c r="AL428" i="10"/>
  <c r="AK428" i="10"/>
  <c r="AK386" i="10"/>
  <c r="AL386" i="10"/>
  <c r="AK403" i="10"/>
  <c r="AL403" i="10"/>
  <c r="AK115" i="10"/>
  <c r="AL115" i="10"/>
  <c r="AL469" i="10"/>
  <c r="AK469" i="10"/>
  <c r="AL437" i="10"/>
  <c r="AK437" i="10"/>
  <c r="AL325" i="10"/>
  <c r="AK325" i="10"/>
  <c r="AL151" i="10"/>
  <c r="AK151" i="10"/>
  <c r="AK87" i="10"/>
  <c r="AL87" i="10"/>
  <c r="AL220" i="10"/>
  <c r="AK220" i="10"/>
  <c r="AK76" i="10"/>
  <c r="AL76" i="10"/>
  <c r="AL277" i="10"/>
  <c r="AK277" i="10"/>
  <c r="AL229" i="10"/>
  <c r="AK229" i="10"/>
  <c r="AK181" i="10"/>
  <c r="AL181" i="10"/>
  <c r="AK165" i="10"/>
  <c r="AL165" i="10"/>
  <c r="AK37" i="10"/>
  <c r="AL37" i="10"/>
  <c r="AK487" i="10"/>
  <c r="AK133" i="10"/>
  <c r="AK252" i="10"/>
  <c r="AK78" i="10"/>
  <c r="AK166" i="10"/>
  <c r="AK382" i="10"/>
  <c r="AL197" i="10"/>
  <c r="AL247" i="10"/>
  <c r="AL407" i="10"/>
  <c r="AK373" i="10"/>
  <c r="AL108" i="10"/>
  <c r="AL117" i="10"/>
  <c r="AK74" i="10"/>
  <c r="AL290" i="10"/>
  <c r="AL522" i="10"/>
  <c r="AK213" i="10"/>
  <c r="AL307" i="10"/>
  <c r="AL467" i="10"/>
  <c r="AL424" i="10"/>
  <c r="AK421" i="10"/>
  <c r="AL38" i="10"/>
  <c r="AK156" i="10"/>
  <c r="AL356" i="10"/>
  <c r="AL503" i="10"/>
  <c r="AK261" i="10"/>
  <c r="AK110" i="10"/>
  <c r="AL286" i="10"/>
  <c r="AL446" i="10"/>
  <c r="AK279" i="10"/>
  <c r="AL519" i="10"/>
  <c r="AL30" i="10"/>
  <c r="AK140" i="10"/>
  <c r="AL245" i="10"/>
  <c r="AL497" i="10"/>
  <c r="AL82" i="10"/>
  <c r="AK538" i="10"/>
  <c r="AL293" i="10"/>
  <c r="AK235" i="10"/>
  <c r="AK339" i="10"/>
  <c r="AL536" i="10"/>
  <c r="AL60" i="10"/>
  <c r="AL204" i="10"/>
  <c r="AK364" i="10"/>
  <c r="AL185" i="10"/>
  <c r="AK48" i="10"/>
  <c r="AK430" i="10"/>
  <c r="AK377" i="10"/>
  <c r="AK366" i="10"/>
  <c r="AK153" i="10"/>
  <c r="AK281" i="10"/>
  <c r="AK91" i="10"/>
  <c r="AK262" i="10"/>
  <c r="AK137" i="10"/>
  <c r="AL89" i="10"/>
  <c r="AL409" i="10"/>
  <c r="AK523" i="10"/>
  <c r="AK121" i="10"/>
  <c r="AK64" i="10"/>
  <c r="AL224" i="10"/>
  <c r="AL73" i="10"/>
  <c r="AK41" i="10"/>
  <c r="AL323" i="10"/>
  <c r="AK160" i="10"/>
  <c r="AL492" i="10"/>
  <c r="AK492" i="10"/>
  <c r="AK542" i="10"/>
  <c r="AL542" i="10"/>
  <c r="AL391" i="10"/>
  <c r="AK391" i="10"/>
  <c r="AL219" i="10"/>
  <c r="AK219" i="10"/>
  <c r="AK134" i="10"/>
  <c r="AL134" i="10"/>
  <c r="AK555" i="10"/>
  <c r="AL555" i="10"/>
  <c r="AL408" i="10"/>
  <c r="AK408" i="10"/>
  <c r="AL240" i="10"/>
  <c r="AK240" i="10"/>
  <c r="AK494" i="10"/>
  <c r="AK223" i="10"/>
  <c r="AL169" i="10"/>
  <c r="AL258" i="10"/>
  <c r="AL265" i="10"/>
  <c r="AK393" i="10"/>
  <c r="AK457" i="10"/>
  <c r="AL95" i="10"/>
  <c r="AK315" i="10"/>
  <c r="AK451" i="10"/>
  <c r="AK507" i="10"/>
  <c r="AK201" i="10"/>
  <c r="AL361" i="10"/>
  <c r="AK50" i="10"/>
  <c r="AL112" i="10"/>
  <c r="AK416" i="10"/>
  <c r="AL488" i="10"/>
  <c r="AL452" i="10"/>
  <c r="AK452" i="10"/>
  <c r="AK254" i="10"/>
  <c r="AL254" i="10"/>
  <c r="AK170" i="10"/>
  <c r="AL170" i="10"/>
  <c r="AL312" i="10"/>
  <c r="AK312" i="10"/>
  <c r="AK63" i="10"/>
  <c r="AL63" i="10"/>
  <c r="AL272" i="10"/>
  <c r="AK272" i="10"/>
  <c r="AK208" i="10"/>
  <c r="AL208" i="10"/>
  <c r="AL217" i="10"/>
  <c r="AK217" i="10"/>
  <c r="AK552" i="10"/>
  <c r="AL552" i="10"/>
  <c r="AL526" i="10"/>
  <c r="AK526" i="10"/>
  <c r="AL476" i="10"/>
  <c r="AK476" i="10"/>
  <c r="AK434" i="10"/>
  <c r="AL434" i="10"/>
  <c r="AK387" i="10"/>
  <c r="AL387" i="10"/>
  <c r="AK176" i="10"/>
  <c r="AL176" i="10"/>
  <c r="AL297" i="10"/>
  <c r="AK297" i="10"/>
  <c r="AL455" i="10"/>
  <c r="AK233" i="10"/>
  <c r="AK313" i="10"/>
  <c r="AK558" i="10"/>
  <c r="AK249" i="10"/>
  <c r="AL159" i="10"/>
  <c r="AK287" i="10"/>
  <c r="AK367" i="10"/>
  <c r="AL162" i="10"/>
  <c r="AK298" i="10"/>
  <c r="AL410" i="10"/>
  <c r="AK425" i="10"/>
  <c r="AL32" i="10"/>
  <c r="AL171" i="10"/>
  <c r="AK539" i="10"/>
  <c r="AL25" i="10"/>
  <c r="AL80" i="10"/>
  <c r="AL144" i="10"/>
  <c r="AL192" i="10"/>
  <c r="AK256" i="10"/>
  <c r="AK344" i="10"/>
  <c r="AL368" i="10"/>
  <c r="AL31" i="10"/>
  <c r="AK86" i="10"/>
  <c r="AL127" i="10"/>
  <c r="AK255" i="10"/>
  <c r="AL303" i="10"/>
  <c r="AK329" i="10"/>
  <c r="AL178" i="10"/>
  <c r="AL370" i="10"/>
  <c r="AL345" i="10"/>
  <c r="AL441" i="10"/>
  <c r="AK83" i="10"/>
  <c r="AL211" i="10"/>
  <c r="AK491" i="10"/>
  <c r="AL42" i="10"/>
  <c r="AK96" i="10"/>
  <c r="AK400" i="10"/>
  <c r="AL472" i="10"/>
  <c r="AK412" i="10"/>
  <c r="AK142" i="10"/>
  <c r="AK528" i="10"/>
  <c r="AL556" i="10"/>
  <c r="AK331" i="10"/>
  <c r="AK19" i="10"/>
  <c r="AL324" i="10"/>
  <c r="AL348" i="10"/>
  <c r="AK374" i="10"/>
  <c r="AK327" i="10"/>
  <c r="AK404" i="10"/>
  <c r="AK347" i="10"/>
  <c r="AL19" i="10"/>
  <c r="AK276" i="10"/>
  <c r="AK182" i="10"/>
  <c r="AK90" i="10"/>
  <c r="AK521" i="10"/>
  <c r="AL415" i="10"/>
  <c r="AK524" i="10"/>
  <c r="AL306" i="10"/>
  <c r="AK237" i="10"/>
  <c r="AL496" i="10"/>
  <c r="AK560" i="10"/>
  <c r="AL109" i="10"/>
  <c r="AK349" i="10"/>
  <c r="AL546" i="10"/>
  <c r="AL99" i="10"/>
  <c r="AK493" i="10"/>
  <c r="AL270" i="10"/>
  <c r="AK549" i="10"/>
  <c r="AL319" i="10"/>
  <c r="AL375" i="10"/>
  <c r="AK485" i="10"/>
  <c r="AK529" i="10"/>
  <c r="AL186" i="10"/>
  <c r="AL459" i="10"/>
  <c r="AK300" i="10"/>
  <c r="AK285" i="10"/>
  <c r="AK154" i="10"/>
  <c r="AK330" i="10"/>
  <c r="AL206" i="10"/>
  <c r="AL54" i="10"/>
  <c r="AK94" i="10"/>
  <c r="AL77" i="10"/>
  <c r="AL414" i="10"/>
  <c r="AK125" i="10"/>
  <c r="AK541" i="10"/>
  <c r="AL363" i="10"/>
  <c r="AK141" i="10"/>
  <c r="AL100" i="10"/>
  <c r="AL103" i="10"/>
  <c r="AL196" i="10"/>
  <c r="AK45" i="10"/>
  <c r="AL427" i="10"/>
  <c r="AK537" i="10"/>
  <c r="AL500" i="10"/>
  <c r="AK226" i="10"/>
  <c r="AK525" i="10"/>
  <c r="AK35" i="10"/>
  <c r="AL384" i="10"/>
  <c r="AL164" i="10"/>
  <c r="AL71" i="10"/>
  <c r="AL439" i="10"/>
  <c r="AL68" i="10"/>
  <c r="AK260" i="10"/>
  <c r="AL530" i="10"/>
  <c r="AK174" i="10"/>
  <c r="AK342" i="10"/>
  <c r="AL470" i="10"/>
  <c r="AL231" i="10"/>
  <c r="AL301" i="10"/>
  <c r="AK559" i="10"/>
  <c r="AL436" i="10"/>
  <c r="AL221" i="10"/>
  <c r="AL418" i="10"/>
  <c r="AL482" i="10"/>
  <c r="AK195" i="10"/>
  <c r="AL512" i="10"/>
  <c r="AL46" i="10"/>
  <c r="AK502" i="10"/>
  <c r="AK259" i="10"/>
  <c r="AL27" i="10"/>
  <c r="AK308" i="10"/>
  <c r="AK271" i="10"/>
  <c r="AK40" i="10"/>
  <c r="AL49" i="10"/>
  <c r="AK114" i="10"/>
  <c r="AL346" i="10"/>
  <c r="AK227" i="10"/>
  <c r="AL355" i="10"/>
  <c r="AL43" i="10"/>
  <c r="AK334" i="10"/>
  <c r="AK398" i="10"/>
  <c r="AK438" i="10"/>
  <c r="AK175" i="10"/>
  <c r="AK557" i="10"/>
  <c r="AL326" i="10"/>
  <c r="AK326" i="10"/>
  <c r="AK267" i="10"/>
  <c r="AL267" i="10"/>
  <c r="AL520" i="10"/>
  <c r="AK520" i="10"/>
  <c r="AK75" i="10"/>
  <c r="AL75" i="10"/>
  <c r="AL443" i="10"/>
  <c r="AK443" i="10"/>
  <c r="AK67" i="10"/>
  <c r="AL67" i="10"/>
  <c r="AL513" i="10"/>
  <c r="AK513" i="10"/>
  <c r="AK352" i="10"/>
  <c r="AL352" i="10"/>
  <c r="AL508" i="10"/>
  <c r="AK508" i="10"/>
  <c r="AK388" i="10"/>
  <c r="AL388" i="10"/>
  <c r="AK444" i="10"/>
  <c r="AL444" i="10"/>
  <c r="AL242" i="10"/>
  <c r="AK242" i="10"/>
  <c r="AK531" i="10"/>
  <c r="AL531" i="10"/>
  <c r="AL499" i="10"/>
  <c r="AK499" i="10"/>
  <c r="AL62" i="10"/>
  <c r="AK62" i="10"/>
  <c r="AK401" i="10"/>
  <c r="AL401" i="10"/>
  <c r="AL369" i="10"/>
  <c r="AK369" i="10"/>
  <c r="AL321" i="10"/>
  <c r="AK321" i="10"/>
  <c r="AL296" i="10"/>
  <c r="AK296" i="10"/>
  <c r="AL264" i="10"/>
  <c r="AK264" i="10"/>
  <c r="AL232" i="10"/>
  <c r="AK232" i="10"/>
  <c r="AK200" i="10"/>
  <c r="AL200" i="10"/>
  <c r="AK184" i="10"/>
  <c r="AL184" i="10"/>
  <c r="AK168" i="10"/>
  <c r="AL168" i="10"/>
  <c r="AK136" i="10"/>
  <c r="AL136" i="10"/>
  <c r="AK120" i="10"/>
  <c r="AL120" i="10"/>
  <c r="AK104" i="10"/>
  <c r="AL104" i="10"/>
  <c r="AK72" i="10"/>
  <c r="AL72" i="10"/>
  <c r="AK56" i="10"/>
  <c r="AL56" i="10"/>
  <c r="AL305" i="10"/>
  <c r="AK305" i="10"/>
  <c r="AL289" i="10"/>
  <c r="AK289" i="10"/>
  <c r="AK193" i="10"/>
  <c r="AL193" i="10"/>
  <c r="AK145" i="10"/>
  <c r="AL145" i="10"/>
  <c r="AK97" i="10"/>
  <c r="AL97" i="10"/>
  <c r="AK33" i="10"/>
  <c r="AL33" i="10"/>
  <c r="AL475" i="10"/>
  <c r="AK475" i="10"/>
  <c r="AK246" i="10"/>
  <c r="AL246" i="10"/>
  <c r="AK358" i="10"/>
  <c r="AL358" i="10"/>
  <c r="AL545" i="10"/>
  <c r="AK545" i="10"/>
  <c r="AK480" i="10"/>
  <c r="AL480" i="10"/>
  <c r="AK395" i="10"/>
  <c r="AL395" i="10"/>
  <c r="AK540" i="10"/>
  <c r="AL540" i="10"/>
  <c r="AL431" i="10"/>
  <c r="AK431" i="10"/>
  <c r="AK466" i="10"/>
  <c r="AL466" i="10"/>
  <c r="AK155" i="10"/>
  <c r="AL155" i="10"/>
  <c r="AK547" i="10"/>
  <c r="AL547" i="10"/>
  <c r="AK515" i="10"/>
  <c r="AL515" i="10"/>
  <c r="AK483" i="10"/>
  <c r="AL483" i="10"/>
  <c r="AL419" i="10"/>
  <c r="AK419" i="10"/>
  <c r="AK106" i="10"/>
  <c r="AL106" i="10"/>
  <c r="AL449" i="10"/>
  <c r="AK449" i="10"/>
  <c r="AL385" i="10"/>
  <c r="AK385" i="10"/>
  <c r="AK337" i="10"/>
  <c r="AL337" i="10"/>
  <c r="AK302" i="10"/>
  <c r="AL302" i="10"/>
  <c r="AK239" i="10"/>
  <c r="AL239" i="10"/>
  <c r="AL248" i="10"/>
  <c r="AK248" i="10"/>
  <c r="AK70" i="10"/>
  <c r="AL214" i="10"/>
  <c r="AK486" i="10"/>
  <c r="AL550" i="10"/>
  <c r="AK481" i="10"/>
  <c r="AK207" i="10"/>
  <c r="AL447" i="10"/>
  <c r="AK316" i="10"/>
  <c r="AK362" i="10"/>
  <c r="AL474" i="10"/>
  <c r="AK275" i="10"/>
  <c r="AK216" i="10"/>
  <c r="AL376" i="10"/>
  <c r="AK190" i="10"/>
  <c r="AL238" i="10"/>
  <c r="AK534" i="10"/>
  <c r="AL417" i="10"/>
  <c r="AK517" i="10"/>
  <c r="AL111" i="10"/>
  <c r="AL359" i="10"/>
  <c r="AL58" i="10"/>
  <c r="AK130" i="10"/>
  <c r="AL234" i="10"/>
  <c r="AL402" i="10"/>
  <c r="AK24" i="10"/>
  <c r="AK147" i="10"/>
  <c r="AL283" i="10"/>
  <c r="AK280" i="10"/>
  <c r="AK380" i="10"/>
  <c r="AL129" i="10"/>
  <c r="AK198" i="10"/>
  <c r="AK462" i="10"/>
  <c r="AK518" i="10"/>
  <c r="AL433" i="10"/>
  <c r="AL143" i="10"/>
  <c r="AL311" i="10"/>
  <c r="AL423" i="10"/>
  <c r="AK47" i="10"/>
  <c r="AL372" i="10"/>
  <c r="AK98" i="10"/>
  <c r="AL338" i="10"/>
  <c r="AK509" i="10"/>
  <c r="AL299" i="10"/>
  <c r="AK257" i="10"/>
  <c r="AL88" i="10"/>
  <c r="AK440" i="10"/>
  <c r="AK498" i="10"/>
  <c r="AL498" i="10"/>
  <c r="AL332" i="10"/>
  <c r="AK332" i="10"/>
  <c r="AK274" i="10"/>
  <c r="AL274" i="10"/>
  <c r="AL187" i="10"/>
  <c r="AK187" i="10"/>
  <c r="AK295" i="10"/>
  <c r="AL295" i="10"/>
  <c r="AL167" i="10"/>
  <c r="AK167" i="10"/>
  <c r="AK52" i="10"/>
  <c r="AL52" i="10"/>
  <c r="AL543" i="10"/>
  <c r="AK269" i="10"/>
  <c r="AK460" i="10"/>
  <c r="AL157" i="10"/>
  <c r="AL205" i="10"/>
  <c r="AK429" i="10"/>
  <c r="AK505" i="10"/>
  <c r="AL350" i="10"/>
  <c r="AL390" i="10"/>
  <c r="AK422" i="10"/>
  <c r="AK135" i="10"/>
  <c r="AL463" i="10"/>
  <c r="AL93" i="10"/>
  <c r="AL189" i="10"/>
  <c r="AK22" i="10"/>
  <c r="AK340" i="10"/>
  <c r="AK61" i="10"/>
  <c r="AL122" i="10"/>
  <c r="AL426" i="10"/>
  <c r="AK514" i="10"/>
  <c r="AL291" i="10"/>
  <c r="AL34" i="10"/>
  <c r="AK328" i="10"/>
  <c r="AK392" i="10"/>
  <c r="AK456" i="10"/>
  <c r="AL173" i="10"/>
  <c r="AK253" i="10"/>
  <c r="AK26" i="10"/>
  <c r="AK107" i="10"/>
  <c r="AL107" i="10"/>
  <c r="AK146" i="10"/>
  <c r="AL146" i="10"/>
  <c r="AK478" i="10"/>
  <c r="AL478" i="10"/>
  <c r="AK396" i="10"/>
  <c r="AK461" i="10"/>
  <c r="AL222" i="10"/>
  <c r="AL501" i="10"/>
  <c r="AL199" i="10"/>
  <c r="AL263" i="10"/>
  <c r="AL351" i="10"/>
  <c r="AL495" i="10"/>
  <c r="AK397" i="10"/>
  <c r="AL51" i="10"/>
  <c r="AK194" i="10"/>
  <c r="AL354" i="10"/>
  <c r="AK203" i="10"/>
  <c r="AK29" i="10"/>
  <c r="AL336" i="10"/>
  <c r="AK432" i="10"/>
  <c r="AK504" i="10"/>
  <c r="AN498" i="10"/>
  <c r="AO498" i="10"/>
  <c r="AO214" i="10"/>
  <c r="AN214" i="10"/>
  <c r="AO113" i="10"/>
  <c r="AN113" i="10"/>
  <c r="AN521" i="10"/>
  <c r="AO521" i="10"/>
  <c r="AN473" i="10"/>
  <c r="AO473" i="10"/>
  <c r="AN457" i="10"/>
  <c r="AO457" i="10"/>
  <c r="AN409" i="10"/>
  <c r="AO409" i="10"/>
  <c r="AN398" i="10"/>
  <c r="AO398" i="10"/>
  <c r="AO360" i="10"/>
  <c r="AN360" i="10"/>
  <c r="AO173" i="10"/>
  <c r="AN173" i="10"/>
  <c r="AO141" i="10"/>
  <c r="AN141" i="10"/>
  <c r="AN494" i="10"/>
  <c r="AO494" i="10"/>
  <c r="AO440" i="10"/>
  <c r="AN440" i="10"/>
  <c r="AO556" i="10"/>
  <c r="AN556" i="10"/>
  <c r="AO508" i="10"/>
  <c r="AN508" i="10"/>
  <c r="AO492" i="10"/>
  <c r="AN492" i="10"/>
  <c r="AO445" i="10"/>
  <c r="AN445" i="10"/>
  <c r="AO413" i="10"/>
  <c r="AN413" i="10"/>
  <c r="AO389" i="10"/>
  <c r="AN389" i="10"/>
  <c r="AO227" i="10"/>
  <c r="AN227" i="10"/>
  <c r="AO121" i="10"/>
  <c r="AN121" i="10"/>
  <c r="AN458" i="10"/>
  <c r="AO458" i="10"/>
  <c r="AO238" i="10"/>
  <c r="AN238" i="10"/>
  <c r="AN543" i="10"/>
  <c r="AO543" i="10"/>
  <c r="AN495" i="10"/>
  <c r="AO495" i="10"/>
  <c r="AN463" i="10"/>
  <c r="AO463" i="10"/>
  <c r="AO412" i="10"/>
  <c r="AN412" i="10"/>
  <c r="AO243" i="10"/>
  <c r="AN243" i="10"/>
  <c r="AO175" i="10"/>
  <c r="AN175" i="10"/>
  <c r="AO97" i="10"/>
  <c r="AN97" i="10"/>
  <c r="AN426" i="10"/>
  <c r="AO426" i="10"/>
  <c r="AO348" i="10"/>
  <c r="AN348" i="10"/>
  <c r="AN304" i="10"/>
  <c r="AO304" i="10"/>
  <c r="AN271" i="10"/>
  <c r="AO271" i="10"/>
  <c r="AN239" i="10"/>
  <c r="AO239" i="10"/>
  <c r="AN189" i="10"/>
  <c r="AO189" i="10"/>
  <c r="AN132" i="10"/>
  <c r="AO132" i="10"/>
  <c r="AN100" i="10"/>
  <c r="AO100" i="10"/>
  <c r="AN359" i="10"/>
  <c r="AO359" i="10"/>
  <c r="AN311" i="10"/>
  <c r="AO311" i="10"/>
  <c r="AN279" i="10"/>
  <c r="AO279" i="10"/>
  <c r="AN247" i="10"/>
  <c r="AO247" i="10"/>
  <c r="AO210" i="10"/>
  <c r="AN210" i="10"/>
  <c r="AO177" i="10"/>
  <c r="AN177" i="10"/>
  <c r="AO129" i="10"/>
  <c r="AN129" i="10"/>
  <c r="AO92" i="10"/>
  <c r="AN92" i="10"/>
  <c r="AO53" i="10"/>
  <c r="AN53" i="10"/>
  <c r="AN353" i="10"/>
  <c r="AO353" i="10"/>
  <c r="AO305" i="10"/>
  <c r="AN305" i="10"/>
  <c r="AN276" i="10"/>
  <c r="AO276" i="10"/>
  <c r="AN244" i="10"/>
  <c r="AO244" i="10"/>
  <c r="AO219" i="10"/>
  <c r="AN219" i="10"/>
  <c r="AN178" i="10"/>
  <c r="AO178" i="10"/>
  <c r="AN130" i="10"/>
  <c r="AO130" i="10"/>
  <c r="AN84" i="10"/>
  <c r="AO84" i="10"/>
  <c r="AN122" i="10"/>
  <c r="AO122" i="10"/>
  <c r="AO80" i="10"/>
  <c r="AN80" i="10"/>
  <c r="AN38" i="10"/>
  <c r="AO38" i="10"/>
  <c r="AO82" i="10"/>
  <c r="AN82" i="10"/>
  <c r="AN50" i="10"/>
  <c r="AO50" i="10"/>
  <c r="AN526" i="10"/>
  <c r="AO526" i="10"/>
  <c r="AO326" i="10"/>
  <c r="AN326" i="10"/>
  <c r="AO560" i="10"/>
  <c r="AN560" i="10"/>
  <c r="AN533" i="10"/>
  <c r="AO533" i="10"/>
  <c r="AN485" i="10"/>
  <c r="AO485" i="10"/>
  <c r="AN453" i="10"/>
  <c r="AO453" i="10"/>
  <c r="AN419" i="10"/>
  <c r="AO419" i="10"/>
  <c r="AN395" i="10"/>
  <c r="AO395" i="10"/>
  <c r="AN374" i="10"/>
  <c r="AO374" i="10"/>
  <c r="AO216" i="10"/>
  <c r="AN216" i="10"/>
  <c r="AO133" i="10"/>
  <c r="AN133" i="10"/>
  <c r="AN530" i="10"/>
  <c r="AO530" i="10"/>
  <c r="AO334" i="10"/>
  <c r="AN334" i="10"/>
  <c r="AO520" i="10"/>
  <c r="AN520" i="10"/>
  <c r="AL36" i="10"/>
  <c r="AK477" i="10"/>
  <c r="AK118" i="10"/>
  <c r="AL230" i="10"/>
  <c r="AL278" i="10"/>
  <c r="AL310" i="10"/>
  <c r="AL406" i="10"/>
  <c r="AL454" i="10"/>
  <c r="AL113" i="10"/>
  <c r="AK225" i="10"/>
  <c r="AK333" i="10"/>
  <c r="AL335" i="10"/>
  <c r="AL511" i="10"/>
  <c r="AL39" i="10"/>
  <c r="AK228" i="10"/>
  <c r="AK468" i="10"/>
  <c r="AK273" i="10"/>
  <c r="AL138" i="10"/>
  <c r="AL218" i="10"/>
  <c r="AL250" i="10"/>
  <c r="AL266" i="10"/>
  <c r="AL282" i="10"/>
  <c r="AL177" i="10"/>
  <c r="AK489" i="10"/>
  <c r="AK131" i="10"/>
  <c r="AK163" i="10"/>
  <c r="AK179" i="10"/>
  <c r="AL371" i="10"/>
  <c r="AL435" i="10"/>
  <c r="AL81" i="10"/>
  <c r="AL161" i="10"/>
  <c r="AK241" i="10"/>
  <c r="AK317" i="10"/>
  <c r="AK304" i="10"/>
  <c r="AK448" i="10"/>
  <c r="AK464" i="10"/>
  <c r="AL544" i="10"/>
  <c r="AL116" i="10"/>
  <c r="AL148" i="10"/>
  <c r="AK212" i="10"/>
  <c r="AK244" i="10"/>
  <c r="AK420" i="10"/>
  <c r="AN518" i="10"/>
  <c r="AO518" i="10"/>
  <c r="AN474" i="10"/>
  <c r="AO474" i="10"/>
  <c r="AO302" i="10"/>
  <c r="AN302" i="10"/>
  <c r="AO147" i="10"/>
  <c r="AN147" i="10"/>
  <c r="AN545" i="10"/>
  <c r="AO545" i="10"/>
  <c r="AN513" i="10"/>
  <c r="AO513" i="10"/>
  <c r="AN497" i="10"/>
  <c r="AO497" i="10"/>
  <c r="AN465" i="10"/>
  <c r="AO465" i="10"/>
  <c r="AN449" i="10"/>
  <c r="AO449" i="10"/>
  <c r="AN417" i="10"/>
  <c r="AO417" i="10"/>
  <c r="AN393" i="10"/>
  <c r="AO393" i="10"/>
  <c r="AN382" i="10"/>
  <c r="AO382" i="10"/>
  <c r="AO344" i="10"/>
  <c r="AN344" i="10"/>
  <c r="AO268" i="10"/>
  <c r="AN268" i="10"/>
  <c r="AO157" i="10"/>
  <c r="AN157" i="10"/>
  <c r="AO125" i="10"/>
  <c r="AN125" i="10"/>
  <c r="AN514" i="10"/>
  <c r="AO514" i="10"/>
  <c r="AO408" i="10"/>
  <c r="AN408" i="10"/>
  <c r="AO310" i="10"/>
  <c r="AN310" i="10"/>
  <c r="AO548" i="10"/>
  <c r="AN548" i="10"/>
  <c r="AO532" i="10"/>
  <c r="AN532" i="10"/>
  <c r="AO500" i="10"/>
  <c r="AN500" i="10"/>
  <c r="AO468" i="10"/>
  <c r="AN468" i="10"/>
  <c r="AO452" i="10"/>
  <c r="AN452" i="10"/>
  <c r="AN421" i="10"/>
  <c r="AO421" i="10"/>
  <c r="AO405" i="10"/>
  <c r="AN405" i="10"/>
  <c r="AN383" i="10"/>
  <c r="AO383" i="10"/>
  <c r="AO254" i="10"/>
  <c r="AN254" i="10"/>
  <c r="AO192" i="10"/>
  <c r="AN192" i="10"/>
  <c r="AN534" i="10"/>
  <c r="AO534" i="10"/>
  <c r="AN482" i="10"/>
  <c r="AO482" i="10"/>
  <c r="AO318" i="10"/>
  <c r="AN318" i="10"/>
  <c r="AN551" i="10"/>
  <c r="AO551" i="10"/>
  <c r="AN535" i="10"/>
  <c r="AO535" i="10"/>
  <c r="AN503" i="10"/>
  <c r="AO503" i="10"/>
  <c r="AN487" i="10"/>
  <c r="AO487" i="10"/>
  <c r="AN455" i="10"/>
  <c r="AO455" i="10"/>
  <c r="AO354" i="10"/>
  <c r="AN354" i="10"/>
  <c r="AO322" i="10"/>
  <c r="AN322" i="10"/>
  <c r="AN225" i="10"/>
  <c r="AO225" i="10"/>
  <c r="AO190" i="10"/>
  <c r="AN190" i="10"/>
  <c r="AO127" i="10"/>
  <c r="AN127" i="10"/>
  <c r="AN434" i="10"/>
  <c r="AO434" i="10"/>
  <c r="AN418" i="10"/>
  <c r="AO418" i="10"/>
  <c r="AO364" i="10"/>
  <c r="AN364" i="10"/>
  <c r="AO332" i="10"/>
  <c r="AN332" i="10"/>
  <c r="AN296" i="10"/>
  <c r="AO296" i="10"/>
  <c r="AN264" i="10"/>
  <c r="AO264" i="10"/>
  <c r="AN248" i="10"/>
  <c r="AO248" i="10"/>
  <c r="AO211" i="10"/>
  <c r="AN211" i="10"/>
  <c r="AO194" i="10"/>
  <c r="AN194" i="10"/>
  <c r="AN148" i="10"/>
  <c r="AO148" i="10"/>
  <c r="AO105" i="10"/>
  <c r="AN105" i="10"/>
  <c r="AO71" i="10"/>
  <c r="AN71" i="10"/>
  <c r="AN351" i="10"/>
  <c r="AO351" i="10"/>
  <c r="AN335" i="10"/>
  <c r="AO335" i="10"/>
  <c r="AO256" i="10"/>
  <c r="AN256" i="10"/>
  <c r="AK527" i="10"/>
  <c r="AK132" i="10"/>
  <c r="AL365" i="10"/>
  <c r="AL445" i="10"/>
  <c r="AL102" i="10"/>
  <c r="AK65" i="10"/>
  <c r="AL381" i="10"/>
  <c r="AK383" i="10"/>
  <c r="AK479" i="10"/>
  <c r="AL413" i="10"/>
  <c r="AK378" i="10"/>
  <c r="AK394" i="10"/>
  <c r="AK59" i="10"/>
  <c r="AK20" i="10"/>
  <c r="AL320" i="10"/>
  <c r="AK84" i="10"/>
  <c r="AK180" i="10"/>
  <c r="AL292" i="10"/>
  <c r="AK532" i="10"/>
  <c r="AN550" i="10"/>
  <c r="AO550" i="10"/>
  <c r="AN510" i="10"/>
  <c r="AO510" i="10"/>
  <c r="AN462" i="10"/>
  <c r="AO462" i="10"/>
  <c r="AO376" i="10"/>
  <c r="AN376" i="10"/>
  <c r="AN265" i="10"/>
  <c r="AO265" i="10"/>
  <c r="AO139" i="10"/>
  <c r="AN139" i="10"/>
  <c r="AN557" i="10"/>
  <c r="AO557" i="10"/>
  <c r="AN541" i="10"/>
  <c r="AO541" i="10"/>
  <c r="AN525" i="10"/>
  <c r="AO525" i="10"/>
  <c r="AN509" i="10"/>
  <c r="AO509" i="10"/>
  <c r="AN493" i="10"/>
  <c r="AO493" i="10"/>
  <c r="AN477" i="10"/>
  <c r="AO477" i="10"/>
  <c r="AN461" i="10"/>
  <c r="AO461" i="10"/>
  <c r="AN443" i="10"/>
  <c r="AO443" i="10"/>
  <c r="AN427" i="10"/>
  <c r="AO427" i="10"/>
  <c r="AN411" i="10"/>
  <c r="AO411" i="10"/>
  <c r="AN401" i="10"/>
  <c r="AO401" i="10"/>
  <c r="AN390" i="10"/>
  <c r="AO390" i="10"/>
  <c r="AN379" i="10"/>
  <c r="AO379" i="10"/>
  <c r="AO368" i="10"/>
  <c r="AN368" i="10"/>
  <c r="AO336" i="10"/>
  <c r="AN336" i="10"/>
  <c r="AO259" i="10"/>
  <c r="AN259" i="10"/>
  <c r="AO181" i="10"/>
  <c r="AN181" i="10"/>
  <c r="AO149" i="10"/>
  <c r="AN149" i="10"/>
  <c r="AO115" i="10"/>
  <c r="AN115" i="10"/>
  <c r="AN554" i="10"/>
  <c r="AO554" i="10"/>
  <c r="AN502" i="10"/>
  <c r="AO502" i="10"/>
  <c r="AN454" i="10"/>
  <c r="AO454" i="10"/>
  <c r="AO384" i="10"/>
  <c r="AN384" i="10"/>
  <c r="AO275" i="10"/>
  <c r="AN275" i="10"/>
  <c r="AO83" i="10"/>
  <c r="AN83" i="10"/>
  <c r="AO544" i="10"/>
  <c r="AN544" i="10"/>
  <c r="AO528" i="10"/>
  <c r="AN528" i="10"/>
  <c r="AO512" i="10"/>
  <c r="AN512" i="10"/>
  <c r="AO496" i="10"/>
  <c r="AN496" i="10"/>
  <c r="AO480" i="10"/>
  <c r="AN480" i="10"/>
  <c r="AO464" i="10"/>
  <c r="AN464" i="10"/>
  <c r="AN447" i="10"/>
  <c r="AO447" i="10"/>
  <c r="AN431" i="10"/>
  <c r="AO431" i="10"/>
  <c r="AN415" i="10"/>
  <c r="AO415" i="10"/>
  <c r="AN402" i="10"/>
  <c r="AO402" i="10"/>
  <c r="AN391" i="10"/>
  <c r="AO391" i="10"/>
  <c r="AO381" i="10"/>
  <c r="AN381" i="10"/>
  <c r="AN370" i="10"/>
  <c r="AO370" i="10"/>
  <c r="AO236" i="10"/>
  <c r="AN236" i="10"/>
  <c r="AO185" i="10"/>
  <c r="AN185" i="10"/>
  <c r="AO32" i="10"/>
  <c r="AN32" i="10"/>
  <c r="AN522" i="10"/>
  <c r="AO522" i="10"/>
  <c r="AN470" i="10"/>
  <c r="AO470" i="10"/>
  <c r="AO400" i="10"/>
  <c r="AN400" i="10"/>
  <c r="AO284" i="10"/>
  <c r="AN284" i="10"/>
  <c r="AN123" i="10"/>
  <c r="AO123" i="10"/>
  <c r="AN547" i="10"/>
  <c r="AO547" i="10"/>
  <c r="AN531" i="10"/>
  <c r="AO531" i="10"/>
  <c r="AN515" i="10"/>
  <c r="AO515" i="10"/>
  <c r="AN499" i="10"/>
  <c r="AO499" i="10"/>
  <c r="AN483" i="10"/>
  <c r="AO483" i="10"/>
  <c r="AN467" i="10"/>
  <c r="AO467" i="10"/>
  <c r="AN451" i="10"/>
  <c r="AO451" i="10"/>
  <c r="AO420" i="10"/>
  <c r="AN420" i="10"/>
  <c r="AO346" i="10"/>
  <c r="AN346" i="10"/>
  <c r="AO314" i="10"/>
  <c r="AN314" i="10"/>
  <c r="AO252" i="10"/>
  <c r="AN252" i="10"/>
  <c r="AO218" i="10"/>
  <c r="AN218" i="10"/>
  <c r="AO183" i="10"/>
  <c r="AN183" i="10"/>
  <c r="AO151" i="10"/>
  <c r="AN151" i="10"/>
  <c r="AO107" i="10"/>
  <c r="AN107" i="10"/>
  <c r="AN446" i="10"/>
  <c r="AO446" i="10"/>
  <c r="AN430" i="10"/>
  <c r="AO430" i="10"/>
  <c r="AN414" i="10"/>
  <c r="AO414" i="10"/>
  <c r="AO388" i="10"/>
  <c r="AN388" i="10"/>
  <c r="AO356" i="10"/>
  <c r="AN356" i="10"/>
  <c r="AO324" i="10"/>
  <c r="AN324" i="10"/>
  <c r="AN308" i="10"/>
  <c r="AO308" i="10"/>
  <c r="AN293" i="10"/>
  <c r="AO293" i="10"/>
  <c r="AN277" i="10"/>
  <c r="AO277" i="10"/>
  <c r="AN261" i="10"/>
  <c r="AO261" i="10"/>
  <c r="AN245" i="10"/>
  <c r="AO245" i="10"/>
  <c r="AN229" i="10"/>
  <c r="AO229" i="10"/>
  <c r="AN209" i="10"/>
  <c r="AO209" i="10"/>
  <c r="AN191" i="10"/>
  <c r="AO191" i="10"/>
  <c r="AN172" i="10"/>
  <c r="AO172" i="10"/>
  <c r="AN140" i="10"/>
  <c r="AO140" i="10"/>
  <c r="AN116" i="10"/>
  <c r="AO116" i="10"/>
  <c r="AN102" i="10"/>
  <c r="AO102" i="10"/>
  <c r="AO55" i="10"/>
  <c r="AN55" i="10"/>
  <c r="AN363" i="10"/>
  <c r="AO363" i="10"/>
  <c r="AN347" i="10"/>
  <c r="AO347" i="10"/>
  <c r="AN331" i="10"/>
  <c r="AO331" i="10"/>
  <c r="AN315" i="10"/>
  <c r="AO315" i="10"/>
  <c r="AN299" i="10"/>
  <c r="AO299" i="10"/>
  <c r="AN285" i="10"/>
  <c r="AO285" i="10"/>
  <c r="AN269" i="10"/>
  <c r="AO269" i="10"/>
  <c r="AN253" i="10"/>
  <c r="AO253" i="10"/>
  <c r="AN237" i="10"/>
  <c r="AO237" i="10"/>
  <c r="AO212" i="10"/>
  <c r="AN212" i="10"/>
  <c r="AO200" i="10"/>
  <c r="AN200" i="10"/>
  <c r="AO182" i="10"/>
  <c r="AN182" i="10"/>
  <c r="AO166" i="10"/>
  <c r="AN166" i="10"/>
  <c r="AO150" i="10"/>
  <c r="AN150" i="10"/>
  <c r="AO134" i="10"/>
  <c r="AN134" i="10"/>
  <c r="AO109" i="10"/>
  <c r="AN109" i="10"/>
  <c r="AO99" i="10"/>
  <c r="AN99" i="10"/>
  <c r="AO78" i="10"/>
  <c r="AN78" i="10"/>
  <c r="AO60" i="10"/>
  <c r="AN60" i="10"/>
  <c r="AN20" i="10"/>
  <c r="AO20" i="10"/>
  <c r="AO357" i="10"/>
  <c r="AN357" i="10"/>
  <c r="AO341" i="10"/>
  <c r="AN341" i="10"/>
  <c r="AO325" i="10"/>
  <c r="AN325" i="10"/>
  <c r="AO309" i="10"/>
  <c r="AN309" i="10"/>
  <c r="AO294" i="10"/>
  <c r="AN294" i="10"/>
  <c r="AO278" i="10"/>
  <c r="AN278" i="10"/>
  <c r="AO262" i="10"/>
  <c r="AN262" i="10"/>
  <c r="AO246" i="10"/>
  <c r="AN246" i="10"/>
  <c r="AO230" i="10"/>
  <c r="AN230" i="10"/>
  <c r="AN221" i="10"/>
  <c r="AO221" i="10"/>
  <c r="AO203" i="10"/>
  <c r="AN203" i="10"/>
  <c r="AN184" i="10"/>
  <c r="AO184" i="10"/>
  <c r="AN168" i="10"/>
  <c r="AO168" i="10"/>
  <c r="AN152" i="10"/>
  <c r="AO152" i="10"/>
  <c r="AN136" i="10"/>
  <c r="AO136" i="10"/>
  <c r="AO111" i="10"/>
  <c r="AN111" i="10"/>
  <c r="AO86" i="10"/>
  <c r="AN86" i="10"/>
  <c r="AN65" i="10"/>
  <c r="AO65" i="10"/>
  <c r="AO27" i="10"/>
  <c r="AN27" i="10"/>
  <c r="AN112" i="10"/>
  <c r="AO112" i="10"/>
  <c r="AO88" i="10"/>
  <c r="AN88" i="10"/>
  <c r="AN68" i="10"/>
  <c r="AO68" i="10"/>
  <c r="AO37" i="10"/>
  <c r="AN37" i="10"/>
  <c r="AO23" i="10"/>
  <c r="AN23" i="10"/>
  <c r="AN52" i="10"/>
  <c r="AO52" i="10"/>
  <c r="AO21" i="10"/>
  <c r="AN21" i="10"/>
  <c r="AO72" i="10"/>
  <c r="AN72" i="10"/>
  <c r="AN56" i="10"/>
  <c r="AO56" i="10"/>
  <c r="AN40" i="10"/>
  <c r="AO40" i="10"/>
  <c r="AN24" i="10"/>
  <c r="AO24" i="10"/>
  <c r="AN450" i="10"/>
  <c r="AO450" i="10"/>
  <c r="AO553" i="10"/>
  <c r="AN553" i="10"/>
  <c r="AN489" i="10"/>
  <c r="AO489" i="10"/>
  <c r="AN441" i="10"/>
  <c r="AO441" i="10"/>
  <c r="AN377" i="10"/>
  <c r="AO377" i="10"/>
  <c r="AN249" i="10"/>
  <c r="AO249" i="10"/>
  <c r="AN538" i="10"/>
  <c r="AO538" i="10"/>
  <c r="AO222" i="10"/>
  <c r="AN222" i="10"/>
  <c r="AO524" i="10"/>
  <c r="AN524" i="10"/>
  <c r="AO460" i="10"/>
  <c r="AN460" i="10"/>
  <c r="AN399" i="10"/>
  <c r="AO399" i="10"/>
  <c r="AO291" i="10"/>
  <c r="AN291" i="10"/>
  <c r="AN506" i="10"/>
  <c r="AO506" i="10"/>
  <c r="AN57" i="10"/>
  <c r="AO57" i="10"/>
  <c r="AN511" i="10"/>
  <c r="AO511" i="10"/>
  <c r="AO444" i="10"/>
  <c r="AN444" i="10"/>
  <c r="AO306" i="10"/>
  <c r="AN306" i="10"/>
  <c r="AO143" i="10"/>
  <c r="AN143" i="10"/>
  <c r="AN410" i="10"/>
  <c r="AO410" i="10"/>
  <c r="AN320" i="10"/>
  <c r="AO320" i="10"/>
  <c r="AN255" i="10"/>
  <c r="AO255" i="10"/>
  <c r="AO206" i="10"/>
  <c r="AN206" i="10"/>
  <c r="AO110" i="10"/>
  <c r="AN110" i="10"/>
  <c r="AN343" i="10"/>
  <c r="AO343" i="10"/>
  <c r="AN295" i="10"/>
  <c r="AO295" i="10"/>
  <c r="AN231" i="10"/>
  <c r="AO231" i="10"/>
  <c r="AO161" i="10"/>
  <c r="AN161" i="10"/>
  <c r="AO106" i="10"/>
  <c r="AN106" i="10"/>
  <c r="AN369" i="10"/>
  <c r="AO369" i="10"/>
  <c r="AO321" i="10"/>
  <c r="AN321" i="10"/>
  <c r="AN260" i="10"/>
  <c r="AO260" i="10"/>
  <c r="AN201" i="10"/>
  <c r="AO201" i="10"/>
  <c r="AN146" i="10"/>
  <c r="AO146" i="10"/>
  <c r="AO59" i="10"/>
  <c r="AN59" i="10"/>
  <c r="AO58" i="10"/>
  <c r="AN58" i="10"/>
  <c r="AN42" i="10"/>
  <c r="AO42" i="10"/>
  <c r="AO416" i="10"/>
  <c r="AN416" i="10"/>
  <c r="AN549" i="10"/>
  <c r="AO549" i="10"/>
  <c r="AN501" i="10"/>
  <c r="AO501" i="10"/>
  <c r="AN435" i="10"/>
  <c r="AO435" i="10"/>
  <c r="AN385" i="10"/>
  <c r="AO385" i="10"/>
  <c r="AO286" i="10"/>
  <c r="AN286" i="10"/>
  <c r="AO85" i="10"/>
  <c r="AN85" i="10"/>
  <c r="AO424" i="10"/>
  <c r="AN424" i="10"/>
  <c r="AN155" i="10"/>
  <c r="AO155" i="10"/>
  <c r="AO552" i="10"/>
  <c r="AN552" i="10"/>
  <c r="AO504" i="10"/>
  <c r="AN504" i="10"/>
  <c r="AO488" i="10"/>
  <c r="AN488" i="10"/>
  <c r="AO472" i="10"/>
  <c r="AN472" i="10"/>
  <c r="AO456" i="10"/>
  <c r="AN456" i="10"/>
  <c r="AN439" i="10"/>
  <c r="AO439" i="10"/>
  <c r="AN423" i="10"/>
  <c r="AO423" i="10"/>
  <c r="AN407" i="10"/>
  <c r="AO407" i="10"/>
  <c r="AO397" i="10"/>
  <c r="AN397" i="10"/>
  <c r="AN386" i="10"/>
  <c r="AO386" i="10"/>
  <c r="AN375" i="10"/>
  <c r="AO375" i="10"/>
  <c r="AN281" i="10"/>
  <c r="AO281" i="10"/>
  <c r="AO199" i="10"/>
  <c r="AN199" i="10"/>
  <c r="AO67" i="10"/>
  <c r="AN67" i="10"/>
  <c r="AN546" i="10"/>
  <c r="AO546" i="10"/>
  <c r="AN490" i="10"/>
  <c r="AO490" i="10"/>
  <c r="AO448" i="10"/>
  <c r="AN448" i="10"/>
  <c r="AO342" i="10"/>
  <c r="AN342" i="10"/>
  <c r="AO179" i="10"/>
  <c r="AN179" i="10"/>
  <c r="AN559" i="10"/>
  <c r="AO559" i="10"/>
  <c r="AN539" i="10"/>
  <c r="AO539" i="10"/>
  <c r="AN523" i="10"/>
  <c r="AO523" i="10"/>
  <c r="AN507" i="10"/>
  <c r="AO507" i="10"/>
  <c r="AN491" i="10"/>
  <c r="AO491" i="10"/>
  <c r="AN475" i="10"/>
  <c r="AO475" i="10"/>
  <c r="AN459" i="10"/>
  <c r="AO459" i="10"/>
  <c r="AO436" i="10"/>
  <c r="AN436" i="10"/>
  <c r="AO362" i="10"/>
  <c r="AN362" i="10"/>
  <c r="AO330" i="10"/>
  <c r="AN330" i="10"/>
  <c r="AO298" i="10"/>
  <c r="AN298" i="10"/>
  <c r="AN233" i="10"/>
  <c r="AO233" i="10"/>
  <c r="AN197" i="10"/>
  <c r="AO197" i="10"/>
  <c r="AO167" i="10"/>
  <c r="AN167" i="10"/>
  <c r="AO135" i="10"/>
  <c r="AN135" i="10"/>
  <c r="AO64" i="10"/>
  <c r="AN64" i="10"/>
  <c r="AN438" i="10"/>
  <c r="AO438" i="10"/>
  <c r="AN422" i="10"/>
  <c r="AO422" i="10"/>
  <c r="AO404" i="10"/>
  <c r="AN404" i="10"/>
  <c r="AO372" i="10"/>
  <c r="AN372" i="10"/>
  <c r="AO340" i="10"/>
  <c r="AN340" i="10"/>
  <c r="AO316" i="10"/>
  <c r="AN316" i="10"/>
  <c r="AN300" i="10"/>
  <c r="AO300" i="10"/>
  <c r="AO282" i="10"/>
  <c r="AN282" i="10"/>
  <c r="AO266" i="10"/>
  <c r="AN266" i="10"/>
  <c r="AO250" i="10"/>
  <c r="AN250" i="10"/>
  <c r="AO234" i="10"/>
  <c r="AN234" i="10"/>
  <c r="AN215" i="10"/>
  <c r="AO215" i="10"/>
  <c r="AN196" i="10"/>
  <c r="AO196" i="10"/>
  <c r="AO187" i="10"/>
  <c r="AN187" i="10"/>
  <c r="AN156" i="10"/>
  <c r="AO156" i="10"/>
  <c r="AN124" i="10"/>
  <c r="AO124" i="10"/>
  <c r="AN108" i="10"/>
  <c r="AO108" i="10"/>
  <c r="AO90" i="10"/>
  <c r="AN90" i="10"/>
  <c r="AN41" i="10"/>
  <c r="AO41" i="10"/>
  <c r="AN355" i="10"/>
  <c r="AO355" i="10"/>
  <c r="AN339" i="10"/>
  <c r="AO339" i="10"/>
  <c r="AN323" i="10"/>
  <c r="AO323" i="10"/>
  <c r="AN307" i="10"/>
  <c r="AO307" i="10"/>
  <c r="AO290" i="10"/>
  <c r="AN290" i="10"/>
  <c r="AO274" i="10"/>
  <c r="AN274" i="10"/>
  <c r="AO258" i="10"/>
  <c r="AN258" i="10"/>
  <c r="AO242" i="10"/>
  <c r="AN242" i="10"/>
  <c r="AO220" i="10"/>
  <c r="AN220" i="10"/>
  <c r="AO207" i="10"/>
  <c r="AN207" i="10"/>
  <c r="AN193" i="10"/>
  <c r="AO193" i="10"/>
  <c r="AN174" i="10"/>
  <c r="AO174" i="10"/>
  <c r="AN158" i="10"/>
  <c r="AO158" i="10"/>
  <c r="AN142" i="10"/>
  <c r="AO142" i="10"/>
  <c r="AO126" i="10"/>
  <c r="AN126" i="10"/>
  <c r="AN104" i="10"/>
  <c r="AO104" i="10"/>
  <c r="AN89" i="10"/>
  <c r="AO89" i="10"/>
  <c r="AO69" i="10"/>
  <c r="AN69" i="10"/>
  <c r="AO44" i="10"/>
  <c r="AN44" i="10"/>
  <c r="AO365" i="10"/>
  <c r="AN365" i="10"/>
  <c r="AO349" i="10"/>
  <c r="AN349" i="10"/>
  <c r="AO333" i="10"/>
  <c r="AN333" i="10"/>
  <c r="AO317" i="10"/>
  <c r="AN317" i="10"/>
  <c r="AO301" i="10"/>
  <c r="AN301" i="10"/>
  <c r="AN289" i="10"/>
  <c r="AO289" i="10"/>
  <c r="AN273" i="10"/>
  <c r="AO273" i="10"/>
  <c r="AN257" i="10"/>
  <c r="AO257" i="10"/>
  <c r="AN241" i="10"/>
  <c r="AO241" i="10"/>
  <c r="AO226" i="10"/>
  <c r="AN226" i="10"/>
  <c r="AN213" i="10"/>
  <c r="AO213" i="10"/>
  <c r="AO198" i="10"/>
  <c r="AN198" i="10"/>
  <c r="AO176" i="10"/>
  <c r="AN176" i="10"/>
  <c r="AN160" i="10"/>
  <c r="AO160" i="10"/>
  <c r="AN144" i="10"/>
  <c r="AO144" i="10"/>
  <c r="AO128" i="10"/>
  <c r="AN128" i="10"/>
  <c r="AO96" i="10"/>
  <c r="AN96" i="10"/>
  <c r="AO81" i="10"/>
  <c r="AN81" i="10"/>
  <c r="AO48" i="10"/>
  <c r="AN48" i="10"/>
  <c r="AN120" i="10"/>
  <c r="AO120" i="10"/>
  <c r="AO95" i="10"/>
  <c r="AN95" i="10"/>
  <c r="AO75" i="10"/>
  <c r="AN75" i="10"/>
  <c r="AN49" i="10"/>
  <c r="AO49" i="10"/>
  <c r="AN28" i="10"/>
  <c r="AO28" i="10"/>
  <c r="AN36" i="10"/>
  <c r="AO36" i="10"/>
  <c r="AN33" i="10"/>
  <c r="AO33" i="10"/>
  <c r="AO79" i="10"/>
  <c r="AN79" i="10"/>
  <c r="AO63" i="10"/>
  <c r="AN63" i="10"/>
  <c r="AO47" i="10"/>
  <c r="AN47" i="10"/>
  <c r="AO31" i="10"/>
  <c r="AN31" i="10"/>
  <c r="AN542" i="10"/>
  <c r="AO542" i="10"/>
  <c r="AO350" i="10"/>
  <c r="AN350" i="10"/>
  <c r="AN537" i="10"/>
  <c r="AO537" i="10"/>
  <c r="AN505" i="10"/>
  <c r="AO505" i="10"/>
  <c r="AN425" i="10"/>
  <c r="AO425" i="10"/>
  <c r="AN387" i="10"/>
  <c r="AO387" i="10"/>
  <c r="AO328" i="10"/>
  <c r="AN328" i="10"/>
  <c r="AN94" i="10"/>
  <c r="AO94" i="10"/>
  <c r="AO358" i="10"/>
  <c r="AN358" i="10"/>
  <c r="AO540" i="10"/>
  <c r="AN540" i="10"/>
  <c r="AO476" i="10"/>
  <c r="AN476" i="10"/>
  <c r="AN429" i="10"/>
  <c r="AO429" i="10"/>
  <c r="AN378" i="10"/>
  <c r="AO378" i="10"/>
  <c r="AN558" i="10"/>
  <c r="AO558" i="10"/>
  <c r="AO366" i="10"/>
  <c r="AN366" i="10"/>
  <c r="AN527" i="10"/>
  <c r="AO527" i="10"/>
  <c r="AN479" i="10"/>
  <c r="AO479" i="10"/>
  <c r="AO338" i="10"/>
  <c r="AN338" i="10"/>
  <c r="AO204" i="10"/>
  <c r="AN204" i="10"/>
  <c r="AN442" i="10"/>
  <c r="AO442" i="10"/>
  <c r="AO380" i="10"/>
  <c r="AN380" i="10"/>
  <c r="AN287" i="10"/>
  <c r="AO287" i="10"/>
  <c r="AN224" i="10"/>
  <c r="AO224" i="10"/>
  <c r="AN164" i="10"/>
  <c r="AO164" i="10"/>
  <c r="AO51" i="10"/>
  <c r="AN51" i="10"/>
  <c r="AN327" i="10"/>
  <c r="AO327" i="10"/>
  <c r="AN263" i="10"/>
  <c r="AO263" i="10"/>
  <c r="AO195" i="10"/>
  <c r="AN195" i="10"/>
  <c r="AO145" i="10"/>
  <c r="AN145" i="10"/>
  <c r="AO76" i="10"/>
  <c r="AN76" i="10"/>
  <c r="AN337" i="10"/>
  <c r="AO337" i="10"/>
  <c r="AN292" i="10"/>
  <c r="AO292" i="10"/>
  <c r="AN228" i="10"/>
  <c r="AO228" i="10"/>
  <c r="AN162" i="10"/>
  <c r="AO162" i="10"/>
  <c r="AO103" i="10"/>
  <c r="AN103" i="10"/>
  <c r="AN98" i="10"/>
  <c r="AO98" i="10"/>
  <c r="AO35" i="10"/>
  <c r="AN35" i="10"/>
  <c r="AN66" i="10"/>
  <c r="AO66" i="10"/>
  <c r="AN34" i="10"/>
  <c r="AO34" i="10"/>
  <c r="AN486" i="10"/>
  <c r="AO486" i="10"/>
  <c r="AO171" i="10"/>
  <c r="AN171" i="10"/>
  <c r="AN517" i="10"/>
  <c r="AO517" i="10"/>
  <c r="AN469" i="10"/>
  <c r="AO469" i="10"/>
  <c r="AN406" i="10"/>
  <c r="AO406" i="10"/>
  <c r="AO352" i="10"/>
  <c r="AN352" i="10"/>
  <c r="AO165" i="10"/>
  <c r="AN165" i="10"/>
  <c r="AN478" i="10"/>
  <c r="AO478" i="10"/>
  <c r="AO536" i="10"/>
  <c r="AN536" i="10"/>
  <c r="AO392" i="10"/>
  <c r="AN392" i="10"/>
  <c r="AN555" i="10"/>
  <c r="AO555" i="10"/>
  <c r="AN529" i="10"/>
  <c r="AO529" i="10"/>
  <c r="AN481" i="10"/>
  <c r="AO481" i="10"/>
  <c r="AN433" i="10"/>
  <c r="AO433" i="10"/>
  <c r="AN403" i="10"/>
  <c r="AO403" i="10"/>
  <c r="AN371" i="10"/>
  <c r="AO371" i="10"/>
  <c r="AO202" i="10"/>
  <c r="AN202" i="10"/>
  <c r="AN73" i="10"/>
  <c r="AO73" i="10"/>
  <c r="AN466" i="10"/>
  <c r="AO466" i="10"/>
  <c r="AO131" i="10"/>
  <c r="AN131" i="10"/>
  <c r="AO516" i="10"/>
  <c r="AN516" i="10"/>
  <c r="AO484" i="10"/>
  <c r="AN484" i="10"/>
  <c r="AO437" i="10"/>
  <c r="AN437" i="10"/>
  <c r="AN394" i="10"/>
  <c r="AO394" i="10"/>
  <c r="AO373" i="10"/>
  <c r="AN373" i="10"/>
  <c r="AO54" i="10"/>
  <c r="AN54" i="10"/>
  <c r="AO432" i="10"/>
  <c r="AN432" i="10"/>
  <c r="AN163" i="10"/>
  <c r="AO163" i="10"/>
  <c r="AN519" i="10"/>
  <c r="AO519" i="10"/>
  <c r="AN471" i="10"/>
  <c r="AO471" i="10"/>
  <c r="AO428" i="10"/>
  <c r="AN428" i="10"/>
  <c r="AO270" i="10"/>
  <c r="AN270" i="10"/>
  <c r="AO159" i="10"/>
  <c r="AN159" i="10"/>
  <c r="AN22" i="10"/>
  <c r="AO22" i="10"/>
  <c r="AO396" i="10"/>
  <c r="AN396" i="10"/>
  <c r="AN312" i="10"/>
  <c r="AO312" i="10"/>
  <c r="AN280" i="10"/>
  <c r="AO280" i="10"/>
  <c r="AN232" i="10"/>
  <c r="AO232" i="10"/>
  <c r="AN180" i="10"/>
  <c r="AO180" i="10"/>
  <c r="AO118" i="10"/>
  <c r="AN118" i="10"/>
  <c r="AN367" i="10"/>
  <c r="AO367" i="10"/>
  <c r="AN319" i="10"/>
  <c r="AO319" i="10"/>
  <c r="AN303" i="10"/>
  <c r="AO303" i="10"/>
  <c r="AO288" i="10"/>
  <c r="AN288" i="10"/>
  <c r="AO272" i="10"/>
  <c r="AN272" i="10"/>
  <c r="AO240" i="10"/>
  <c r="AN240" i="10"/>
  <c r="AN217" i="10"/>
  <c r="AO217" i="10"/>
  <c r="AN205" i="10"/>
  <c r="AO205" i="10"/>
  <c r="AN186" i="10"/>
  <c r="AO186" i="10"/>
  <c r="AO169" i="10"/>
  <c r="AN169" i="10"/>
  <c r="AO153" i="10"/>
  <c r="AN153" i="10"/>
  <c r="AO137" i="10"/>
  <c r="AN137" i="10"/>
  <c r="AO117" i="10"/>
  <c r="AN117" i="10"/>
  <c r="AO101" i="10"/>
  <c r="AN101" i="10"/>
  <c r="AO87" i="10"/>
  <c r="AN87" i="10"/>
  <c r="AN62" i="10"/>
  <c r="AO62" i="10"/>
  <c r="AO39" i="10"/>
  <c r="AN39" i="10"/>
  <c r="AN361" i="10"/>
  <c r="AO361" i="10"/>
  <c r="AN345" i="10"/>
  <c r="AO345" i="10"/>
  <c r="AN329" i="10"/>
  <c r="AO329" i="10"/>
  <c r="AO313" i="10"/>
  <c r="AN313" i="10"/>
  <c r="AO297" i="10"/>
  <c r="AN297" i="10"/>
  <c r="AO283" i="10"/>
  <c r="AN283" i="10"/>
  <c r="AO267" i="10"/>
  <c r="AN267" i="10"/>
  <c r="AO251" i="10"/>
  <c r="AN251" i="10"/>
  <c r="AO235" i="10"/>
  <c r="AN235" i="10"/>
  <c r="AN223" i="10"/>
  <c r="AO223" i="10"/>
  <c r="AN208" i="10"/>
  <c r="AO208" i="10"/>
  <c r="AN188" i="10"/>
  <c r="AO188" i="10"/>
  <c r="AN170" i="10"/>
  <c r="AO170" i="10"/>
  <c r="AN154" i="10"/>
  <c r="AO154" i="10"/>
  <c r="AN138" i="10"/>
  <c r="AO138" i="10"/>
  <c r="AO119" i="10"/>
  <c r="AN119" i="10"/>
  <c r="AO91" i="10"/>
  <c r="AN91" i="10"/>
  <c r="AN74" i="10"/>
  <c r="AO74" i="10"/>
  <c r="AO43" i="10"/>
  <c r="AN43" i="10"/>
  <c r="AN114" i="10"/>
  <c r="AO114" i="10"/>
  <c r="AN93" i="10"/>
  <c r="AO93" i="10"/>
  <c r="AN70" i="10"/>
  <c r="AO70" i="10"/>
  <c r="AO46" i="10"/>
  <c r="AN46" i="10"/>
  <c r="AN25" i="10"/>
  <c r="AO25" i="10"/>
  <c r="AO26" i="10"/>
  <c r="AN26" i="10"/>
  <c r="AN30" i="10"/>
  <c r="AO30" i="10"/>
  <c r="AN77" i="10"/>
  <c r="AO77" i="10"/>
  <c r="AO61" i="10"/>
  <c r="AN61" i="10"/>
  <c r="AO45" i="10"/>
  <c r="AN45" i="10"/>
  <c r="AO29" i="10"/>
  <c r="AN29" i="10"/>
  <c r="B69" i="2"/>
  <c r="B54" i="2"/>
  <c r="H231" i="2" s="1"/>
  <c r="B16" i="2"/>
  <c r="B127" i="2" s="1"/>
  <c r="B15" i="2"/>
  <c r="B52" i="2"/>
  <c r="B26" i="10" l="1"/>
  <c r="B37" i="2"/>
  <c r="B38" i="2"/>
  <c r="B71" i="2"/>
  <c r="B29" i="2"/>
  <c r="B66" i="2"/>
  <c r="B10" i="4"/>
  <c r="B11" i="4" s="1"/>
  <c r="B219" i="2"/>
  <c r="H78" i="1" s="1"/>
  <c r="B25" i="10"/>
  <c r="E222" i="2"/>
  <c r="B206" i="2"/>
  <c r="B34" i="2"/>
  <c r="B143" i="2" s="1"/>
  <c r="B147" i="2"/>
  <c r="B148" i="2" s="1"/>
  <c r="B146" i="2"/>
  <c r="B138" i="2"/>
  <c r="B139" i="2"/>
  <c r="B25" i="2"/>
  <c r="B135" i="2" s="1"/>
  <c r="B60" i="2"/>
  <c r="B70" i="2"/>
  <c r="B64" i="2"/>
  <c r="B33" i="2"/>
  <c r="BL27" i="4" s="1"/>
  <c r="B24" i="2"/>
  <c r="B140" i="2" l="1"/>
  <c r="K150" i="2"/>
  <c r="BL125" i="4"/>
  <c r="BL60" i="4"/>
  <c r="BL150" i="4"/>
  <c r="BL57" i="4"/>
  <c r="BL143" i="4"/>
  <c r="BL75" i="4"/>
  <c r="BL133" i="4"/>
  <c r="BL17" i="4"/>
  <c r="BL154" i="4"/>
  <c r="BL104" i="4"/>
  <c r="BL19" i="4"/>
  <c r="BL106" i="4"/>
  <c r="BL9" i="4"/>
  <c r="BL48" i="4"/>
  <c r="BL13" i="4"/>
  <c r="BL115" i="4"/>
  <c r="BL52" i="4"/>
  <c r="BL70" i="4"/>
  <c r="BL7" i="4"/>
  <c r="BL151" i="4"/>
  <c r="BL153" i="4"/>
  <c r="BL40" i="4"/>
  <c r="BL87" i="4"/>
  <c r="BL84" i="4"/>
  <c r="BL85" i="4"/>
  <c r="BL16" i="4"/>
  <c r="BL22" i="4"/>
  <c r="BL37" i="4"/>
  <c r="BL43" i="4"/>
  <c r="BL65" i="4"/>
  <c r="BL80" i="4"/>
  <c r="BL86" i="4"/>
  <c r="BL101" i="4"/>
  <c r="BL108" i="4"/>
  <c r="BL10" i="4"/>
  <c r="BL25" i="4"/>
  <c r="BL31" i="4"/>
  <c r="BL73" i="4"/>
  <c r="BL79" i="4"/>
  <c r="BL12" i="4"/>
  <c r="BL18" i="4"/>
  <c r="BL33" i="4"/>
  <c r="BL39" i="4"/>
  <c r="BL76" i="4"/>
  <c r="BL82" i="4"/>
  <c r="BL97" i="4"/>
  <c r="BL103" i="4"/>
  <c r="BL29" i="4"/>
  <c r="BL88" i="4"/>
  <c r="BL141" i="4"/>
  <c r="BL147" i="4"/>
  <c r="BL46" i="4"/>
  <c r="BL117" i="4"/>
  <c r="BL139" i="4"/>
  <c r="BL45" i="4"/>
  <c r="BL118" i="4"/>
  <c r="BL124" i="4"/>
  <c r="BL152" i="4"/>
  <c r="BL105" i="4"/>
  <c r="BL62" i="4"/>
  <c r="BL126" i="4"/>
  <c r="BL132" i="4"/>
  <c r="BL56" i="4"/>
  <c r="BL123" i="4"/>
  <c r="BL138" i="4"/>
  <c r="BL32" i="4"/>
  <c r="BL38" i="4"/>
  <c r="BL53" i="4"/>
  <c r="BL59" i="4"/>
  <c r="BL96" i="4"/>
  <c r="BL102" i="4"/>
  <c r="BL109" i="4"/>
  <c r="BL20" i="4"/>
  <c r="BL26" i="4"/>
  <c r="BL41" i="4"/>
  <c r="BL47" i="4"/>
  <c r="BL68" i="4"/>
  <c r="BL74" i="4"/>
  <c r="BL89" i="4"/>
  <c r="BL95" i="4"/>
  <c r="BL28" i="4"/>
  <c r="BL34" i="4"/>
  <c r="BL49" i="4"/>
  <c r="BL55" i="4"/>
  <c r="BL92" i="4"/>
  <c r="BL98" i="4"/>
  <c r="BL14" i="4"/>
  <c r="BL93" i="4"/>
  <c r="BL114" i="4"/>
  <c r="BL120" i="4"/>
  <c r="BL61" i="4"/>
  <c r="BL144" i="4"/>
  <c r="BL30" i="4"/>
  <c r="BL94" i="4"/>
  <c r="BL113" i="4"/>
  <c r="BL119" i="4"/>
  <c r="BL134" i="4"/>
  <c r="BL140" i="4"/>
  <c r="BL149" i="4"/>
  <c r="BL67" i="4"/>
  <c r="BL121" i="4"/>
  <c r="BL127" i="4"/>
  <c r="BL142" i="4"/>
  <c r="BL148" i="4"/>
  <c r="BL128" i="4"/>
  <c r="BL21" i="4"/>
  <c r="BL64" i="4"/>
  <c r="BL91" i="4"/>
  <c r="BL107" i="4"/>
  <c r="BL15" i="4"/>
  <c r="BL58" i="4"/>
  <c r="BL100" i="4"/>
  <c r="BL23" i="4"/>
  <c r="BL66" i="4"/>
  <c r="BL81" i="4"/>
  <c r="BL24" i="4"/>
  <c r="BL83" i="4"/>
  <c r="BL131" i="4"/>
  <c r="BL146" i="4"/>
  <c r="BL112" i="4"/>
  <c r="BL157" i="4"/>
  <c r="BL145" i="4"/>
  <c r="BL77" i="4"/>
  <c r="BL116" i="4"/>
  <c r="BL156" i="4"/>
  <c r="BL51" i="4"/>
  <c r="BL11" i="4"/>
  <c r="BL54" i="4"/>
  <c r="BL69" i="4"/>
  <c r="BL110" i="4"/>
  <c r="BL36" i="4"/>
  <c r="BL63" i="4"/>
  <c r="BL90" i="4"/>
  <c r="BL44" i="4"/>
  <c r="BL71" i="4"/>
  <c r="BL111" i="4"/>
  <c r="BL136" i="4"/>
  <c r="BL155" i="4"/>
  <c r="BL35" i="4"/>
  <c r="BL99" i="4"/>
  <c r="BL135" i="4"/>
  <c r="BL122" i="4"/>
  <c r="BL137" i="4"/>
  <c r="BL72" i="4"/>
  <c r="BL129" i="4"/>
  <c r="BL130" i="4"/>
  <c r="BL78" i="4"/>
  <c r="BL50" i="4"/>
  <c r="BL42" i="4"/>
  <c r="BL8" i="4"/>
  <c r="B18" i="4"/>
  <c r="BA8" i="4"/>
  <c r="BA12" i="4"/>
  <c r="BA15" i="4"/>
  <c r="BA18" i="4"/>
  <c r="BA22" i="4"/>
  <c r="BA25" i="4"/>
  <c r="BA29" i="4"/>
  <c r="BA33" i="4"/>
  <c r="BA37" i="4"/>
  <c r="BA40" i="4"/>
  <c r="BA7" i="4"/>
  <c r="BA10" i="4"/>
  <c r="BA13" i="4"/>
  <c r="BA16" i="4"/>
  <c r="BA19" i="4"/>
  <c r="BA23" i="4"/>
  <c r="BA27" i="4"/>
  <c r="BA30" i="4"/>
  <c r="BA34" i="4"/>
  <c r="BA38" i="4"/>
  <c r="BA42" i="4"/>
  <c r="B14" i="4"/>
  <c r="BA9" i="4"/>
  <c r="BA11" i="4"/>
  <c r="BA14" i="4"/>
  <c r="BA17" i="4"/>
  <c r="BA20" i="4"/>
  <c r="BA21" i="4"/>
  <c r="BA24" i="4"/>
  <c r="BA26" i="4"/>
  <c r="BA28" i="4"/>
  <c r="BA31" i="4"/>
  <c r="BA32" i="4"/>
  <c r="BA35" i="4"/>
  <c r="BA36" i="4"/>
  <c r="BA39" i="4"/>
  <c r="BA41" i="4"/>
  <c r="BA131" i="4"/>
  <c r="BA142" i="4"/>
  <c r="BA145" i="4"/>
  <c r="BA148" i="4"/>
  <c r="BA149" i="4"/>
  <c r="BA152" i="4"/>
  <c r="BA155" i="4"/>
  <c r="BA156" i="4"/>
  <c r="BA43" i="4"/>
  <c r="BA44" i="4"/>
  <c r="BA45" i="4"/>
  <c r="BA46" i="4"/>
  <c r="BA48" i="4"/>
  <c r="BA49" i="4"/>
  <c r="BA50" i="4"/>
  <c r="BA51" i="4"/>
  <c r="BA53" i="4"/>
  <c r="BA55" i="4"/>
  <c r="BA57" i="4"/>
  <c r="BA59" i="4"/>
  <c r="BA61" i="4"/>
  <c r="BA63" i="4"/>
  <c r="BA65" i="4"/>
  <c r="BA67" i="4"/>
  <c r="BA69" i="4"/>
  <c r="BA71" i="4"/>
  <c r="BA73" i="4"/>
  <c r="BA75" i="4"/>
  <c r="BA77" i="4"/>
  <c r="BA79" i="4"/>
  <c r="BA81" i="4"/>
  <c r="BA83" i="4"/>
  <c r="BA85" i="4"/>
  <c r="BA87" i="4"/>
  <c r="BA89" i="4"/>
  <c r="BA91" i="4"/>
  <c r="BA93" i="4"/>
  <c r="BA95" i="4"/>
  <c r="BA97" i="4"/>
  <c r="BA99" i="4"/>
  <c r="BA101" i="4"/>
  <c r="BA103" i="4"/>
  <c r="BA105" i="4"/>
  <c r="BA107" i="4"/>
  <c r="BA109" i="4"/>
  <c r="BA111" i="4"/>
  <c r="BA113" i="4"/>
  <c r="BA115" i="4"/>
  <c r="BA117" i="4"/>
  <c r="BA119" i="4"/>
  <c r="BA121" i="4"/>
  <c r="BA123" i="4"/>
  <c r="BA125" i="4"/>
  <c r="BA127" i="4"/>
  <c r="BA129" i="4"/>
  <c r="BA132" i="4"/>
  <c r="BA134" i="4"/>
  <c r="BA136" i="4"/>
  <c r="BA138" i="4"/>
  <c r="BA140" i="4"/>
  <c r="BA143" i="4"/>
  <c r="BA146" i="4"/>
  <c r="BA150" i="4"/>
  <c r="BA153" i="4"/>
  <c r="BA157" i="4"/>
  <c r="BA47" i="4"/>
  <c r="BA52" i="4"/>
  <c r="BA54" i="4"/>
  <c r="BA56" i="4"/>
  <c r="BA58" i="4"/>
  <c r="BA60" i="4"/>
  <c r="BA62" i="4"/>
  <c r="BA64" i="4"/>
  <c r="BA66" i="4"/>
  <c r="BA68" i="4"/>
  <c r="BA70" i="4"/>
  <c r="BA72" i="4"/>
  <c r="BA74" i="4"/>
  <c r="BA76" i="4"/>
  <c r="BA78" i="4"/>
  <c r="BA80" i="4"/>
  <c r="BA82" i="4"/>
  <c r="BA84" i="4"/>
  <c r="BA86" i="4"/>
  <c r="BA88" i="4"/>
  <c r="BA90" i="4"/>
  <c r="BA92" i="4"/>
  <c r="BA94" i="4"/>
  <c r="BA96" i="4"/>
  <c r="BA98" i="4"/>
  <c r="BA100" i="4"/>
  <c r="BA102" i="4"/>
  <c r="BA104" i="4"/>
  <c r="BA106" i="4"/>
  <c r="BA108" i="4"/>
  <c r="BA110" i="4"/>
  <c r="BA112" i="4"/>
  <c r="BA114" i="4"/>
  <c r="BA116" i="4"/>
  <c r="BA118" i="4"/>
  <c r="BA120" i="4"/>
  <c r="BA122" i="4"/>
  <c r="BA124" i="4"/>
  <c r="BA126" i="4"/>
  <c r="BA128" i="4"/>
  <c r="BA130" i="4"/>
  <c r="BA133" i="4"/>
  <c r="BA135" i="4"/>
  <c r="BA137" i="4"/>
  <c r="BA139" i="4"/>
  <c r="BA141" i="4"/>
  <c r="BA144" i="4"/>
  <c r="BA147" i="4"/>
  <c r="BA151" i="4"/>
  <c r="BA154" i="4"/>
  <c r="AK114" i="4"/>
  <c r="AK50" i="4"/>
  <c r="AK66" i="4"/>
  <c r="AK58" i="4"/>
  <c r="AK106" i="4"/>
  <c r="AK40" i="4"/>
  <c r="AK94" i="4"/>
  <c r="AK18" i="4"/>
  <c r="AK68" i="4"/>
  <c r="AK123" i="4"/>
  <c r="AK75" i="4"/>
  <c r="AK27" i="4"/>
  <c r="AK125" i="4"/>
  <c r="AK61" i="4"/>
  <c r="AK13" i="4"/>
  <c r="AK87" i="4"/>
  <c r="AK23" i="4"/>
  <c r="AK121" i="4"/>
  <c r="AK89" i="4"/>
  <c r="AK41" i="4"/>
  <c r="AK78" i="4"/>
  <c r="AK14" i="4"/>
  <c r="AK116" i="4"/>
  <c r="AK147" i="4"/>
  <c r="AK115" i="4"/>
  <c r="AK35" i="4"/>
  <c r="AK133" i="4"/>
  <c r="AK69" i="4"/>
  <c r="AK146" i="4"/>
  <c r="AK9" i="4"/>
  <c r="AK154" i="4"/>
  <c r="AK74" i="4"/>
  <c r="AK130" i="4"/>
  <c r="AK136" i="4"/>
  <c r="AK80" i="4"/>
  <c r="AK24" i="4"/>
  <c r="AK150" i="4"/>
  <c r="AK118" i="4"/>
  <c r="AK86" i="4"/>
  <c r="AK54" i="4"/>
  <c r="AK22" i="4"/>
  <c r="AK10" i="4"/>
  <c r="AK88" i="4"/>
  <c r="AK156" i="4"/>
  <c r="AK124" i="4"/>
  <c r="AK92" i="4"/>
  <c r="AK60" i="4"/>
  <c r="AK28" i="4"/>
  <c r="AK151" i="4"/>
  <c r="AK119" i="4"/>
  <c r="AK55" i="4"/>
  <c r="AK137" i="4"/>
  <c r="AK73" i="4"/>
  <c r="AK122" i="4"/>
  <c r="AK72" i="4"/>
  <c r="AK52" i="4"/>
  <c r="AK83" i="4"/>
  <c r="AK19" i="4"/>
  <c r="AK101" i="4"/>
  <c r="AK37" i="4"/>
  <c r="AK98" i="4"/>
  <c r="AK90" i="4"/>
  <c r="AK138" i="4"/>
  <c r="AK104" i="4"/>
  <c r="AK48" i="4"/>
  <c r="AK8" i="4"/>
  <c r="AK134" i="4"/>
  <c r="AK102" i="4"/>
  <c r="AK70" i="4"/>
  <c r="AK38" i="4"/>
  <c r="AK26" i="4"/>
  <c r="AK128" i="4"/>
  <c r="AK56" i="4"/>
  <c r="AK140" i="4"/>
  <c r="AK108" i="4"/>
  <c r="AK76" i="4"/>
  <c r="AK44" i="4"/>
  <c r="AK12" i="4"/>
  <c r="AK143" i="4"/>
  <c r="AK127" i="4"/>
  <c r="AK111" i="4"/>
  <c r="AK95" i="4"/>
  <c r="AK79" i="4"/>
  <c r="AK63" i="4"/>
  <c r="AK47" i="4"/>
  <c r="AK31" i="4"/>
  <c r="AK15" i="4"/>
  <c r="AK145" i="4"/>
  <c r="AK129" i="4"/>
  <c r="AK113" i="4"/>
  <c r="AK97" i="4"/>
  <c r="AK81" i="4"/>
  <c r="AK65" i="4"/>
  <c r="AK49" i="4"/>
  <c r="AK33" i="4"/>
  <c r="AK17" i="4"/>
  <c r="AK152" i="4"/>
  <c r="AK96" i="4"/>
  <c r="AK7" i="4"/>
  <c r="AK126" i="4"/>
  <c r="AK62" i="4"/>
  <c r="AK30" i="4"/>
  <c r="AK112" i="4"/>
  <c r="AK32" i="4"/>
  <c r="AK132" i="4"/>
  <c r="AK100" i="4"/>
  <c r="AK36" i="4"/>
  <c r="AK155" i="4"/>
  <c r="AK139" i="4"/>
  <c r="AK107" i="4"/>
  <c r="AK91" i="4"/>
  <c r="AK59" i="4"/>
  <c r="AK43" i="4"/>
  <c r="AK11" i="4"/>
  <c r="AK141" i="4"/>
  <c r="AK109" i="4"/>
  <c r="AK93" i="4"/>
  <c r="AK77" i="4"/>
  <c r="AK45" i="4"/>
  <c r="AK29" i="4"/>
  <c r="AK135" i="4"/>
  <c r="AK103" i="4"/>
  <c r="AK71" i="4"/>
  <c r="AK39" i="4"/>
  <c r="AK153" i="4"/>
  <c r="AK105" i="4"/>
  <c r="AK57" i="4"/>
  <c r="AK25" i="4"/>
  <c r="AK82" i="4"/>
  <c r="AK157" i="4"/>
  <c r="AK42" i="4"/>
  <c r="AK34" i="4"/>
  <c r="AK120" i="4"/>
  <c r="AK64" i="4"/>
  <c r="AK16" i="4"/>
  <c r="AK142" i="4"/>
  <c r="AK110" i="4"/>
  <c r="AK46" i="4"/>
  <c r="AK144" i="4"/>
  <c r="AK148" i="4"/>
  <c r="AK84" i="4"/>
  <c r="AK20" i="4"/>
  <c r="AK131" i="4"/>
  <c r="AK99" i="4"/>
  <c r="AK67" i="4"/>
  <c r="AK51" i="4"/>
  <c r="AK149" i="4"/>
  <c r="AK117" i="4"/>
  <c r="AK85" i="4"/>
  <c r="AK53" i="4"/>
  <c r="AK21" i="4"/>
  <c r="B27" i="2"/>
  <c r="B15" i="4" s="1"/>
  <c r="B65" i="2"/>
  <c r="N19" i="1" s="1"/>
  <c r="N27" i="1"/>
  <c r="B63" i="2"/>
  <c r="N16" i="1" s="1"/>
  <c r="B35" i="2"/>
  <c r="B68" i="2"/>
  <c r="N24" i="1" s="1"/>
  <c r="B26" i="2"/>
  <c r="B36" i="2"/>
  <c r="B19" i="4" s="1"/>
  <c r="BK9" i="4" l="1"/>
  <c r="BM9" i="4" s="1"/>
  <c r="BK31" i="4"/>
  <c r="BM31" i="4" s="1"/>
  <c r="BK52" i="4"/>
  <c r="BM52" i="4" s="1"/>
  <c r="BK58" i="4"/>
  <c r="BM58" i="4" s="1"/>
  <c r="BK73" i="4"/>
  <c r="BM73" i="4" s="1"/>
  <c r="BK95" i="4"/>
  <c r="BK19" i="4"/>
  <c r="BM19" i="4" s="1"/>
  <c r="BK40" i="4"/>
  <c r="BM40" i="4" s="1"/>
  <c r="BK46" i="4"/>
  <c r="BM46" i="4" s="1"/>
  <c r="BK61" i="4"/>
  <c r="BM61" i="4" s="1"/>
  <c r="BK67" i="4"/>
  <c r="BM67" i="4" s="1"/>
  <c r="BK88" i="4"/>
  <c r="BK94" i="4"/>
  <c r="BK27" i="4"/>
  <c r="BM27" i="4" s="1"/>
  <c r="BK48" i="4"/>
  <c r="BM48" i="4" s="1"/>
  <c r="BK54" i="4"/>
  <c r="BM54" i="4" s="1"/>
  <c r="BK69" i="4"/>
  <c r="BM69" i="4" s="1"/>
  <c r="BK91" i="4"/>
  <c r="BK109" i="4"/>
  <c r="BK49" i="4"/>
  <c r="BM49" i="4" s="1"/>
  <c r="BK113" i="4"/>
  <c r="BK119" i="4"/>
  <c r="BK134" i="4"/>
  <c r="BK112" i="4"/>
  <c r="BK133" i="4"/>
  <c r="BK139" i="4"/>
  <c r="BK132" i="4"/>
  <c r="BK23" i="4"/>
  <c r="BM23" i="4" s="1"/>
  <c r="BK82" i="4"/>
  <c r="BK111" i="4"/>
  <c r="BK120" i="4"/>
  <c r="BK141" i="4"/>
  <c r="BK147" i="4"/>
  <c r="BK153" i="4"/>
  <c r="BK157" i="4"/>
  <c r="BK10" i="4"/>
  <c r="BM10" i="4" s="1"/>
  <c r="BK25" i="4"/>
  <c r="BM25" i="4" s="1"/>
  <c r="BK47" i="4"/>
  <c r="BM47" i="4" s="1"/>
  <c r="BK68" i="4"/>
  <c r="BM68" i="4" s="1"/>
  <c r="BK74" i="4"/>
  <c r="BM74" i="4" s="1"/>
  <c r="BK89" i="4"/>
  <c r="BK13" i="4"/>
  <c r="BM13" i="4" s="1"/>
  <c r="BK35" i="4"/>
  <c r="BM35" i="4" s="1"/>
  <c r="BK56" i="4"/>
  <c r="BM56" i="4" s="1"/>
  <c r="BK62" i="4"/>
  <c r="BM62" i="4" s="1"/>
  <c r="BK83" i="4"/>
  <c r="BK104" i="4"/>
  <c r="BK21" i="4"/>
  <c r="BM21" i="4" s="1"/>
  <c r="BK43" i="4"/>
  <c r="BM43" i="4" s="1"/>
  <c r="BK64" i="4"/>
  <c r="BM64" i="4" s="1"/>
  <c r="BK70" i="4"/>
  <c r="BM70" i="4" s="1"/>
  <c r="BK85" i="4"/>
  <c r="BK110" i="4"/>
  <c r="BK34" i="4"/>
  <c r="BM34" i="4" s="1"/>
  <c r="BK129" i="4"/>
  <c r="BK135" i="4"/>
  <c r="BK152" i="4"/>
  <c r="BK121" i="4"/>
  <c r="BK50" i="4"/>
  <c r="BM50" i="4" s="1"/>
  <c r="BK128" i="4"/>
  <c r="BK149" i="4"/>
  <c r="BK28" i="4"/>
  <c r="BM28" i="4" s="1"/>
  <c r="BK87" i="4"/>
  <c r="BK114" i="4"/>
  <c r="BK136" i="4"/>
  <c r="BK154" i="4"/>
  <c r="BK8" i="4"/>
  <c r="BM8" i="4" s="1"/>
  <c r="BS8" i="4" s="1"/>
  <c r="BK12" i="4"/>
  <c r="BM12" i="4" s="1"/>
  <c r="BK71" i="4"/>
  <c r="BM71" i="4" s="1"/>
  <c r="BK142" i="4"/>
  <c r="BK36" i="4"/>
  <c r="BM36" i="4" s="1"/>
  <c r="BK79" i="4"/>
  <c r="BM79" i="4" s="1"/>
  <c r="BK30" i="4"/>
  <c r="BM30" i="4" s="1"/>
  <c r="BK45" i="4"/>
  <c r="BM45" i="4" s="1"/>
  <c r="BK72" i="4"/>
  <c r="BM72" i="4" s="1"/>
  <c r="BK11" i="4"/>
  <c r="BM11" i="4" s="1"/>
  <c r="BK38" i="4"/>
  <c r="BM38" i="4" s="1"/>
  <c r="BK53" i="4"/>
  <c r="BM53" i="4" s="1"/>
  <c r="BK96" i="4"/>
  <c r="BN96" i="4" s="1"/>
  <c r="BK108" i="4"/>
  <c r="BK118" i="4"/>
  <c r="BK60" i="4"/>
  <c r="BM60" i="4" s="1"/>
  <c r="BK117" i="4"/>
  <c r="BK66" i="4"/>
  <c r="BM66" i="4" s="1"/>
  <c r="BK18" i="4"/>
  <c r="BM18" i="4" s="1"/>
  <c r="BK131" i="4"/>
  <c r="BK146" i="4"/>
  <c r="BK156" i="4"/>
  <c r="BK26" i="4"/>
  <c r="BM26" i="4" s="1"/>
  <c r="BK41" i="4"/>
  <c r="BM41" i="4" s="1"/>
  <c r="BK84" i="4"/>
  <c r="BK51" i="4"/>
  <c r="BM51" i="4" s="1"/>
  <c r="BK77" i="4"/>
  <c r="BM77" i="4" s="1"/>
  <c r="BK105" i="4"/>
  <c r="BK16" i="4"/>
  <c r="BM16" i="4" s="1"/>
  <c r="BK59" i="4"/>
  <c r="BM59" i="4" s="1"/>
  <c r="BK86" i="4"/>
  <c r="BK101" i="4"/>
  <c r="BK39" i="4"/>
  <c r="BM39" i="4" s="1"/>
  <c r="BK98" i="4"/>
  <c r="BK124" i="4"/>
  <c r="BK126" i="4"/>
  <c r="BK122" i="4"/>
  <c r="BK150" i="4"/>
  <c r="BK33" i="4"/>
  <c r="BM33" i="4" s="1"/>
  <c r="BK92" i="4"/>
  <c r="BK151" i="4"/>
  <c r="BK63" i="4"/>
  <c r="BM63" i="4" s="1"/>
  <c r="BK90" i="4"/>
  <c r="BK14" i="4"/>
  <c r="BM14" i="4" s="1"/>
  <c r="BK99" i="4"/>
  <c r="BK22" i="4"/>
  <c r="BM22" i="4" s="1"/>
  <c r="BK80" i="4"/>
  <c r="BK107" i="4"/>
  <c r="BK81" i="4"/>
  <c r="BK55" i="4"/>
  <c r="BM55" i="4" s="1"/>
  <c r="BK125" i="4"/>
  <c r="BK143" i="4"/>
  <c r="BK15" i="4"/>
  <c r="BM15" i="4" s="1"/>
  <c r="BK42" i="4"/>
  <c r="BM42" i="4" s="1"/>
  <c r="BK100" i="4"/>
  <c r="BK24" i="4"/>
  <c r="BM24" i="4" s="1"/>
  <c r="BK78" i="4"/>
  <c r="BM78" i="4" s="1"/>
  <c r="BK32" i="4"/>
  <c r="BM32" i="4" s="1"/>
  <c r="BK103" i="4"/>
  <c r="BK140" i="4"/>
  <c r="BK137" i="4"/>
  <c r="BK138" i="4"/>
  <c r="BK127" i="4"/>
  <c r="BK97" i="4"/>
  <c r="BK130" i="4"/>
  <c r="BK155" i="4"/>
  <c r="BK76" i="4"/>
  <c r="BM76" i="4" s="1"/>
  <c r="BK20" i="4"/>
  <c r="BM20" i="4" s="1"/>
  <c r="BK106" i="4"/>
  <c r="BK29" i="4"/>
  <c r="BM29" i="4" s="1"/>
  <c r="BK37" i="4"/>
  <c r="BM37" i="4" s="1"/>
  <c r="BK65" i="4"/>
  <c r="BM65" i="4" s="1"/>
  <c r="BK145" i="4"/>
  <c r="BK148" i="4"/>
  <c r="BK144" i="4"/>
  <c r="BK115" i="4"/>
  <c r="BK116" i="4"/>
  <c r="BK57" i="4"/>
  <c r="BM57" i="4" s="1"/>
  <c r="BK93" i="4"/>
  <c r="BK75" i="4"/>
  <c r="BM75" i="4" s="1"/>
  <c r="BK102" i="4"/>
  <c r="BK44" i="4"/>
  <c r="BM44" i="4" s="1"/>
  <c r="BK17" i="4"/>
  <c r="BM17" i="4" s="1"/>
  <c r="BK123" i="4"/>
  <c r="BM96" i="4"/>
  <c r="BK7" i="4"/>
  <c r="BM7" i="4" s="1"/>
  <c r="AZ7" i="4"/>
  <c r="BB7" i="4" s="1"/>
  <c r="AZ31" i="4"/>
  <c r="AZ134" i="4"/>
  <c r="AZ130" i="4"/>
  <c r="AZ109" i="4"/>
  <c r="AZ95" i="4"/>
  <c r="AZ148" i="4"/>
  <c r="AZ132" i="4"/>
  <c r="AZ76" i="4"/>
  <c r="AZ8" i="4"/>
  <c r="BC8" i="4" s="1"/>
  <c r="AZ24" i="4"/>
  <c r="AZ40" i="4"/>
  <c r="AZ56" i="4"/>
  <c r="AZ72" i="4"/>
  <c r="AZ88" i="4"/>
  <c r="AZ102" i="4"/>
  <c r="AZ118" i="4"/>
  <c r="AZ22" i="4"/>
  <c r="AZ38" i="4"/>
  <c r="AZ54" i="4"/>
  <c r="AZ70" i="4"/>
  <c r="AZ86" i="4"/>
  <c r="AZ100" i="4"/>
  <c r="AZ116" i="4"/>
  <c r="AZ10" i="4"/>
  <c r="AZ26" i="4"/>
  <c r="AZ42" i="4"/>
  <c r="AZ58" i="4"/>
  <c r="AZ74" i="4"/>
  <c r="AZ90" i="4"/>
  <c r="AZ107" i="4"/>
  <c r="AZ123" i="4"/>
  <c r="AZ152" i="4"/>
  <c r="AZ136" i="4"/>
  <c r="AZ92" i="4"/>
  <c r="AZ28" i="4"/>
  <c r="AZ146" i="4"/>
  <c r="AZ68" i="4"/>
  <c r="AZ157" i="4"/>
  <c r="AZ156" i="4"/>
  <c r="AZ16" i="4"/>
  <c r="AZ80" i="4"/>
  <c r="AZ110" i="4"/>
  <c r="AZ78" i="4"/>
  <c r="AZ34" i="4"/>
  <c r="AZ131" i="4"/>
  <c r="AZ117" i="4"/>
  <c r="AZ36" i="4"/>
  <c r="AZ12" i="4"/>
  <c r="AZ145" i="4"/>
  <c r="AZ137" i="4"/>
  <c r="AZ154" i="4"/>
  <c r="AZ143" i="4"/>
  <c r="AZ126" i="4"/>
  <c r="AZ55" i="4"/>
  <c r="AZ11" i="4"/>
  <c r="AZ27" i="4"/>
  <c r="AZ43" i="4"/>
  <c r="AZ59" i="4"/>
  <c r="AZ75" i="4"/>
  <c r="AZ91" i="4"/>
  <c r="AZ105" i="4"/>
  <c r="AZ9" i="4"/>
  <c r="AZ25" i="4"/>
  <c r="AZ41" i="4"/>
  <c r="AZ57" i="4"/>
  <c r="AZ73" i="4"/>
  <c r="AZ89" i="4"/>
  <c r="AZ103" i="4"/>
  <c r="AZ119" i="4"/>
  <c r="AZ13" i="4"/>
  <c r="AZ29" i="4"/>
  <c r="AZ45" i="4"/>
  <c r="AZ61" i="4"/>
  <c r="AZ77" i="4"/>
  <c r="AZ93" i="4"/>
  <c r="AZ112" i="4"/>
  <c r="AZ128" i="4"/>
  <c r="AZ147" i="4"/>
  <c r="AZ125" i="4"/>
  <c r="AZ71" i="4"/>
  <c r="AZ141" i="4"/>
  <c r="AZ122" i="4"/>
  <c r="AZ47" i="4"/>
  <c r="AZ20" i="4"/>
  <c r="AZ101" i="4"/>
  <c r="AZ48" i="4"/>
  <c r="AZ96" i="4"/>
  <c r="AZ30" i="4"/>
  <c r="AZ46" i="4"/>
  <c r="AZ18" i="4"/>
  <c r="AZ82" i="4"/>
  <c r="AZ98" i="4"/>
  <c r="AZ115" i="4"/>
  <c r="AZ60" i="4"/>
  <c r="AZ114" i="4"/>
  <c r="AZ142" i="4"/>
  <c r="AZ84" i="4"/>
  <c r="AZ52" i="4"/>
  <c r="AZ150" i="4"/>
  <c r="AZ63" i="4"/>
  <c r="AZ151" i="4"/>
  <c r="AZ135" i="4"/>
  <c r="AZ87" i="4"/>
  <c r="AZ23" i="4"/>
  <c r="AZ19" i="4"/>
  <c r="AZ35" i="4"/>
  <c r="AZ51" i="4"/>
  <c r="AZ67" i="4"/>
  <c r="AZ83" i="4"/>
  <c r="AZ99" i="4"/>
  <c r="AZ113" i="4"/>
  <c r="AZ17" i="4"/>
  <c r="AZ33" i="4"/>
  <c r="AZ49" i="4"/>
  <c r="AZ65" i="4"/>
  <c r="AZ81" i="4"/>
  <c r="AZ97" i="4"/>
  <c r="AZ111" i="4"/>
  <c r="AZ127" i="4"/>
  <c r="AZ21" i="4"/>
  <c r="AZ37" i="4"/>
  <c r="AZ53" i="4"/>
  <c r="AZ69" i="4"/>
  <c r="AZ85" i="4"/>
  <c r="AZ104" i="4"/>
  <c r="AZ120" i="4"/>
  <c r="AZ155" i="4"/>
  <c r="AZ139" i="4"/>
  <c r="AZ106" i="4"/>
  <c r="AZ39" i="4"/>
  <c r="AZ149" i="4"/>
  <c r="AZ133" i="4"/>
  <c r="AZ79" i="4"/>
  <c r="AZ15" i="4"/>
  <c r="AZ129" i="4"/>
  <c r="AZ153" i="4"/>
  <c r="AZ121" i="4"/>
  <c r="AZ140" i="4"/>
  <c r="AZ44" i="4"/>
  <c r="AZ32" i="4"/>
  <c r="AZ64" i="4"/>
  <c r="AZ14" i="4"/>
  <c r="AZ62" i="4"/>
  <c r="AZ94" i="4"/>
  <c r="AZ108" i="4"/>
  <c r="AZ124" i="4"/>
  <c r="AZ50" i="4"/>
  <c r="AZ66" i="4"/>
  <c r="AZ144" i="4"/>
  <c r="AZ138" i="4"/>
  <c r="B56" i="3"/>
  <c r="R25" i="4" l="1"/>
  <c r="AF25" i="4" s="1"/>
  <c r="BB14" i="4"/>
  <c r="BH14" i="4" s="1"/>
  <c r="BC14" i="4"/>
  <c r="BB120" i="4"/>
  <c r="BH120" i="4" s="1"/>
  <c r="BC120" i="4"/>
  <c r="BB99" i="4"/>
  <c r="BH99" i="4" s="1"/>
  <c r="BC99" i="4"/>
  <c r="BB35" i="4"/>
  <c r="BH35" i="4" s="1"/>
  <c r="BC35" i="4"/>
  <c r="BB135" i="4"/>
  <c r="BH135" i="4" s="1"/>
  <c r="BC135" i="4"/>
  <c r="BB52" i="4"/>
  <c r="BH52" i="4" s="1"/>
  <c r="BC52" i="4"/>
  <c r="BC60" i="4"/>
  <c r="BB60" i="4"/>
  <c r="BH60" i="4" s="1"/>
  <c r="BB18" i="4"/>
  <c r="BH18" i="4" s="1"/>
  <c r="BC18" i="4"/>
  <c r="BC48" i="4"/>
  <c r="BB48" i="4"/>
  <c r="BH48" i="4" s="1"/>
  <c r="BB122" i="4"/>
  <c r="BH122" i="4" s="1"/>
  <c r="BC122" i="4"/>
  <c r="BC147" i="4"/>
  <c r="BB147" i="4"/>
  <c r="BH147" i="4" s="1"/>
  <c r="BC77" i="4"/>
  <c r="BB77" i="4"/>
  <c r="BH77" i="4" s="1"/>
  <c r="BC13" i="4"/>
  <c r="BB13" i="4"/>
  <c r="BH13" i="4" s="1"/>
  <c r="BC73" i="4"/>
  <c r="BB73" i="4"/>
  <c r="BH73" i="4" s="1"/>
  <c r="BB9" i="4"/>
  <c r="BH9" i="4" s="1"/>
  <c r="BC9" i="4"/>
  <c r="BC59" i="4"/>
  <c r="BB59" i="4"/>
  <c r="BH59" i="4" s="1"/>
  <c r="BB55" i="4"/>
  <c r="BH55" i="4" s="1"/>
  <c r="BC55" i="4"/>
  <c r="BC154" i="4"/>
  <c r="BB154" i="4"/>
  <c r="BH154" i="4" s="1"/>
  <c r="BB36" i="4"/>
  <c r="BH36" i="4" s="1"/>
  <c r="BC36" i="4"/>
  <c r="BB78" i="4"/>
  <c r="BH78" i="4" s="1"/>
  <c r="BC78" i="4"/>
  <c r="BB156" i="4"/>
  <c r="BH156" i="4" s="1"/>
  <c r="BC156" i="4"/>
  <c r="BB28" i="4"/>
  <c r="BH28" i="4" s="1"/>
  <c r="BC28" i="4"/>
  <c r="BC123" i="4"/>
  <c r="BB123" i="4"/>
  <c r="BH123" i="4" s="1"/>
  <c r="BB58" i="4"/>
  <c r="BH58" i="4" s="1"/>
  <c r="BC58" i="4"/>
  <c r="BB116" i="4"/>
  <c r="BH116" i="4" s="1"/>
  <c r="BC116" i="4"/>
  <c r="BB54" i="4"/>
  <c r="BH54" i="4" s="1"/>
  <c r="BC54" i="4"/>
  <c r="BB102" i="4"/>
  <c r="BH102" i="4" s="1"/>
  <c r="BC102" i="4"/>
  <c r="BC40" i="4"/>
  <c r="BB40" i="4"/>
  <c r="BH40" i="4" s="1"/>
  <c r="BB132" i="4"/>
  <c r="BH132" i="4" s="1"/>
  <c r="BC132" i="4"/>
  <c r="BB130" i="4"/>
  <c r="BH130" i="4" s="1"/>
  <c r="BC130" i="4"/>
  <c r="BM148" i="4"/>
  <c r="BS148" i="4" s="1"/>
  <c r="BN148" i="4"/>
  <c r="BM155" i="4"/>
  <c r="BS155" i="4" s="1"/>
  <c r="BN155" i="4"/>
  <c r="BM138" i="4"/>
  <c r="BN138" i="4"/>
  <c r="BM150" i="4"/>
  <c r="BS150" i="4" s="1"/>
  <c r="BN150" i="4"/>
  <c r="BM98" i="4"/>
  <c r="BS98" i="4" s="1"/>
  <c r="BN98" i="4"/>
  <c r="BM156" i="4"/>
  <c r="BP156" i="4" s="1"/>
  <c r="BQ156" i="4" s="1"/>
  <c r="BN156" i="4"/>
  <c r="BM108" i="4"/>
  <c r="BN108" i="4"/>
  <c r="BM114" i="4"/>
  <c r="BP114" i="4" s="1"/>
  <c r="BQ114" i="4" s="1"/>
  <c r="BN114" i="4"/>
  <c r="BM128" i="4"/>
  <c r="BP128" i="4" s="1"/>
  <c r="BQ128" i="4" s="1"/>
  <c r="BN128" i="4"/>
  <c r="BM135" i="4"/>
  <c r="BP135" i="4" s="1"/>
  <c r="BQ135" i="4" s="1"/>
  <c r="BN135" i="4"/>
  <c r="BM85" i="4"/>
  <c r="BN85" i="4"/>
  <c r="BM141" i="4"/>
  <c r="BS141" i="4" s="1"/>
  <c r="BN141" i="4"/>
  <c r="BM112" i="4"/>
  <c r="BN112" i="4"/>
  <c r="BM88" i="4"/>
  <c r="BS88" i="4" s="1"/>
  <c r="BN88" i="4"/>
  <c r="BB140" i="4"/>
  <c r="BH140" i="4" s="1"/>
  <c r="BC140" i="4"/>
  <c r="BC53" i="4"/>
  <c r="BB53" i="4"/>
  <c r="BH53" i="4" s="1"/>
  <c r="BB144" i="4"/>
  <c r="BH144" i="4" s="1"/>
  <c r="BC144" i="4"/>
  <c r="BB121" i="4"/>
  <c r="BH121" i="4" s="1"/>
  <c r="BC121" i="4"/>
  <c r="BB104" i="4"/>
  <c r="BH104" i="4" s="1"/>
  <c r="BC104" i="4"/>
  <c r="BB37" i="4"/>
  <c r="BH37" i="4" s="1"/>
  <c r="BC37" i="4"/>
  <c r="BC97" i="4"/>
  <c r="BB97" i="4"/>
  <c r="BH97" i="4" s="1"/>
  <c r="BB33" i="4"/>
  <c r="BH33" i="4" s="1"/>
  <c r="BC33" i="4"/>
  <c r="BC83" i="4"/>
  <c r="BB83" i="4"/>
  <c r="BH83" i="4" s="1"/>
  <c r="BC19" i="4"/>
  <c r="BB19" i="4"/>
  <c r="BH19" i="4" s="1"/>
  <c r="BB151" i="4"/>
  <c r="BH151" i="4" s="1"/>
  <c r="BC151" i="4"/>
  <c r="BC84" i="4"/>
  <c r="BB84" i="4"/>
  <c r="BH84" i="4" s="1"/>
  <c r="BB115" i="4"/>
  <c r="BH115" i="4" s="1"/>
  <c r="BC115" i="4"/>
  <c r="BC46" i="4"/>
  <c r="BB46" i="4"/>
  <c r="BH46" i="4" s="1"/>
  <c r="BC101" i="4"/>
  <c r="BB101" i="4"/>
  <c r="BH101" i="4" s="1"/>
  <c r="BB141" i="4"/>
  <c r="BH141" i="4" s="1"/>
  <c r="BC141" i="4"/>
  <c r="BB128" i="4"/>
  <c r="BH128" i="4" s="1"/>
  <c r="BC128" i="4"/>
  <c r="BB61" i="4"/>
  <c r="BH61" i="4" s="1"/>
  <c r="BC61" i="4"/>
  <c r="BB119" i="4"/>
  <c r="BH119" i="4" s="1"/>
  <c r="BC119" i="4"/>
  <c r="BB57" i="4"/>
  <c r="BH57" i="4" s="1"/>
  <c r="BC57" i="4"/>
  <c r="BB105" i="4"/>
  <c r="BH105" i="4" s="1"/>
  <c r="BC105" i="4"/>
  <c r="BC43" i="4"/>
  <c r="BB43" i="4"/>
  <c r="BH43" i="4" s="1"/>
  <c r="BB126" i="4"/>
  <c r="BH126" i="4" s="1"/>
  <c r="BC126" i="4"/>
  <c r="BB137" i="4"/>
  <c r="BH137" i="4" s="1"/>
  <c r="BC137" i="4"/>
  <c r="BB117" i="4"/>
  <c r="BH117" i="4" s="1"/>
  <c r="BC117" i="4"/>
  <c r="BB110" i="4"/>
  <c r="BH110" i="4" s="1"/>
  <c r="BC110" i="4"/>
  <c r="BC157" i="4"/>
  <c r="BB157" i="4"/>
  <c r="BH157" i="4" s="1"/>
  <c r="BC92" i="4"/>
  <c r="BB92" i="4"/>
  <c r="BH92" i="4" s="1"/>
  <c r="BB107" i="4"/>
  <c r="BH107" i="4" s="1"/>
  <c r="BC107" i="4"/>
  <c r="BB42" i="4"/>
  <c r="BH42" i="4" s="1"/>
  <c r="BC42" i="4"/>
  <c r="BB100" i="4"/>
  <c r="BH100" i="4" s="1"/>
  <c r="BC100" i="4"/>
  <c r="BB38" i="4"/>
  <c r="BH38" i="4" s="1"/>
  <c r="BC38" i="4"/>
  <c r="BB88" i="4"/>
  <c r="BH88" i="4" s="1"/>
  <c r="BC88" i="4"/>
  <c r="BC24" i="4"/>
  <c r="BB24" i="4"/>
  <c r="BH24" i="4" s="1"/>
  <c r="BB148" i="4"/>
  <c r="BH148" i="4" s="1"/>
  <c r="BC148" i="4"/>
  <c r="BB134" i="4"/>
  <c r="BH134" i="4" s="1"/>
  <c r="BC134" i="4"/>
  <c r="BM102" i="4"/>
  <c r="BS102" i="4" s="1"/>
  <c r="BN102" i="4"/>
  <c r="BM116" i="4"/>
  <c r="BS116" i="4" s="1"/>
  <c r="BN116" i="4"/>
  <c r="BM145" i="4"/>
  <c r="BP145" i="4" s="1"/>
  <c r="BQ145" i="4" s="1"/>
  <c r="BN145" i="4"/>
  <c r="BM106" i="4"/>
  <c r="BS106" i="4" s="1"/>
  <c r="BN106" i="4"/>
  <c r="BM130" i="4"/>
  <c r="BS130" i="4" s="1"/>
  <c r="BN130" i="4"/>
  <c r="BM137" i="4"/>
  <c r="BP137" i="4" s="1"/>
  <c r="BQ137" i="4" s="1"/>
  <c r="BN137" i="4"/>
  <c r="BM81" i="4"/>
  <c r="BP81" i="4" s="1"/>
  <c r="BQ81" i="4" s="1"/>
  <c r="BN81" i="4"/>
  <c r="BM99" i="4"/>
  <c r="BS99" i="4" s="1"/>
  <c r="BN99" i="4"/>
  <c r="BM151" i="4"/>
  <c r="BN151" i="4"/>
  <c r="BM122" i="4"/>
  <c r="BS122" i="4" s="1"/>
  <c r="BN122" i="4"/>
  <c r="BM84" i="4"/>
  <c r="BS84" i="4" s="1"/>
  <c r="BN84" i="4"/>
  <c r="BM146" i="4"/>
  <c r="BS146" i="4" s="1"/>
  <c r="BN146" i="4"/>
  <c r="BM117" i="4"/>
  <c r="BP117" i="4" s="1"/>
  <c r="BQ117" i="4" s="1"/>
  <c r="BN117" i="4"/>
  <c r="BM87" i="4"/>
  <c r="BP87" i="4" s="1"/>
  <c r="BQ87" i="4" s="1"/>
  <c r="BN87" i="4"/>
  <c r="BM129" i="4"/>
  <c r="BS129" i="4" s="1"/>
  <c r="BN129" i="4"/>
  <c r="BM104" i="4"/>
  <c r="BS104" i="4" s="1"/>
  <c r="BN104" i="4"/>
  <c r="BM157" i="4"/>
  <c r="BN157" i="4"/>
  <c r="BM120" i="4"/>
  <c r="BP120" i="4" s="1"/>
  <c r="BQ120" i="4" s="1"/>
  <c r="BN120" i="4"/>
  <c r="BM132" i="4"/>
  <c r="BN132" i="4"/>
  <c r="BM134" i="4"/>
  <c r="BS134" i="4" s="1"/>
  <c r="BN134" i="4"/>
  <c r="BM109" i="4"/>
  <c r="BN109" i="4"/>
  <c r="BB138" i="4"/>
  <c r="BH138" i="4" s="1"/>
  <c r="BC138" i="4"/>
  <c r="BB15" i="4"/>
  <c r="BH15" i="4" s="1"/>
  <c r="BC15" i="4"/>
  <c r="BC111" i="4"/>
  <c r="BB111" i="4"/>
  <c r="BH111" i="4" s="1"/>
  <c r="BB108" i="4"/>
  <c r="BH108" i="4" s="1"/>
  <c r="BC108" i="4"/>
  <c r="BC79" i="4"/>
  <c r="BB79" i="4"/>
  <c r="BH79" i="4" s="1"/>
  <c r="BB94" i="4"/>
  <c r="BH94" i="4" s="1"/>
  <c r="BC94" i="4"/>
  <c r="BC133" i="4"/>
  <c r="BB133" i="4"/>
  <c r="BH133" i="4" s="1"/>
  <c r="BB21" i="4"/>
  <c r="BH21" i="4" s="1"/>
  <c r="BC21" i="4"/>
  <c r="BC17" i="4"/>
  <c r="BB17" i="4"/>
  <c r="BH17" i="4" s="1"/>
  <c r="BB23" i="4"/>
  <c r="BH23" i="4" s="1"/>
  <c r="BC23" i="4"/>
  <c r="BB142" i="4"/>
  <c r="BH142" i="4" s="1"/>
  <c r="BC142" i="4"/>
  <c r="BB30" i="4"/>
  <c r="BH30" i="4" s="1"/>
  <c r="BC30" i="4"/>
  <c r="BB20" i="4"/>
  <c r="BH20" i="4" s="1"/>
  <c r="BC20" i="4"/>
  <c r="BC71" i="4"/>
  <c r="BB71" i="4"/>
  <c r="BH71" i="4" s="1"/>
  <c r="BB112" i="4"/>
  <c r="BH112" i="4" s="1"/>
  <c r="BC112" i="4"/>
  <c r="BC45" i="4"/>
  <c r="BB45" i="4"/>
  <c r="BH45" i="4" s="1"/>
  <c r="BB103" i="4"/>
  <c r="BH103" i="4" s="1"/>
  <c r="BC103" i="4"/>
  <c r="BB41" i="4"/>
  <c r="BH41" i="4" s="1"/>
  <c r="BC41" i="4"/>
  <c r="BB91" i="4"/>
  <c r="BH91" i="4" s="1"/>
  <c r="BC91" i="4"/>
  <c r="BC27" i="4"/>
  <c r="BB27" i="4"/>
  <c r="BH27" i="4" s="1"/>
  <c r="BC143" i="4"/>
  <c r="BB143" i="4"/>
  <c r="BH143" i="4" s="1"/>
  <c r="BB145" i="4"/>
  <c r="BH145" i="4" s="1"/>
  <c r="BC145" i="4"/>
  <c r="BB131" i="4"/>
  <c r="BH131" i="4" s="1"/>
  <c r="BC131" i="4"/>
  <c r="BB80" i="4"/>
  <c r="BH80" i="4" s="1"/>
  <c r="BC80" i="4"/>
  <c r="BC68" i="4"/>
  <c r="BB68" i="4"/>
  <c r="BH68" i="4" s="1"/>
  <c r="BB136" i="4"/>
  <c r="BH136" i="4" s="1"/>
  <c r="BC136" i="4"/>
  <c r="BB90" i="4"/>
  <c r="BH90" i="4" s="1"/>
  <c r="BC90" i="4"/>
  <c r="BB26" i="4"/>
  <c r="BH26" i="4" s="1"/>
  <c r="BC26" i="4"/>
  <c r="BB86" i="4"/>
  <c r="BH86" i="4" s="1"/>
  <c r="BC86" i="4"/>
  <c r="BB22" i="4"/>
  <c r="BH22" i="4" s="1"/>
  <c r="BC22" i="4"/>
  <c r="BB72" i="4"/>
  <c r="BH72" i="4" s="1"/>
  <c r="BC72" i="4"/>
  <c r="BC95" i="4"/>
  <c r="BB95" i="4"/>
  <c r="BH95" i="4" s="1"/>
  <c r="BB31" i="4"/>
  <c r="BH31" i="4" s="1"/>
  <c r="BC31" i="4"/>
  <c r="BM123" i="4"/>
  <c r="BP123" i="4" s="1"/>
  <c r="BQ123" i="4" s="1"/>
  <c r="BN123" i="4"/>
  <c r="BM115" i="4"/>
  <c r="BS115" i="4" s="1"/>
  <c r="BN115" i="4"/>
  <c r="BM97" i="4"/>
  <c r="BS97" i="4" s="1"/>
  <c r="BN97" i="4"/>
  <c r="BM140" i="4"/>
  <c r="BS140" i="4" s="1"/>
  <c r="BN140" i="4"/>
  <c r="BM143" i="4"/>
  <c r="BP143" i="4" s="1"/>
  <c r="BQ143" i="4" s="1"/>
  <c r="BN143" i="4"/>
  <c r="BM107" i="4"/>
  <c r="BS107" i="4" s="1"/>
  <c r="BN107" i="4"/>
  <c r="BM92" i="4"/>
  <c r="BS92" i="4" s="1"/>
  <c r="BN92" i="4"/>
  <c r="BM126" i="4"/>
  <c r="BP126" i="4" s="1"/>
  <c r="BQ126" i="4" s="1"/>
  <c r="BN126" i="4"/>
  <c r="BM101" i="4"/>
  <c r="BS101" i="4" s="1"/>
  <c r="BN101" i="4"/>
  <c r="BM105" i="4"/>
  <c r="BP105" i="4" s="1"/>
  <c r="BQ105" i="4" s="1"/>
  <c r="BN105" i="4"/>
  <c r="BM131" i="4"/>
  <c r="BP131" i="4" s="1"/>
  <c r="BQ131" i="4" s="1"/>
  <c r="BN131" i="4"/>
  <c r="BM142" i="4"/>
  <c r="BS142" i="4" s="1"/>
  <c r="BN142" i="4"/>
  <c r="BM154" i="4"/>
  <c r="BP154" i="4" s="1"/>
  <c r="BQ154" i="4" s="1"/>
  <c r="BN154" i="4"/>
  <c r="BM121" i="4"/>
  <c r="BS121" i="4" s="1"/>
  <c r="BN121" i="4"/>
  <c r="BM83" i="4"/>
  <c r="BS83" i="4" s="1"/>
  <c r="BN83" i="4"/>
  <c r="BM153" i="4"/>
  <c r="BS153" i="4" s="1"/>
  <c r="BN153" i="4"/>
  <c r="BM111" i="4"/>
  <c r="BP111" i="4" s="1"/>
  <c r="BQ111" i="4" s="1"/>
  <c r="BN111" i="4"/>
  <c r="BM139" i="4"/>
  <c r="BP139" i="4" s="1"/>
  <c r="BQ139" i="4" s="1"/>
  <c r="BN139" i="4"/>
  <c r="BM119" i="4"/>
  <c r="BS119" i="4" s="1"/>
  <c r="BN119" i="4"/>
  <c r="BM91" i="4"/>
  <c r="BP91" i="4" s="1"/>
  <c r="BQ91" i="4" s="1"/>
  <c r="BN91" i="4"/>
  <c r="BM95" i="4"/>
  <c r="BP95" i="4" s="1"/>
  <c r="BQ95" i="4" s="1"/>
  <c r="BN95" i="4"/>
  <c r="BB124" i="4"/>
  <c r="BH124" i="4" s="1"/>
  <c r="BC124" i="4"/>
  <c r="BB39" i="4"/>
  <c r="BH39" i="4" s="1"/>
  <c r="BC39" i="4"/>
  <c r="BB49" i="4"/>
  <c r="BH49" i="4" s="1"/>
  <c r="BC49" i="4"/>
  <c r="BB64" i="4"/>
  <c r="BH64" i="4" s="1"/>
  <c r="BC64" i="4"/>
  <c r="BB106" i="4"/>
  <c r="BH106" i="4" s="1"/>
  <c r="BC106" i="4"/>
  <c r="BC66" i="4"/>
  <c r="BB66" i="4"/>
  <c r="BH66" i="4" s="1"/>
  <c r="BC32" i="4"/>
  <c r="BB32" i="4"/>
  <c r="BH32" i="4" s="1"/>
  <c r="BC153" i="4"/>
  <c r="BB153" i="4"/>
  <c r="BH153" i="4" s="1"/>
  <c r="BB139" i="4"/>
  <c r="BH139" i="4" s="1"/>
  <c r="BC139" i="4"/>
  <c r="BC85" i="4"/>
  <c r="BB85" i="4"/>
  <c r="BH85" i="4" s="1"/>
  <c r="BB81" i="4"/>
  <c r="BH81" i="4" s="1"/>
  <c r="BC81" i="4"/>
  <c r="BC67" i="4"/>
  <c r="BB67" i="4"/>
  <c r="BH67" i="4" s="1"/>
  <c r="BB63" i="4"/>
  <c r="BH63" i="4" s="1"/>
  <c r="BC63" i="4"/>
  <c r="BB98" i="4"/>
  <c r="BH98" i="4" s="1"/>
  <c r="BC98" i="4"/>
  <c r="BB50" i="4"/>
  <c r="BH50" i="4" s="1"/>
  <c r="BC50" i="4"/>
  <c r="BC62" i="4"/>
  <c r="BB62" i="4"/>
  <c r="BH62" i="4" s="1"/>
  <c r="BC44" i="4"/>
  <c r="BB44" i="4"/>
  <c r="BH44" i="4" s="1"/>
  <c r="BC129" i="4"/>
  <c r="BB129" i="4"/>
  <c r="BH129" i="4" s="1"/>
  <c r="BC149" i="4"/>
  <c r="BB149" i="4"/>
  <c r="BH149" i="4" s="1"/>
  <c r="BB155" i="4"/>
  <c r="BH155" i="4" s="1"/>
  <c r="BC155" i="4"/>
  <c r="BC69" i="4"/>
  <c r="BB69" i="4"/>
  <c r="BH69" i="4" s="1"/>
  <c r="BB127" i="4"/>
  <c r="BH127" i="4" s="1"/>
  <c r="BC127" i="4"/>
  <c r="BB65" i="4"/>
  <c r="BH65" i="4" s="1"/>
  <c r="BC65" i="4"/>
  <c r="BB113" i="4"/>
  <c r="BH113" i="4" s="1"/>
  <c r="BC113" i="4"/>
  <c r="BB51" i="4"/>
  <c r="BH51" i="4" s="1"/>
  <c r="BC51" i="4"/>
  <c r="BC87" i="4"/>
  <c r="BB87" i="4"/>
  <c r="BH87" i="4" s="1"/>
  <c r="BB150" i="4"/>
  <c r="BH150" i="4" s="1"/>
  <c r="BC150" i="4"/>
  <c r="BB114" i="4"/>
  <c r="BH114" i="4" s="1"/>
  <c r="BC114" i="4"/>
  <c r="BC82" i="4"/>
  <c r="BB82" i="4"/>
  <c r="BH82" i="4" s="1"/>
  <c r="BB96" i="4"/>
  <c r="BH96" i="4" s="1"/>
  <c r="BC96" i="4"/>
  <c r="BB47" i="4"/>
  <c r="BH47" i="4" s="1"/>
  <c r="BC47" i="4"/>
  <c r="BC125" i="4"/>
  <c r="BB125" i="4"/>
  <c r="BH125" i="4" s="1"/>
  <c r="BC93" i="4"/>
  <c r="BB93" i="4"/>
  <c r="BH93" i="4" s="1"/>
  <c r="BC29" i="4"/>
  <c r="BB29" i="4"/>
  <c r="BH29" i="4" s="1"/>
  <c r="BC89" i="4"/>
  <c r="BB89" i="4"/>
  <c r="BH89" i="4" s="1"/>
  <c r="BB25" i="4"/>
  <c r="BH25" i="4" s="1"/>
  <c r="BC25" i="4"/>
  <c r="BC75" i="4"/>
  <c r="BB75" i="4"/>
  <c r="BH75" i="4" s="1"/>
  <c r="BB11" i="4"/>
  <c r="BH11" i="4" s="1"/>
  <c r="BC11" i="4"/>
  <c r="BB12" i="4"/>
  <c r="BH12" i="4" s="1"/>
  <c r="BC12" i="4"/>
  <c r="BB34" i="4"/>
  <c r="BH34" i="4" s="1"/>
  <c r="BC34" i="4"/>
  <c r="BC16" i="4"/>
  <c r="BB16" i="4"/>
  <c r="BH16" i="4" s="1"/>
  <c r="BB146" i="4"/>
  <c r="BH146" i="4" s="1"/>
  <c r="BC146" i="4"/>
  <c r="BB152" i="4"/>
  <c r="BH152" i="4" s="1"/>
  <c r="BC152" i="4"/>
  <c r="BC74" i="4"/>
  <c r="BB74" i="4"/>
  <c r="BH74" i="4" s="1"/>
  <c r="BB10" i="4"/>
  <c r="BH10" i="4" s="1"/>
  <c r="BC10" i="4"/>
  <c r="BC70" i="4"/>
  <c r="BB70" i="4"/>
  <c r="BH70" i="4" s="1"/>
  <c r="BB118" i="4"/>
  <c r="BH118" i="4" s="1"/>
  <c r="BC118" i="4"/>
  <c r="BB56" i="4"/>
  <c r="BH56" i="4" s="1"/>
  <c r="BC56" i="4"/>
  <c r="BC76" i="4"/>
  <c r="BB76" i="4"/>
  <c r="BH76" i="4" s="1"/>
  <c r="BB109" i="4"/>
  <c r="BH109" i="4" s="1"/>
  <c r="BC109" i="4"/>
  <c r="BM93" i="4"/>
  <c r="BP93" i="4" s="1"/>
  <c r="BQ93" i="4" s="1"/>
  <c r="BN93" i="4"/>
  <c r="BM144" i="4"/>
  <c r="BS144" i="4" s="1"/>
  <c r="BN144" i="4"/>
  <c r="BM127" i="4"/>
  <c r="BP127" i="4" s="1"/>
  <c r="BQ127" i="4" s="1"/>
  <c r="BN127" i="4"/>
  <c r="BM103" i="4"/>
  <c r="BP103" i="4" s="1"/>
  <c r="BQ103" i="4" s="1"/>
  <c r="BN103" i="4"/>
  <c r="BM100" i="4"/>
  <c r="BS100" i="4" s="1"/>
  <c r="BN100" i="4"/>
  <c r="BM125" i="4"/>
  <c r="BS125" i="4" s="1"/>
  <c r="BN125" i="4"/>
  <c r="BM80" i="4"/>
  <c r="BS80" i="4" s="1"/>
  <c r="BN80" i="4"/>
  <c r="BM90" i="4"/>
  <c r="BS90" i="4" s="1"/>
  <c r="BN90" i="4"/>
  <c r="BM124" i="4"/>
  <c r="BP124" i="4" s="1"/>
  <c r="BQ124" i="4" s="1"/>
  <c r="BN124" i="4"/>
  <c r="BM86" i="4"/>
  <c r="BS86" i="4" s="1"/>
  <c r="BN86" i="4"/>
  <c r="BM118" i="4"/>
  <c r="BP118" i="4" s="1"/>
  <c r="BQ118" i="4" s="1"/>
  <c r="BN118" i="4"/>
  <c r="BM136" i="4"/>
  <c r="BS136" i="4" s="1"/>
  <c r="BN136" i="4"/>
  <c r="BM149" i="4"/>
  <c r="BP149" i="4" s="1"/>
  <c r="BQ149" i="4" s="1"/>
  <c r="BN149" i="4"/>
  <c r="BM152" i="4"/>
  <c r="BP152" i="4" s="1"/>
  <c r="BQ152" i="4" s="1"/>
  <c r="BN152" i="4"/>
  <c r="BM110" i="4"/>
  <c r="BS110" i="4" s="1"/>
  <c r="BN110" i="4"/>
  <c r="BM89" i="4"/>
  <c r="BS89" i="4" s="1"/>
  <c r="BN89" i="4"/>
  <c r="BM147" i="4"/>
  <c r="BP147" i="4" s="1"/>
  <c r="BQ147" i="4" s="1"/>
  <c r="BN147" i="4"/>
  <c r="BM82" i="4"/>
  <c r="BP82" i="4" s="1"/>
  <c r="BQ82" i="4" s="1"/>
  <c r="BN82" i="4"/>
  <c r="BM133" i="4"/>
  <c r="BS133" i="4" s="1"/>
  <c r="BN133" i="4"/>
  <c r="BM113" i="4"/>
  <c r="BS113" i="4" s="1"/>
  <c r="BN113" i="4"/>
  <c r="BM94" i="4"/>
  <c r="BP94" i="4" s="1"/>
  <c r="BQ94" i="4" s="1"/>
  <c r="BN94" i="4"/>
  <c r="R17" i="4"/>
  <c r="AF17" i="4" s="1"/>
  <c r="BP24" i="4"/>
  <c r="BQ24" i="4" s="1"/>
  <c r="BS24" i="4"/>
  <c r="BS44" i="4"/>
  <c r="BP44" i="4"/>
  <c r="BQ44" i="4" s="1"/>
  <c r="BS32" i="4"/>
  <c r="BP32" i="4"/>
  <c r="BQ32" i="4" s="1"/>
  <c r="BS56" i="4"/>
  <c r="BP56" i="4"/>
  <c r="BQ56" i="4" s="1"/>
  <c r="BP72" i="4"/>
  <c r="BQ72" i="4" s="1"/>
  <c r="BS72" i="4"/>
  <c r="BS96" i="4"/>
  <c r="BP96" i="4"/>
  <c r="BQ96" i="4" s="1"/>
  <c r="BP42" i="4"/>
  <c r="BQ42" i="4" s="1"/>
  <c r="BS42" i="4"/>
  <c r="BP22" i="4"/>
  <c r="BQ22" i="4" s="1"/>
  <c r="BS22" i="4"/>
  <c r="BS59" i="4"/>
  <c r="BP59" i="4"/>
  <c r="BQ59" i="4" s="1"/>
  <c r="BP11" i="4"/>
  <c r="BQ11" i="4" s="1"/>
  <c r="BS11" i="4"/>
  <c r="BP12" i="4"/>
  <c r="BQ12" i="4" s="1"/>
  <c r="BS12" i="4"/>
  <c r="BS128" i="4"/>
  <c r="BS85" i="4"/>
  <c r="BP85" i="4"/>
  <c r="BQ85" i="4" s="1"/>
  <c r="BP74" i="4"/>
  <c r="BQ74" i="4" s="1"/>
  <c r="BS74" i="4"/>
  <c r="BS112" i="4"/>
  <c r="BP112" i="4"/>
  <c r="BQ112" i="4" s="1"/>
  <c r="BP54" i="4"/>
  <c r="BQ54" i="4" s="1"/>
  <c r="BS54" i="4"/>
  <c r="BP58" i="4"/>
  <c r="BQ58" i="4" s="1"/>
  <c r="BS58" i="4"/>
  <c r="BP28" i="4"/>
  <c r="BQ28" i="4" s="1"/>
  <c r="BS28" i="4"/>
  <c r="BS65" i="4"/>
  <c r="BP65" i="4"/>
  <c r="BQ65" i="4" s="1"/>
  <c r="BP102" i="4"/>
  <c r="BQ102" i="4" s="1"/>
  <c r="BP130" i="4"/>
  <c r="BQ130" i="4" s="1"/>
  <c r="BP15" i="4"/>
  <c r="BQ15" i="4" s="1"/>
  <c r="BS15" i="4"/>
  <c r="BS81" i="4"/>
  <c r="BS151" i="4"/>
  <c r="BP151" i="4"/>
  <c r="BQ151" i="4" s="1"/>
  <c r="BP39" i="4"/>
  <c r="BQ39" i="4" s="1"/>
  <c r="BS39" i="4"/>
  <c r="BP50" i="4"/>
  <c r="BQ50" i="4" s="1"/>
  <c r="BS50" i="4"/>
  <c r="BP70" i="4"/>
  <c r="BQ70" i="4" s="1"/>
  <c r="BS70" i="4"/>
  <c r="BS35" i="4"/>
  <c r="BP35" i="4"/>
  <c r="BQ35" i="4" s="1"/>
  <c r="BS157" i="4"/>
  <c r="BP157" i="4"/>
  <c r="BQ157" i="4" s="1"/>
  <c r="BP52" i="4"/>
  <c r="BQ52" i="4" s="1"/>
  <c r="BS52" i="4"/>
  <c r="BP75" i="4"/>
  <c r="BQ75" i="4" s="1"/>
  <c r="BS75" i="4"/>
  <c r="BS41" i="4"/>
  <c r="BP41" i="4"/>
  <c r="BQ41" i="4" s="1"/>
  <c r="BS131" i="4"/>
  <c r="BP60" i="4"/>
  <c r="BQ60" i="4" s="1"/>
  <c r="BS60" i="4"/>
  <c r="BS53" i="4"/>
  <c r="BP53" i="4"/>
  <c r="BQ53" i="4" s="1"/>
  <c r="BS45" i="4"/>
  <c r="BP45" i="4"/>
  <c r="BQ45" i="4" s="1"/>
  <c r="BP34" i="4"/>
  <c r="BQ34" i="4" s="1"/>
  <c r="BS34" i="4"/>
  <c r="BP64" i="4"/>
  <c r="BQ64" i="4" s="1"/>
  <c r="BS64" i="4"/>
  <c r="BP83" i="4"/>
  <c r="BQ83" i="4" s="1"/>
  <c r="BP13" i="4"/>
  <c r="BQ13" i="4" s="1"/>
  <c r="BS13" i="4"/>
  <c r="BP47" i="4"/>
  <c r="BQ47" i="4" s="1"/>
  <c r="BS47" i="4"/>
  <c r="BS111" i="4"/>
  <c r="BP119" i="4"/>
  <c r="BQ119" i="4" s="1"/>
  <c r="BS27" i="4"/>
  <c r="BP27" i="4"/>
  <c r="BQ27" i="4" s="1"/>
  <c r="BS61" i="4"/>
  <c r="BP61" i="4"/>
  <c r="BQ61" i="4" s="1"/>
  <c r="BP31" i="4"/>
  <c r="BQ31" i="4" s="1"/>
  <c r="BS31" i="4"/>
  <c r="BP68" i="4"/>
  <c r="BQ68" i="4" s="1"/>
  <c r="BS68" i="4"/>
  <c r="BP36" i="4"/>
  <c r="BQ36" i="4" s="1"/>
  <c r="BS36" i="4"/>
  <c r="BS57" i="4"/>
  <c r="BP57" i="4"/>
  <c r="BQ57" i="4" s="1"/>
  <c r="BS29" i="4"/>
  <c r="BP29" i="4"/>
  <c r="BQ29" i="4" s="1"/>
  <c r="BS138" i="4"/>
  <c r="BP138" i="4"/>
  <c r="BQ138" i="4" s="1"/>
  <c r="BS55" i="4"/>
  <c r="BP55" i="4"/>
  <c r="BQ55" i="4" s="1"/>
  <c r="BS63" i="4"/>
  <c r="BP63" i="4"/>
  <c r="BQ63" i="4" s="1"/>
  <c r="BP98" i="4"/>
  <c r="BQ98" i="4" s="1"/>
  <c r="BS51" i="4"/>
  <c r="BP51" i="4"/>
  <c r="BQ51" i="4" s="1"/>
  <c r="BP66" i="4"/>
  <c r="BQ66" i="4" s="1"/>
  <c r="BS66" i="4"/>
  <c r="BS108" i="4"/>
  <c r="BP108" i="4"/>
  <c r="BQ108" i="4" s="1"/>
  <c r="BS79" i="4"/>
  <c r="BP79" i="4"/>
  <c r="BQ79" i="4" s="1"/>
  <c r="BS114" i="4"/>
  <c r="BS21" i="4"/>
  <c r="BP21" i="4"/>
  <c r="BQ21" i="4" s="1"/>
  <c r="BP10" i="4"/>
  <c r="BQ10" i="4" s="1"/>
  <c r="BS10" i="4"/>
  <c r="BS23" i="4"/>
  <c r="BP23" i="4"/>
  <c r="BQ23" i="4" s="1"/>
  <c r="BP49" i="4"/>
  <c r="BQ49" i="4" s="1"/>
  <c r="BS49" i="4"/>
  <c r="BP40" i="4"/>
  <c r="BQ40" i="4" s="1"/>
  <c r="BS40" i="4"/>
  <c r="BS76" i="4"/>
  <c r="BP76" i="4"/>
  <c r="BQ76" i="4" s="1"/>
  <c r="BS137" i="4"/>
  <c r="BP78" i="4"/>
  <c r="BQ78" i="4" s="1"/>
  <c r="BS78" i="4"/>
  <c r="BP16" i="4"/>
  <c r="BQ16" i="4" s="1"/>
  <c r="BS16" i="4"/>
  <c r="BS132" i="4"/>
  <c r="BP132" i="4"/>
  <c r="BQ132" i="4" s="1"/>
  <c r="BS109" i="4"/>
  <c r="BP109" i="4"/>
  <c r="BQ109" i="4" s="1"/>
  <c r="BS48" i="4"/>
  <c r="BP48" i="4"/>
  <c r="BQ48" i="4" s="1"/>
  <c r="BS67" i="4"/>
  <c r="BP67" i="4"/>
  <c r="BQ67" i="4" s="1"/>
  <c r="BS19" i="4"/>
  <c r="BP19" i="4"/>
  <c r="BQ19" i="4" s="1"/>
  <c r="BP20" i="4"/>
  <c r="BQ20" i="4" s="1"/>
  <c r="BS20" i="4"/>
  <c r="BP14" i="4"/>
  <c r="BQ14" i="4" s="1"/>
  <c r="BS14" i="4"/>
  <c r="BS17" i="4"/>
  <c r="BP17" i="4"/>
  <c r="BQ17" i="4" s="1"/>
  <c r="BS37" i="4"/>
  <c r="BP37" i="4"/>
  <c r="BQ37" i="4" s="1"/>
  <c r="BS33" i="4"/>
  <c r="BP33" i="4"/>
  <c r="BQ33" i="4" s="1"/>
  <c r="BP77" i="4"/>
  <c r="BQ77" i="4" s="1"/>
  <c r="BS77" i="4"/>
  <c r="BP26" i="4"/>
  <c r="BQ26" i="4" s="1"/>
  <c r="BS26" i="4"/>
  <c r="BP18" i="4"/>
  <c r="BQ18" i="4" s="1"/>
  <c r="BS18" i="4"/>
  <c r="BP38" i="4"/>
  <c r="BQ38" i="4" s="1"/>
  <c r="BS38" i="4"/>
  <c r="BP30" i="4"/>
  <c r="BQ30" i="4" s="1"/>
  <c r="BS30" i="4"/>
  <c r="BS71" i="4"/>
  <c r="BP71" i="4"/>
  <c r="BQ71" i="4" s="1"/>
  <c r="BS43" i="4"/>
  <c r="BP43" i="4"/>
  <c r="BQ43" i="4" s="1"/>
  <c r="BS62" i="4"/>
  <c r="BP62" i="4"/>
  <c r="BQ62" i="4" s="1"/>
  <c r="BP25" i="4"/>
  <c r="BQ25" i="4" s="1"/>
  <c r="BS25" i="4"/>
  <c r="BS69" i="4"/>
  <c r="BP69" i="4"/>
  <c r="BQ69" i="4" s="1"/>
  <c r="BP46" i="4"/>
  <c r="BQ46" i="4" s="1"/>
  <c r="BS46" i="4"/>
  <c r="BP73" i="4"/>
  <c r="BQ73" i="4" s="1"/>
  <c r="BS73" i="4"/>
  <c r="BS9" i="4"/>
  <c r="BP9" i="4"/>
  <c r="BQ9" i="4" s="1"/>
  <c r="BE140" i="4"/>
  <c r="BF140" i="4" s="1"/>
  <c r="BE120" i="4"/>
  <c r="BF120" i="4" s="1"/>
  <c r="BE135" i="4"/>
  <c r="BF135" i="4" s="1"/>
  <c r="BE122" i="4"/>
  <c r="BF122" i="4" s="1"/>
  <c r="BE85" i="4"/>
  <c r="BF85" i="4" s="1"/>
  <c r="BE21" i="4"/>
  <c r="BF21" i="4" s="1"/>
  <c r="BE98" i="4"/>
  <c r="BF98" i="4" s="1"/>
  <c r="BE30" i="4"/>
  <c r="BF30" i="4" s="1"/>
  <c r="BE45" i="4"/>
  <c r="BF45" i="4" s="1"/>
  <c r="BE41" i="4"/>
  <c r="BF41" i="4" s="1"/>
  <c r="BE27" i="4"/>
  <c r="BF27" i="4" s="1"/>
  <c r="BE145" i="4"/>
  <c r="BF145" i="4" s="1"/>
  <c r="BE80" i="4"/>
  <c r="BF80" i="4" s="1"/>
  <c r="BE26" i="4"/>
  <c r="BF26" i="4" s="1"/>
  <c r="BE95" i="4"/>
  <c r="BF95" i="4" s="1"/>
  <c r="BE155" i="4"/>
  <c r="BF155" i="4" s="1"/>
  <c r="BE127" i="4"/>
  <c r="BF127" i="4" s="1"/>
  <c r="BE87" i="4"/>
  <c r="BF87" i="4" s="1"/>
  <c r="BE96" i="4"/>
  <c r="BF96" i="4" s="1"/>
  <c r="BE29" i="4"/>
  <c r="BF29" i="4" s="1"/>
  <c r="BE11" i="4"/>
  <c r="BF11" i="4" s="1"/>
  <c r="BE70" i="4"/>
  <c r="BF70" i="4" s="1"/>
  <c r="BE14" i="4"/>
  <c r="BF14" i="4" s="1"/>
  <c r="BE39" i="4"/>
  <c r="BF39" i="4" s="1"/>
  <c r="BE52" i="4"/>
  <c r="BF52" i="4" s="1"/>
  <c r="BE48" i="4"/>
  <c r="BF48" i="4" s="1"/>
  <c r="BE13" i="4"/>
  <c r="BF13" i="4" s="1"/>
  <c r="BE9" i="4"/>
  <c r="BF9" i="4" s="1"/>
  <c r="BE55" i="4"/>
  <c r="BF55" i="4" s="1"/>
  <c r="BE156" i="4"/>
  <c r="BF156" i="4" s="1"/>
  <c r="BE28" i="4"/>
  <c r="BF28" i="4" s="1"/>
  <c r="BE116" i="4"/>
  <c r="BF116" i="4" s="1"/>
  <c r="BE54" i="4"/>
  <c r="BF54" i="4" s="1"/>
  <c r="BE102" i="4"/>
  <c r="BF102" i="4" s="1"/>
  <c r="BE132" i="4"/>
  <c r="BF132" i="4" s="1"/>
  <c r="BE108" i="4"/>
  <c r="BF108" i="4" s="1"/>
  <c r="BE104" i="4"/>
  <c r="BF104" i="4" s="1"/>
  <c r="BE83" i="4"/>
  <c r="BF83" i="4" s="1"/>
  <c r="BE151" i="4"/>
  <c r="BF151" i="4" s="1"/>
  <c r="BE115" i="4"/>
  <c r="BF115" i="4" s="1"/>
  <c r="BE128" i="4"/>
  <c r="BF128" i="4" s="1"/>
  <c r="BE105" i="4"/>
  <c r="BF105" i="4" s="1"/>
  <c r="BE117" i="4"/>
  <c r="BF117" i="4" s="1"/>
  <c r="BE107" i="4"/>
  <c r="BF107" i="4" s="1"/>
  <c r="BE88" i="4"/>
  <c r="BF88" i="4" s="1"/>
  <c r="BP8" i="4"/>
  <c r="AG25" i="4"/>
  <c r="R86" i="4"/>
  <c r="AF86" i="4" s="1"/>
  <c r="R26" i="4"/>
  <c r="BB8" i="4"/>
  <c r="R72" i="4"/>
  <c r="AF72" i="4" s="1"/>
  <c r="R21" i="4"/>
  <c r="AF21" i="4" s="1"/>
  <c r="R16" i="4"/>
  <c r="AF16" i="4" s="1"/>
  <c r="R94" i="4"/>
  <c r="AF94" i="4" s="1"/>
  <c r="R112" i="4"/>
  <c r="AF112" i="4" s="1"/>
  <c r="R28" i="4"/>
  <c r="AF28" i="4" s="1"/>
  <c r="R75" i="4"/>
  <c r="AF75" i="4" s="1"/>
  <c r="R127" i="4"/>
  <c r="AF127" i="4" s="1"/>
  <c r="R147" i="4"/>
  <c r="AF147" i="4" s="1"/>
  <c r="R154" i="4"/>
  <c r="AF154" i="4" s="1"/>
  <c r="R15" i="4"/>
  <c r="AF15" i="4" s="1"/>
  <c r="R74" i="4"/>
  <c r="AF74" i="4" s="1"/>
  <c r="R109" i="4"/>
  <c r="AF109" i="4" s="1"/>
  <c r="R39" i="4"/>
  <c r="AF39" i="4" s="1"/>
  <c r="R44" i="4"/>
  <c r="AF44" i="4" s="1"/>
  <c r="R13" i="4"/>
  <c r="AF13" i="4" s="1"/>
  <c r="R37" i="4"/>
  <c r="AF37" i="4" s="1"/>
  <c r="R14" i="4"/>
  <c r="AF14" i="4" s="1"/>
  <c r="R138" i="4"/>
  <c r="AF138" i="4" s="1"/>
  <c r="R52" i="4"/>
  <c r="AF52" i="4" s="1"/>
  <c r="R40" i="4"/>
  <c r="AF40" i="4" s="1"/>
  <c r="R60" i="4"/>
  <c r="AF60" i="4" s="1"/>
  <c r="R36" i="4"/>
  <c r="AF36" i="4" s="1"/>
  <c r="R58" i="4"/>
  <c r="AF58" i="4" s="1"/>
  <c r="R54" i="4"/>
  <c r="AF54" i="4" s="1"/>
  <c r="R59" i="4"/>
  <c r="AF59" i="4" s="1"/>
  <c r="R148" i="4"/>
  <c r="AF148" i="4" s="1"/>
  <c r="R157" i="4"/>
  <c r="R116" i="4"/>
  <c r="AF116" i="4" s="1"/>
  <c r="R55" i="4"/>
  <c r="AF55" i="4" s="1"/>
  <c r="R79" i="4"/>
  <c r="AF79" i="4" s="1"/>
  <c r="R57" i="4"/>
  <c r="AF57" i="4" s="1"/>
  <c r="R18" i="4"/>
  <c r="AF18" i="4" s="1"/>
  <c r="R156" i="4"/>
  <c r="AF156" i="4" s="1"/>
  <c r="R102" i="4"/>
  <c r="AF102" i="4" s="1"/>
  <c r="R99" i="4"/>
  <c r="AF99" i="4" s="1"/>
  <c r="R130" i="4"/>
  <c r="AF130" i="4" s="1"/>
  <c r="R77" i="4"/>
  <c r="AF77" i="4" s="1"/>
  <c r="R19" i="4"/>
  <c r="AF19" i="4" s="1"/>
  <c r="R97" i="4"/>
  <c r="AF97" i="4" s="1"/>
  <c r="R141" i="4"/>
  <c r="AF141" i="4" s="1"/>
  <c r="R137" i="4"/>
  <c r="AF137" i="4" s="1"/>
  <c r="R126" i="4"/>
  <c r="AF126" i="4" s="1"/>
  <c r="R117" i="4"/>
  <c r="AF117" i="4" s="1"/>
  <c r="R103" i="4"/>
  <c r="AF103" i="4" s="1"/>
  <c r="R88" i="4"/>
  <c r="AF88" i="4" s="1"/>
  <c r="R101" i="4"/>
  <c r="AF101" i="4" s="1"/>
  <c r="R108" i="4"/>
  <c r="AF108" i="4" s="1"/>
  <c r="R33" i="4"/>
  <c r="AF33" i="4" s="1"/>
  <c r="R45" i="4"/>
  <c r="AF45" i="4" s="1"/>
  <c r="R144" i="4"/>
  <c r="AF144" i="4" s="1"/>
  <c r="R87" i="4"/>
  <c r="AF87" i="4" s="1"/>
  <c r="R128" i="4"/>
  <c r="AF128" i="4" s="1"/>
  <c r="R34" i="4"/>
  <c r="AF34" i="4" s="1"/>
  <c r="R146" i="4"/>
  <c r="AF146" i="4" s="1"/>
  <c r="R48" i="4"/>
  <c r="AF48" i="4" s="1"/>
  <c r="R132" i="4"/>
  <c r="AF132" i="4" s="1"/>
  <c r="R123" i="4"/>
  <c r="AF123" i="4" s="1"/>
  <c r="R122" i="4"/>
  <c r="AF122" i="4" s="1"/>
  <c r="R49" i="4"/>
  <c r="AF49" i="4" s="1"/>
  <c r="R43" i="4"/>
  <c r="AF43" i="4" s="1"/>
  <c r="R104" i="4"/>
  <c r="AF104" i="4" s="1"/>
  <c r="R124" i="4"/>
  <c r="AF124" i="4" s="1"/>
  <c r="R111" i="4"/>
  <c r="AF111" i="4" s="1"/>
  <c r="R84" i="4"/>
  <c r="AF84" i="4" s="1"/>
  <c r="R35" i="4"/>
  <c r="AF35" i="4" s="1"/>
  <c r="R140" i="4"/>
  <c r="AF140" i="4" s="1"/>
  <c r="R107" i="4"/>
  <c r="AF107" i="4" s="1"/>
  <c r="R134" i="4"/>
  <c r="AF134" i="4" s="1"/>
  <c r="R42" i="4"/>
  <c r="AF42" i="4" s="1"/>
  <c r="R24" i="4"/>
  <c r="AF24" i="4" s="1"/>
  <c r="R125" i="4"/>
  <c r="AF125" i="4" s="1"/>
  <c r="R151" i="4"/>
  <c r="AF151" i="4" s="1"/>
  <c r="R65" i="4"/>
  <c r="AF65" i="4" s="1"/>
  <c r="R118" i="4"/>
  <c r="AF118" i="4" s="1"/>
  <c r="R113" i="4"/>
  <c r="AF113" i="4" s="1"/>
  <c r="R46" i="4"/>
  <c r="AF46" i="4" s="1"/>
  <c r="R98" i="4"/>
  <c r="AF98" i="4" s="1"/>
  <c r="R139" i="4"/>
  <c r="AF139" i="4" s="1"/>
  <c r="R153" i="4"/>
  <c r="AF153" i="4" s="1"/>
  <c r="R90" i="4"/>
  <c r="AF90" i="4" s="1"/>
  <c r="R133" i="4"/>
  <c r="AF133" i="4" s="1"/>
  <c r="R41" i="4"/>
  <c r="AF41" i="4" s="1"/>
  <c r="R23" i="4"/>
  <c r="AF23" i="4" s="1"/>
  <c r="R152" i="4"/>
  <c r="AF152" i="4" s="1"/>
  <c r="R82" i="4"/>
  <c r="AF82" i="4" s="1"/>
  <c r="R10" i="4"/>
  <c r="AF10" i="4" s="1"/>
  <c r="R12" i="4"/>
  <c r="AF12" i="4" s="1"/>
  <c r="R51" i="4"/>
  <c r="AF51" i="4" s="1"/>
  <c r="R96" i="4"/>
  <c r="AF96" i="4" s="1"/>
  <c r="R143" i="4"/>
  <c r="AF143" i="4" s="1"/>
  <c r="R131" i="4"/>
  <c r="AF131" i="4" s="1"/>
  <c r="R145" i="4"/>
  <c r="AF145" i="4" s="1"/>
  <c r="R29" i="4"/>
  <c r="AF29" i="4" s="1"/>
  <c r="R11" i="4"/>
  <c r="AF11" i="4" s="1"/>
  <c r="R66" i="4"/>
  <c r="AF66" i="4" s="1"/>
  <c r="R89" i="4"/>
  <c r="AF89" i="4" s="1"/>
  <c r="R80" i="4"/>
  <c r="AF80" i="4" s="1"/>
  <c r="R7" i="4"/>
  <c r="AF7" i="4" s="1"/>
  <c r="R149" i="4"/>
  <c r="AF149" i="4" s="1"/>
  <c r="R27" i="4"/>
  <c r="AF27" i="4" s="1"/>
  <c r="R69" i="4"/>
  <c r="AF69" i="4" s="1"/>
  <c r="R76" i="4"/>
  <c r="AF76" i="4" s="1"/>
  <c r="R81" i="4"/>
  <c r="AF81" i="4" s="1"/>
  <c r="R155" i="4"/>
  <c r="AF155" i="4" s="1"/>
  <c r="R68" i="4"/>
  <c r="AF68" i="4" s="1"/>
  <c r="R115" i="4"/>
  <c r="AF115" i="4" s="1"/>
  <c r="R22" i="4"/>
  <c r="AF22" i="4" s="1"/>
  <c r="R83" i="4"/>
  <c r="AF83" i="4" s="1"/>
  <c r="R56" i="4"/>
  <c r="AF56" i="4" s="1"/>
  <c r="R129" i="4"/>
  <c r="AF129" i="4" s="1"/>
  <c r="R135" i="4"/>
  <c r="AF135" i="4" s="1"/>
  <c r="R110" i="4"/>
  <c r="AF110" i="4" s="1"/>
  <c r="R50" i="4"/>
  <c r="AF50" i="4" s="1"/>
  <c r="R121" i="4"/>
  <c r="AF121" i="4" s="1"/>
  <c r="R136" i="4"/>
  <c r="AF136" i="4" s="1"/>
  <c r="R119" i="4"/>
  <c r="AF119" i="4" s="1"/>
  <c r="R38" i="4"/>
  <c r="AF38" i="4" s="1"/>
  <c r="R31" i="4"/>
  <c r="AF31" i="4" s="1"/>
  <c r="R100" i="4"/>
  <c r="AF100" i="4" s="1"/>
  <c r="R64" i="4"/>
  <c r="AF64" i="4" s="1"/>
  <c r="R71" i="4"/>
  <c r="AF71" i="4" s="1"/>
  <c r="R63" i="4"/>
  <c r="AF63" i="4" s="1"/>
  <c r="R114" i="4"/>
  <c r="AF114" i="4" s="1"/>
  <c r="R67" i="4"/>
  <c r="AF67" i="4" s="1"/>
  <c r="R20" i="4"/>
  <c r="AF20" i="4" s="1"/>
  <c r="R91" i="4"/>
  <c r="AF91" i="4" s="1"/>
  <c r="R32" i="4"/>
  <c r="AF32" i="4" s="1"/>
  <c r="R142" i="4"/>
  <c r="AF142" i="4" s="1"/>
  <c r="R106" i="4"/>
  <c r="AF106" i="4" s="1"/>
  <c r="R78" i="4"/>
  <c r="AF78" i="4" s="1"/>
  <c r="R150" i="4"/>
  <c r="AF150" i="4" s="1"/>
  <c r="R73" i="4"/>
  <c r="AF73" i="4" s="1"/>
  <c r="R70" i="4"/>
  <c r="AF70" i="4" s="1"/>
  <c r="R47" i="4"/>
  <c r="AF47" i="4" s="1"/>
  <c r="R62" i="4"/>
  <c r="AF62" i="4" s="1"/>
  <c r="R93" i="4"/>
  <c r="AF93" i="4" s="1"/>
  <c r="R120" i="4"/>
  <c r="AF120" i="4" s="1"/>
  <c r="R85" i="4"/>
  <c r="AF85" i="4" s="1"/>
  <c r="R61" i="4"/>
  <c r="AF61" i="4" s="1"/>
  <c r="R9" i="4"/>
  <c r="AF9" i="4" s="1"/>
  <c r="R92" i="4"/>
  <c r="AF92" i="4" s="1"/>
  <c r="R8" i="4"/>
  <c r="R95" i="4"/>
  <c r="AF95" i="4" s="1"/>
  <c r="R30" i="4"/>
  <c r="AF30" i="4" s="1"/>
  <c r="R105" i="4"/>
  <c r="AF105" i="4" s="1"/>
  <c r="R53" i="4"/>
  <c r="AF53" i="4" s="1"/>
  <c r="B286" i="2"/>
  <c r="B285" i="2"/>
  <c r="B282" i="2"/>
  <c r="B281" i="2"/>
  <c r="B280" i="2"/>
  <c r="B279" i="2"/>
  <c r="B278" i="2"/>
  <c r="BE125" i="4" l="1"/>
  <c r="BF125" i="4" s="1"/>
  <c r="BE62" i="4"/>
  <c r="BF62" i="4" s="1"/>
  <c r="BE67" i="4"/>
  <c r="BF67" i="4" s="1"/>
  <c r="BS135" i="4"/>
  <c r="BE129" i="4"/>
  <c r="BF129" i="4" s="1"/>
  <c r="BE25" i="4"/>
  <c r="BF25" i="4" s="1"/>
  <c r="BP144" i="4"/>
  <c r="BQ144" i="4" s="1"/>
  <c r="BE56" i="4"/>
  <c r="BF56" i="4" s="1"/>
  <c r="BE66" i="4"/>
  <c r="BF66" i="4" s="1"/>
  <c r="BP99" i="4"/>
  <c r="BQ99" i="4" s="1"/>
  <c r="BE100" i="4"/>
  <c r="BF100" i="4" s="1"/>
  <c r="BE101" i="4"/>
  <c r="BF101" i="4" s="1"/>
  <c r="BE144" i="4"/>
  <c r="BF144" i="4" s="1"/>
  <c r="BE36" i="4"/>
  <c r="BF36" i="4" s="1"/>
  <c r="BE15" i="4"/>
  <c r="BF15" i="4" s="1"/>
  <c r="BE99" i="4"/>
  <c r="BF99" i="4" s="1"/>
  <c r="BS123" i="4"/>
  <c r="BE153" i="4"/>
  <c r="BF153" i="4" s="1"/>
  <c r="BE114" i="4"/>
  <c r="BF114" i="4" s="1"/>
  <c r="BE22" i="4"/>
  <c r="BF22" i="4" s="1"/>
  <c r="BE71" i="4"/>
  <c r="BF71" i="4" s="1"/>
  <c r="BE94" i="4"/>
  <c r="BF94" i="4" s="1"/>
  <c r="BS82" i="4"/>
  <c r="BP129" i="4"/>
  <c r="BQ129" i="4" s="1"/>
  <c r="BP148" i="4"/>
  <c r="BQ148" i="4" s="1"/>
  <c r="BE126" i="4"/>
  <c r="BF126" i="4" s="1"/>
  <c r="BE97" i="4"/>
  <c r="BF97" i="4" s="1"/>
  <c r="BE147" i="4"/>
  <c r="BF147" i="4" s="1"/>
  <c r="BE74" i="4"/>
  <c r="BF74" i="4" s="1"/>
  <c r="BP101" i="4"/>
  <c r="BQ101" i="4" s="1"/>
  <c r="BE123" i="4"/>
  <c r="BF123" i="4" s="1"/>
  <c r="BE34" i="4"/>
  <c r="BF34" i="4" s="1"/>
  <c r="BE113" i="4"/>
  <c r="BF113" i="4" s="1"/>
  <c r="BE136" i="4"/>
  <c r="BF136" i="4" s="1"/>
  <c r="BP84" i="4"/>
  <c r="BQ84" i="4" s="1"/>
  <c r="BS143" i="4"/>
  <c r="BS145" i="4"/>
  <c r="BE157" i="4"/>
  <c r="BF157" i="4" s="1"/>
  <c r="BE148" i="4"/>
  <c r="BF148" i="4" s="1"/>
  <c r="BE119" i="4"/>
  <c r="BF119" i="4" s="1"/>
  <c r="BE64" i="4"/>
  <c r="BF64" i="4" s="1"/>
  <c r="BE23" i="4"/>
  <c r="BF23" i="4" s="1"/>
  <c r="BE60" i="4"/>
  <c r="BF60" i="4" s="1"/>
  <c r="BP86" i="4"/>
  <c r="BQ86" i="4" s="1"/>
  <c r="BS95" i="4"/>
  <c r="BS154" i="4"/>
  <c r="BP97" i="4"/>
  <c r="BQ97" i="4" s="1"/>
  <c r="BP92" i="4"/>
  <c r="BQ92" i="4" s="1"/>
  <c r="BS117" i="4"/>
  <c r="BP141" i="4"/>
  <c r="BQ141" i="4" s="1"/>
  <c r="BS152" i="4"/>
  <c r="BP125" i="4"/>
  <c r="BQ125" i="4" s="1"/>
  <c r="BP136" i="4"/>
  <c r="BQ136" i="4" s="1"/>
  <c r="BP90" i="4"/>
  <c r="BQ90" i="4" s="1"/>
  <c r="BE109" i="4"/>
  <c r="BF109" i="4" s="1"/>
  <c r="BE146" i="4"/>
  <c r="BF146" i="4" s="1"/>
  <c r="BE86" i="4"/>
  <c r="BF86" i="4" s="1"/>
  <c r="BP113" i="4"/>
  <c r="BQ113" i="4" s="1"/>
  <c r="BP89" i="4"/>
  <c r="BQ89" i="4" s="1"/>
  <c r="BS103" i="4"/>
  <c r="BS105" i="4"/>
  <c r="BE33" i="4"/>
  <c r="BF33" i="4" s="1"/>
  <c r="BE58" i="4"/>
  <c r="BF58" i="4" s="1"/>
  <c r="BE134" i="4"/>
  <c r="BF134" i="4" s="1"/>
  <c r="BE137" i="4"/>
  <c r="BF137" i="4" s="1"/>
  <c r="BE35" i="4"/>
  <c r="BF35" i="4" s="1"/>
  <c r="BE103" i="4"/>
  <c r="BF103" i="4" s="1"/>
  <c r="BE138" i="4"/>
  <c r="BF138" i="4" s="1"/>
  <c r="BP104" i="4"/>
  <c r="BQ104" i="4" s="1"/>
  <c r="BS87" i="4"/>
  <c r="BP116" i="4"/>
  <c r="BQ116" i="4" s="1"/>
  <c r="BP146" i="4"/>
  <c r="BQ146" i="4" s="1"/>
  <c r="BS156" i="4"/>
  <c r="BP155" i="4"/>
  <c r="BQ155" i="4" s="1"/>
  <c r="BE141" i="4"/>
  <c r="BF141" i="4" s="1"/>
  <c r="BE106" i="4"/>
  <c r="BF106" i="4" s="1"/>
  <c r="BE130" i="4"/>
  <c r="BF130" i="4" s="1"/>
  <c r="BE18" i="4"/>
  <c r="BF18" i="4" s="1"/>
  <c r="BE31" i="4"/>
  <c r="BF31" i="4" s="1"/>
  <c r="BP153" i="4"/>
  <c r="BQ153" i="4" s="1"/>
  <c r="BP88" i="4"/>
  <c r="BQ88" i="4" s="1"/>
  <c r="BE38" i="4"/>
  <c r="BF38" i="4" s="1"/>
  <c r="BE57" i="4"/>
  <c r="BF57" i="4" s="1"/>
  <c r="BE78" i="4"/>
  <c r="BF78" i="4" s="1"/>
  <c r="BE20" i="4"/>
  <c r="BF20" i="4" s="1"/>
  <c r="BE124" i="4"/>
  <c r="BF124" i="4" s="1"/>
  <c r="BP150" i="4"/>
  <c r="BQ150" i="4" s="1"/>
  <c r="BP142" i="4"/>
  <c r="BQ142" i="4" s="1"/>
  <c r="BE143" i="4"/>
  <c r="BF143" i="4" s="1"/>
  <c r="BE53" i="4"/>
  <c r="BF53" i="4" s="1"/>
  <c r="BE63" i="4"/>
  <c r="BF63" i="4" s="1"/>
  <c r="BE51" i="4"/>
  <c r="BF51" i="4" s="1"/>
  <c r="BE133" i="4"/>
  <c r="BF133" i="4" s="1"/>
  <c r="BP107" i="4"/>
  <c r="BQ107" i="4" s="1"/>
  <c r="BE10" i="4"/>
  <c r="BF10" i="4" s="1"/>
  <c r="BP115" i="4"/>
  <c r="BQ115" i="4" s="1"/>
  <c r="BE81" i="4"/>
  <c r="BF81" i="4" s="1"/>
  <c r="BS91" i="4"/>
  <c r="BS126" i="4"/>
  <c r="BP140" i="4"/>
  <c r="BQ140" i="4" s="1"/>
  <c r="BP134" i="4"/>
  <c r="BQ134" i="4" s="1"/>
  <c r="BS93" i="4"/>
  <c r="BS139" i="4"/>
  <c r="BP110" i="4"/>
  <c r="BQ110" i="4" s="1"/>
  <c r="BS149" i="4"/>
  <c r="BS94" i="4"/>
  <c r="BE68" i="4"/>
  <c r="BF68" i="4" s="1"/>
  <c r="BS124" i="4"/>
  <c r="BE77" i="4"/>
  <c r="BF77" i="4" s="1"/>
  <c r="BE75" i="4"/>
  <c r="BF75" i="4" s="1"/>
  <c r="BE82" i="4"/>
  <c r="BF82" i="4" s="1"/>
  <c r="BE44" i="4"/>
  <c r="BF44" i="4" s="1"/>
  <c r="BE84" i="4"/>
  <c r="BF84" i="4" s="1"/>
  <c r="BE40" i="4"/>
  <c r="BF40" i="4" s="1"/>
  <c r="BE76" i="4"/>
  <c r="BF76" i="4" s="1"/>
  <c r="BE93" i="4"/>
  <c r="BF93" i="4" s="1"/>
  <c r="BE69" i="4"/>
  <c r="BF69" i="4" s="1"/>
  <c r="BE72" i="4"/>
  <c r="BF72" i="4" s="1"/>
  <c r="BE90" i="4"/>
  <c r="BF90" i="4" s="1"/>
  <c r="BE131" i="4"/>
  <c r="BF131" i="4" s="1"/>
  <c r="BE91" i="4"/>
  <c r="BF91" i="4" s="1"/>
  <c r="BE112" i="4"/>
  <c r="BF112" i="4" s="1"/>
  <c r="BE32" i="4"/>
  <c r="BF32" i="4" s="1"/>
  <c r="BP133" i="4"/>
  <c r="BQ133" i="4" s="1"/>
  <c r="BS147" i="4"/>
  <c r="BS118" i="4"/>
  <c r="BS127" i="4"/>
  <c r="BP121" i="4"/>
  <c r="BQ121" i="4" s="1"/>
  <c r="BP100" i="4"/>
  <c r="BQ100" i="4" s="1"/>
  <c r="BS120" i="4"/>
  <c r="BP122" i="4"/>
  <c r="BQ122" i="4" s="1"/>
  <c r="BP106" i="4"/>
  <c r="BQ106" i="4" s="1"/>
  <c r="BP80" i="4"/>
  <c r="BQ80" i="4" s="1"/>
  <c r="BE92" i="4"/>
  <c r="BF92" i="4" s="1"/>
  <c r="BE59" i="4"/>
  <c r="BF59" i="4" s="1"/>
  <c r="BE16" i="4"/>
  <c r="BF16" i="4" s="1"/>
  <c r="BE111" i="4"/>
  <c r="BF111" i="4" s="1"/>
  <c r="BE79" i="4"/>
  <c r="BF79" i="4" s="1"/>
  <c r="BE24" i="4"/>
  <c r="BF24" i="4" s="1"/>
  <c r="BE42" i="4"/>
  <c r="BF42" i="4" s="1"/>
  <c r="BE110" i="4"/>
  <c r="BF110" i="4" s="1"/>
  <c r="BE43" i="4"/>
  <c r="BF43" i="4" s="1"/>
  <c r="BE61" i="4"/>
  <c r="BF61" i="4" s="1"/>
  <c r="BE46" i="4"/>
  <c r="BF46" i="4" s="1"/>
  <c r="BE19" i="4"/>
  <c r="BF19" i="4" s="1"/>
  <c r="BE37" i="4"/>
  <c r="BF37" i="4" s="1"/>
  <c r="BE121" i="4"/>
  <c r="BF121" i="4" s="1"/>
  <c r="BE154" i="4"/>
  <c r="BF154" i="4" s="1"/>
  <c r="BE73" i="4"/>
  <c r="BF73" i="4" s="1"/>
  <c r="BE49" i="4"/>
  <c r="BF49" i="4" s="1"/>
  <c r="BE118" i="4"/>
  <c r="BF118" i="4" s="1"/>
  <c r="BE152" i="4"/>
  <c r="BF152" i="4" s="1"/>
  <c r="BE12" i="4"/>
  <c r="BF12" i="4" s="1"/>
  <c r="BE89" i="4"/>
  <c r="BF89" i="4" s="1"/>
  <c r="BE47" i="4"/>
  <c r="BF47" i="4" s="1"/>
  <c r="BE150" i="4"/>
  <c r="BF150" i="4" s="1"/>
  <c r="BE65" i="4"/>
  <c r="BF65" i="4" s="1"/>
  <c r="BE149" i="4"/>
  <c r="BF149" i="4" s="1"/>
  <c r="BE50" i="4"/>
  <c r="BF50" i="4" s="1"/>
  <c r="BE142" i="4"/>
  <c r="BF142" i="4" s="1"/>
  <c r="BE17" i="4"/>
  <c r="BF17" i="4" s="1"/>
  <c r="BE139" i="4"/>
  <c r="BF139" i="4" s="1"/>
  <c r="BE8" i="4"/>
  <c r="BF8" i="4" s="1"/>
  <c r="BH8" i="4"/>
  <c r="AF8" i="4"/>
  <c r="AG17" i="4"/>
  <c r="AG157" i="4"/>
  <c r="AF157" i="4"/>
  <c r="AF26" i="4"/>
  <c r="AG26" i="4"/>
  <c r="AG8" i="4"/>
  <c r="AG47" i="4"/>
  <c r="AG91" i="4"/>
  <c r="AG31" i="4"/>
  <c r="AG129" i="4"/>
  <c r="AG76" i="4"/>
  <c r="AG11" i="4"/>
  <c r="AG143" i="4"/>
  <c r="AG41" i="4"/>
  <c r="AG118" i="4"/>
  <c r="AG124" i="4"/>
  <c r="AG146" i="4"/>
  <c r="AG126" i="4"/>
  <c r="AG102" i="4"/>
  <c r="AG148" i="4"/>
  <c r="AG138" i="4"/>
  <c r="AG15" i="4"/>
  <c r="AG105" i="4"/>
  <c r="AG120" i="4"/>
  <c r="AG20" i="4"/>
  <c r="AG38" i="4"/>
  <c r="AG56" i="4"/>
  <c r="AG69" i="4"/>
  <c r="AG96" i="4"/>
  <c r="AG133" i="4"/>
  <c r="AG65" i="4"/>
  <c r="AG35" i="4"/>
  <c r="AG104" i="4"/>
  <c r="AG34" i="4"/>
  <c r="AG88" i="4"/>
  <c r="AG77" i="4"/>
  <c r="AG55" i="4"/>
  <c r="AG59" i="4"/>
  <c r="AG14" i="4"/>
  <c r="AG154" i="4"/>
  <c r="AG21" i="4"/>
  <c r="AG95" i="4"/>
  <c r="AG61" i="4"/>
  <c r="AG62" i="4"/>
  <c r="AG150" i="4"/>
  <c r="AG32" i="4"/>
  <c r="AG114" i="4"/>
  <c r="AG100" i="4"/>
  <c r="AG136" i="4"/>
  <c r="AG135" i="4"/>
  <c r="AG22" i="4"/>
  <c r="AG81" i="4"/>
  <c r="AG149" i="4"/>
  <c r="AG66" i="4"/>
  <c r="AG131" i="4"/>
  <c r="AG12" i="4"/>
  <c r="AG23" i="4"/>
  <c r="AG153" i="4"/>
  <c r="AG113" i="4"/>
  <c r="AG125" i="4"/>
  <c r="AG107" i="4"/>
  <c r="AG111" i="4"/>
  <c r="AG49" i="4"/>
  <c r="AG48" i="4"/>
  <c r="AG87" i="4"/>
  <c r="AG108" i="4"/>
  <c r="AG117" i="4"/>
  <c r="AG97" i="4"/>
  <c r="AG99" i="4"/>
  <c r="AG57" i="4"/>
  <c r="AG58" i="4"/>
  <c r="AG52" i="4"/>
  <c r="AG13" i="4"/>
  <c r="AG74" i="4"/>
  <c r="AG127" i="4"/>
  <c r="AG94" i="4"/>
  <c r="AG53" i="4"/>
  <c r="AG85" i="4"/>
  <c r="AG78" i="4"/>
  <c r="AG63" i="4"/>
  <c r="AG121" i="4"/>
  <c r="AG115" i="4"/>
  <c r="AG7" i="4"/>
  <c r="AG10" i="4"/>
  <c r="AG139" i="4"/>
  <c r="AG24" i="4"/>
  <c r="AG140" i="4"/>
  <c r="AG122" i="4"/>
  <c r="AG144" i="4"/>
  <c r="AG101" i="4"/>
  <c r="AG19" i="4"/>
  <c r="AG79" i="4"/>
  <c r="AG36" i="4"/>
  <c r="AG44" i="4"/>
  <c r="AG75" i="4"/>
  <c r="AG16" i="4"/>
  <c r="AG92" i="4"/>
  <c r="AG70" i="4"/>
  <c r="AG106" i="4"/>
  <c r="AG71" i="4"/>
  <c r="AG50" i="4"/>
  <c r="AG68" i="4"/>
  <c r="AG80" i="4"/>
  <c r="AG29" i="4"/>
  <c r="AG82" i="4"/>
  <c r="AG98" i="4"/>
  <c r="AG42" i="4"/>
  <c r="AG123" i="4"/>
  <c r="AG45" i="4"/>
  <c r="AG137" i="4"/>
  <c r="AG156" i="4"/>
  <c r="AG60" i="4"/>
  <c r="AG39" i="4"/>
  <c r="AG28" i="4"/>
  <c r="AG86" i="4"/>
  <c r="AG30" i="4"/>
  <c r="AG9" i="4"/>
  <c r="AG93" i="4"/>
  <c r="AG73" i="4"/>
  <c r="AG142" i="4"/>
  <c r="AG67" i="4"/>
  <c r="AG64" i="4"/>
  <c r="AG119" i="4"/>
  <c r="AG110" i="4"/>
  <c r="AG83" i="4"/>
  <c r="AG155" i="4"/>
  <c r="AG27" i="4"/>
  <c r="AG89" i="4"/>
  <c r="AG145" i="4"/>
  <c r="AG51" i="4"/>
  <c r="AG152" i="4"/>
  <c r="AG90" i="4"/>
  <c r="AG46" i="4"/>
  <c r="AG151" i="4"/>
  <c r="AG134" i="4"/>
  <c r="AG84" i="4"/>
  <c r="AG43" i="4"/>
  <c r="AG132" i="4"/>
  <c r="AG128" i="4"/>
  <c r="AG33" i="4"/>
  <c r="AG103" i="4"/>
  <c r="AG141" i="4"/>
  <c r="AG130" i="4"/>
  <c r="AG18" i="4"/>
  <c r="AG116" i="4"/>
  <c r="AG54" i="4"/>
  <c r="AG40" i="4"/>
  <c r="AG37" i="4"/>
  <c r="AG109" i="4"/>
  <c r="AG147" i="4"/>
  <c r="AG112" i="4"/>
  <c r="AG72" i="4"/>
  <c r="B167" i="2"/>
  <c r="B50" i="3"/>
  <c r="B165" i="2" s="1"/>
  <c r="B164" i="2"/>
  <c r="B163" i="2"/>
  <c r="B162" i="2"/>
  <c r="B161" i="2"/>
  <c r="B157" i="2"/>
  <c r="B45" i="3"/>
  <c r="B155" i="2" s="1"/>
  <c r="B158" i="2" l="1"/>
  <c r="B166" i="2"/>
  <c r="H54" i="1" s="1"/>
  <c r="B168" i="2"/>
  <c r="B253" i="2"/>
  <c r="B36" i="3"/>
  <c r="O548" i="5"/>
  <c r="O549" i="5"/>
  <c r="O550" i="5"/>
  <c r="O551" i="5"/>
  <c r="O552" i="5"/>
  <c r="O553" i="5"/>
  <c r="O554" i="5"/>
  <c r="O555" i="5"/>
  <c r="O556" i="5"/>
  <c r="O557" i="5"/>
  <c r="O558" i="5"/>
  <c r="O559" i="5"/>
  <c r="O560" i="5"/>
  <c r="O537" i="5"/>
  <c r="O538" i="5"/>
  <c r="O539" i="5"/>
  <c r="O540" i="5"/>
  <c r="O541" i="5"/>
  <c r="O542" i="5"/>
  <c r="O543" i="5"/>
  <c r="O544" i="5"/>
  <c r="O545" i="5"/>
  <c r="O546" i="5"/>
  <c r="O547" i="5"/>
  <c r="O520" i="5"/>
  <c r="O521" i="5"/>
  <c r="O522" i="5"/>
  <c r="O523" i="5"/>
  <c r="O524" i="5"/>
  <c r="O525" i="5"/>
  <c r="O526" i="5"/>
  <c r="O527" i="5"/>
  <c r="O528" i="5"/>
  <c r="O529" i="5"/>
  <c r="O530" i="5"/>
  <c r="O531" i="5"/>
  <c r="O532" i="5"/>
  <c r="O533" i="5"/>
  <c r="O534" i="5"/>
  <c r="O535" i="5"/>
  <c r="O536" i="5"/>
  <c r="O5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4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3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2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1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9" i="5"/>
  <c r="O8" i="10" l="1"/>
  <c r="O7" i="10"/>
  <c r="O8" i="5"/>
  <c r="O7" i="5"/>
  <c r="B169" i="2"/>
  <c r="H56" i="1"/>
  <c r="B170" i="2"/>
  <c r="B259" i="2"/>
  <c r="AP8" i="10" l="1"/>
  <c r="AM8" i="10"/>
  <c r="AG8" i="10"/>
  <c r="AJ8" i="10"/>
  <c r="AM7" i="10"/>
  <c r="AG7" i="10"/>
  <c r="AP7" i="10"/>
  <c r="AJ7" i="10"/>
  <c r="B36" i="5"/>
  <c r="AL8" i="10" l="1"/>
  <c r="AK8" i="10"/>
  <c r="AR7" i="10"/>
  <c r="AQ7" i="10"/>
  <c r="AI8" i="10"/>
  <c r="AH8" i="10"/>
  <c r="AL7" i="10"/>
  <c r="AK7" i="10"/>
  <c r="AH7" i="10"/>
  <c r="AI7" i="10"/>
  <c r="AN8" i="10"/>
  <c r="AO8" i="10"/>
  <c r="AS8" i="10"/>
  <c r="AO7" i="10"/>
  <c r="AN7" i="10"/>
  <c r="AS7" i="10"/>
  <c r="AR8" i="10"/>
  <c r="AQ8" i="10"/>
  <c r="B238" i="2"/>
  <c r="B63" i="5" s="1"/>
  <c r="B240" i="2"/>
  <c r="B64" i="5" s="1"/>
  <c r="B270" i="2"/>
  <c r="B272" i="2"/>
  <c r="B268" i="2"/>
  <c r="B33" i="5"/>
  <c r="AT8" i="10" l="1"/>
  <c r="AU8" i="10"/>
  <c r="AU7" i="10"/>
  <c r="AT7" i="10"/>
  <c r="B65" i="5"/>
  <c r="B67" i="5"/>
  <c r="B67" i="10"/>
  <c r="B69" i="5"/>
  <c r="AF7" i="5" s="1"/>
  <c r="B66" i="5"/>
  <c r="B71" i="5"/>
  <c r="B72" i="5"/>
  <c r="AJ7" i="5" s="1"/>
  <c r="B70" i="5"/>
  <c r="AM7" i="5" s="1"/>
  <c r="B131" i="2"/>
  <c r="B151" i="2" s="1"/>
  <c r="B130" i="2"/>
  <c r="B150" i="2" s="1"/>
  <c r="B126" i="2"/>
  <c r="B115" i="2"/>
  <c r="B110" i="2"/>
  <c r="B109" i="2"/>
  <c r="I231" i="2" s="1"/>
  <c r="B29" i="3"/>
  <c r="B27" i="3"/>
  <c r="B93" i="2"/>
  <c r="B34" i="10" l="1"/>
  <c r="B34" i="5"/>
  <c r="B31" i="10"/>
  <c r="B48" i="10"/>
  <c r="B156" i="2"/>
  <c r="B32" i="10"/>
  <c r="AP544" i="10"/>
  <c r="AP540" i="10"/>
  <c r="AP543" i="10"/>
  <c r="AP539" i="10"/>
  <c r="AP519" i="10"/>
  <c r="AP515" i="10"/>
  <c r="AP534" i="10"/>
  <c r="AP499" i="10"/>
  <c r="AP495" i="10"/>
  <c r="AP518" i="10"/>
  <c r="AP486" i="10"/>
  <c r="AP505" i="10"/>
  <c r="AP489" i="10"/>
  <c r="AP514" i="10"/>
  <c r="AP479" i="10"/>
  <c r="AP475" i="10"/>
  <c r="AP471" i="10"/>
  <c r="AP467" i="10"/>
  <c r="AP463" i="10"/>
  <c r="AP459" i="10"/>
  <c r="AP455" i="10"/>
  <c r="AP452" i="10"/>
  <c r="AP448" i="10"/>
  <c r="AP444" i="10"/>
  <c r="AP440" i="10"/>
  <c r="AP434" i="10"/>
  <c r="AP498" i="10"/>
  <c r="AP431" i="10"/>
  <c r="AP385" i="10"/>
  <c r="AP367" i="10"/>
  <c r="AP363" i="10"/>
  <c r="AP383" i="10"/>
  <c r="AP375" i="10"/>
  <c r="AP306" i="10"/>
  <c r="AP429" i="10"/>
  <c r="AP425" i="10"/>
  <c r="AP421" i="10"/>
  <c r="AP417" i="10"/>
  <c r="AP413" i="10"/>
  <c r="AP409" i="10"/>
  <c r="AP405" i="10"/>
  <c r="AP401" i="10"/>
  <c r="AP397" i="10"/>
  <c r="AP393" i="10"/>
  <c r="AP389" i="10"/>
  <c r="AP302" i="10"/>
  <c r="AP301" i="10"/>
  <c r="AP379" i="10"/>
  <c r="AP371" i="10"/>
  <c r="AP241" i="10"/>
  <c r="AP237" i="10"/>
  <c r="AP233" i="10"/>
  <c r="AP229" i="10"/>
  <c r="AP225" i="10"/>
  <c r="AP221" i="10"/>
  <c r="AP217" i="10"/>
  <c r="AP213" i="10"/>
  <c r="AP209" i="10"/>
  <c r="AP297" i="10"/>
  <c r="AP293" i="10"/>
  <c r="AP289" i="10"/>
  <c r="AP285" i="10"/>
  <c r="AP281" i="10"/>
  <c r="AP277" i="10"/>
  <c r="AP273" i="10"/>
  <c r="AP269" i="10"/>
  <c r="AP265" i="10"/>
  <c r="AP261" i="10"/>
  <c r="AP257" i="10"/>
  <c r="AP253" i="10"/>
  <c r="AP249" i="10"/>
  <c r="AP245" i="10"/>
  <c r="AP242" i="10"/>
  <c r="AP238" i="10"/>
  <c r="AP234" i="10"/>
  <c r="AP230" i="10"/>
  <c r="AP226" i="10"/>
  <c r="AP222" i="10"/>
  <c r="AP218" i="10"/>
  <c r="AP214" i="10"/>
  <c r="AP210" i="10"/>
  <c r="AP205" i="10"/>
  <c r="AP201" i="10"/>
  <c r="AP197" i="10"/>
  <c r="AP193" i="10"/>
  <c r="AP189" i="10"/>
  <c r="AP185" i="10"/>
  <c r="AP181" i="10"/>
  <c r="AP177" i="10"/>
  <c r="AP173" i="10"/>
  <c r="AP169" i="10"/>
  <c r="AP165" i="10"/>
  <c r="AP240" i="10"/>
  <c r="AP236" i="10"/>
  <c r="AP232" i="10"/>
  <c r="AP228" i="10"/>
  <c r="AP224" i="10"/>
  <c r="AP220" i="10"/>
  <c r="AP216" i="10"/>
  <c r="AP212" i="10"/>
  <c r="AP202" i="10"/>
  <c r="AP266" i="10"/>
  <c r="AP258" i="10"/>
  <c r="AP158" i="10"/>
  <c r="AP146" i="10"/>
  <c r="AP142" i="10"/>
  <c r="AP138" i="10"/>
  <c r="AP130" i="10"/>
  <c r="AP126" i="10"/>
  <c r="AP122" i="10"/>
  <c r="AP118" i="10"/>
  <c r="AP114" i="10"/>
  <c r="AP110" i="10"/>
  <c r="AP106" i="10"/>
  <c r="AP294" i="10"/>
  <c r="AP286" i="10"/>
  <c r="AP278" i="10"/>
  <c r="AP270" i="10"/>
  <c r="AP262" i="10"/>
  <c r="AP254" i="10"/>
  <c r="AP246" i="10"/>
  <c r="O12" i="10"/>
  <c r="AP298" i="10"/>
  <c r="AP150" i="10"/>
  <c r="AP134" i="10"/>
  <c r="AP102" i="10"/>
  <c r="AP206" i="10"/>
  <c r="AP198" i="10"/>
  <c r="AP192" i="10"/>
  <c r="AP188" i="10"/>
  <c r="AP184" i="10"/>
  <c r="AP180" i="10"/>
  <c r="AP176" i="10"/>
  <c r="AP172" i="10"/>
  <c r="AP168" i="10"/>
  <c r="AP164" i="10"/>
  <c r="AP61" i="10"/>
  <c r="AP290" i="10"/>
  <c r="AP282" i="10"/>
  <c r="AP274" i="10"/>
  <c r="AP250" i="10"/>
  <c r="AP162" i="10"/>
  <c r="AP154" i="10"/>
  <c r="AP40" i="10"/>
  <c r="AP34" i="10"/>
  <c r="AP21" i="10"/>
  <c r="AP37" i="10"/>
  <c r="AP32" i="10"/>
  <c r="AP30" i="10"/>
  <c r="AP27" i="10"/>
  <c r="AP20" i="10"/>
  <c r="AP36" i="10"/>
  <c r="AP46" i="10"/>
  <c r="AP42" i="10"/>
  <c r="AP81" i="10"/>
  <c r="AP45" i="10"/>
  <c r="AP52" i="10"/>
  <c r="AP70" i="10"/>
  <c r="AP86" i="10"/>
  <c r="AP101" i="10"/>
  <c r="AP117" i="10"/>
  <c r="AP133" i="10"/>
  <c r="AP149" i="10"/>
  <c r="AP200" i="10"/>
  <c r="AP63" i="10"/>
  <c r="AP71" i="10"/>
  <c r="AP87" i="10"/>
  <c r="AP166" i="10"/>
  <c r="AP174" i="10"/>
  <c r="AP182" i="10"/>
  <c r="AP190" i="10"/>
  <c r="AP97" i="10"/>
  <c r="AP28" i="10"/>
  <c r="AP39" i="10"/>
  <c r="AP68" i="10"/>
  <c r="AP76" i="10"/>
  <c r="AP92" i="10"/>
  <c r="AP111" i="10"/>
  <c r="AP127" i="10"/>
  <c r="AP135" i="10"/>
  <c r="AP151" i="10"/>
  <c r="AP175" i="10"/>
  <c r="AP191" i="10"/>
  <c r="AP207" i="10"/>
  <c r="AP104" i="10"/>
  <c r="AP112" i="10"/>
  <c r="AP120" i="10"/>
  <c r="AP128" i="10"/>
  <c r="AP136" i="10"/>
  <c r="AP144" i="10"/>
  <c r="AP152" i="10"/>
  <c r="AP160" i="10"/>
  <c r="AP219" i="10"/>
  <c r="AP235" i="10"/>
  <c r="AP323" i="10"/>
  <c r="AP339" i="10"/>
  <c r="AP355" i="10"/>
  <c r="AP251" i="10"/>
  <c r="AP259" i="10"/>
  <c r="AP267" i="10"/>
  <c r="AP275" i="10"/>
  <c r="AP283" i="10"/>
  <c r="AP291" i="10"/>
  <c r="AP299" i="10"/>
  <c r="AP312" i="10"/>
  <c r="AP328" i="10"/>
  <c r="AP344" i="10"/>
  <c r="AP364" i="10"/>
  <c r="AP307" i="10"/>
  <c r="AP313" i="10"/>
  <c r="AP321" i="10"/>
  <c r="AP329" i="10"/>
  <c r="AP337" i="10"/>
  <c r="AP345" i="10"/>
  <c r="AP353" i="10"/>
  <c r="AP365" i="10"/>
  <c r="AP369" i="10"/>
  <c r="AP439" i="10"/>
  <c r="AP380" i="10"/>
  <c r="AP438" i="10"/>
  <c r="AP435" i="10"/>
  <c r="AP382" i="10"/>
  <c r="AP398" i="10"/>
  <c r="AP414" i="10"/>
  <c r="AP430" i="10"/>
  <c r="AP445" i="10"/>
  <c r="AP469" i="10"/>
  <c r="AP399" i="10"/>
  <c r="AP415" i="10"/>
  <c r="AP388" i="10"/>
  <c r="AP396" i="10"/>
  <c r="AP404" i="10"/>
  <c r="AP412" i="10"/>
  <c r="AP420" i="10"/>
  <c r="AP464" i="10"/>
  <c r="AP478" i="10"/>
  <c r="AP458" i="10"/>
  <c r="AP466" i="10"/>
  <c r="AP490" i="10"/>
  <c r="AP494" i="10"/>
  <c r="AP501" i="10"/>
  <c r="AP473" i="10"/>
  <c r="AP477" i="10"/>
  <c r="AP481" i="10"/>
  <c r="AP485" i="10"/>
  <c r="AP522" i="10"/>
  <c r="AP491" i="10"/>
  <c r="AP509" i="10"/>
  <c r="AP510" i="10"/>
  <c r="AP526" i="10"/>
  <c r="AP541" i="10"/>
  <c r="AP537" i="10"/>
  <c r="AP528" i="10"/>
  <c r="AP545" i="10"/>
  <c r="AP551" i="10"/>
  <c r="AP550" i="10"/>
  <c r="AP536" i="10"/>
  <c r="AP556" i="10"/>
  <c r="AP555" i="10"/>
  <c r="AP557" i="10"/>
  <c r="AP559" i="10"/>
  <c r="AP215" i="10"/>
  <c r="AP319" i="10"/>
  <c r="AP373" i="10"/>
  <c r="AP300" i="10"/>
  <c r="AP322" i="10"/>
  <c r="AP354" i="10"/>
  <c r="AP376" i="10"/>
  <c r="AP410" i="10"/>
  <c r="AP411" i="10"/>
  <c r="AP427" i="10"/>
  <c r="AP496" i="10"/>
  <c r="AP492" i="10"/>
  <c r="AP503" i="10"/>
  <c r="AP516" i="10"/>
  <c r="AP529" i="10"/>
  <c r="AP513" i="10"/>
  <c r="AP511" i="10"/>
  <c r="AP554" i="10"/>
  <c r="AP24" i="10"/>
  <c r="AP44" i="10"/>
  <c r="AP69" i="10"/>
  <c r="AP93" i="10"/>
  <c r="AP74" i="10"/>
  <c r="AP90" i="10"/>
  <c r="AP105" i="10"/>
  <c r="AP121" i="10"/>
  <c r="AP137" i="10"/>
  <c r="AP153" i="10"/>
  <c r="AP66" i="10"/>
  <c r="AP85" i="10"/>
  <c r="AP43" i="10"/>
  <c r="AP58" i="10"/>
  <c r="AP67" i="10"/>
  <c r="AP83" i="10"/>
  <c r="AP99" i="10"/>
  <c r="AP196" i="10"/>
  <c r="AP49" i="10"/>
  <c r="AP23" i="10"/>
  <c r="AP33" i="10"/>
  <c r="AP80" i="10"/>
  <c r="AP96" i="10"/>
  <c r="AP115" i="10"/>
  <c r="AP208" i="10"/>
  <c r="AP147" i="10"/>
  <c r="AP163" i="10"/>
  <c r="AP179" i="10"/>
  <c r="AP195" i="10"/>
  <c r="AP252" i="10"/>
  <c r="AP260" i="10"/>
  <c r="AP268" i="10"/>
  <c r="AP276" i="10"/>
  <c r="AP284" i="10"/>
  <c r="AP292" i="10"/>
  <c r="AP244" i="10"/>
  <c r="AP223" i="10"/>
  <c r="AP239" i="10"/>
  <c r="AP305" i="10"/>
  <c r="AP311" i="10"/>
  <c r="AP327" i="10"/>
  <c r="AP343" i="10"/>
  <c r="AP359" i="10"/>
  <c r="AP304" i="10"/>
  <c r="AP377" i="10"/>
  <c r="AP316" i="10"/>
  <c r="AP332" i="10"/>
  <c r="AP348" i="10"/>
  <c r="AP361" i="10"/>
  <c r="AP443" i="10"/>
  <c r="AP310" i="10"/>
  <c r="AP318" i="10"/>
  <c r="AP326" i="10"/>
  <c r="AP334" i="10"/>
  <c r="AP342" i="10"/>
  <c r="AP350" i="10"/>
  <c r="AP358" i="10"/>
  <c r="AP370" i="10"/>
  <c r="AP386" i="10"/>
  <c r="AP402" i="10"/>
  <c r="AP418" i="10"/>
  <c r="AP433" i="10"/>
  <c r="AP449" i="10"/>
  <c r="AP461" i="10"/>
  <c r="AP403" i="10"/>
  <c r="AP419" i="10"/>
  <c r="AP457" i="10"/>
  <c r="AP468" i="10"/>
  <c r="AP482" i="10"/>
  <c r="AP442" i="10"/>
  <c r="AP502" i="10"/>
  <c r="AP508" i="10"/>
  <c r="AP483" i="10"/>
  <c r="AP512" i="10"/>
  <c r="AP476" i="10"/>
  <c r="AP484" i="10"/>
  <c r="AP520" i="10"/>
  <c r="AP500" i="10"/>
  <c r="AP527" i="10"/>
  <c r="AP532" i="10"/>
  <c r="AP549" i="10"/>
  <c r="AP533" i="10"/>
  <c r="AP535" i="10"/>
  <c r="AP553" i="10"/>
  <c r="AP548" i="10"/>
  <c r="AP231" i="10"/>
  <c r="AP351" i="10"/>
  <c r="AP324" i="10"/>
  <c r="AP436" i="10"/>
  <c r="AP451" i="10"/>
  <c r="AP338" i="10"/>
  <c r="AP366" i="10"/>
  <c r="AP378" i="10"/>
  <c r="AP426" i="10"/>
  <c r="AP395" i="10"/>
  <c r="AP424" i="10"/>
  <c r="AP474" i="10"/>
  <c r="AP450" i="10"/>
  <c r="AP480" i="10"/>
  <c r="AP488" i="10"/>
  <c r="AP531" i="10"/>
  <c r="AP547" i="10"/>
  <c r="AP26" i="10"/>
  <c r="AP62" i="10"/>
  <c r="AP53" i="10"/>
  <c r="AP55" i="10"/>
  <c r="AP47" i="10"/>
  <c r="AP73" i="10"/>
  <c r="AP38" i="10"/>
  <c r="AP50" i="10"/>
  <c r="AP54" i="10"/>
  <c r="AP57" i="10"/>
  <c r="AP78" i="10"/>
  <c r="AP94" i="10"/>
  <c r="AP109" i="10"/>
  <c r="AP125" i="10"/>
  <c r="AP141" i="10"/>
  <c r="AP157" i="10"/>
  <c r="AP89" i="10"/>
  <c r="AP22" i="10"/>
  <c r="AP60" i="10"/>
  <c r="AP64" i="10"/>
  <c r="AP79" i="10"/>
  <c r="AP95" i="10"/>
  <c r="AP170" i="10"/>
  <c r="AP178" i="10"/>
  <c r="AP186" i="10"/>
  <c r="AP194" i="10"/>
  <c r="AP204" i="10"/>
  <c r="AP25" i="10"/>
  <c r="AP35" i="10"/>
  <c r="AP41" i="10"/>
  <c r="AP84" i="10"/>
  <c r="AP103" i="10"/>
  <c r="AP119" i="10"/>
  <c r="AP143" i="10"/>
  <c r="AP159" i="10"/>
  <c r="AP167" i="10"/>
  <c r="AP183" i="10"/>
  <c r="AP199" i="10"/>
  <c r="AP100" i="10"/>
  <c r="AP108" i="10"/>
  <c r="AP116" i="10"/>
  <c r="AP124" i="10"/>
  <c r="AP132" i="10"/>
  <c r="AP140" i="10"/>
  <c r="AP148" i="10"/>
  <c r="AP156" i="10"/>
  <c r="AP211" i="10"/>
  <c r="AP227" i="10"/>
  <c r="AP243" i="10"/>
  <c r="AP315" i="10"/>
  <c r="AP331" i="10"/>
  <c r="AP347" i="10"/>
  <c r="AP381" i="10"/>
  <c r="AP247" i="10"/>
  <c r="AP255" i="10"/>
  <c r="AP263" i="10"/>
  <c r="AP271" i="10"/>
  <c r="AP279" i="10"/>
  <c r="AP287" i="10"/>
  <c r="AP295" i="10"/>
  <c r="AP303" i="10"/>
  <c r="AP320" i="10"/>
  <c r="AP336" i="10"/>
  <c r="AP352" i="10"/>
  <c r="AP360" i="10"/>
  <c r="AP368" i="10"/>
  <c r="AP432" i="10"/>
  <c r="AP309" i="10"/>
  <c r="AP317" i="10"/>
  <c r="AP325" i="10"/>
  <c r="AP333" i="10"/>
  <c r="AP341" i="10"/>
  <c r="AP349" i="10"/>
  <c r="AP357" i="10"/>
  <c r="AP447" i="10"/>
  <c r="AP362" i="10"/>
  <c r="AP372" i="10"/>
  <c r="AP428" i="10"/>
  <c r="AP374" i="10"/>
  <c r="AP390" i="10"/>
  <c r="AP406" i="10"/>
  <c r="AP422" i="10"/>
  <c r="AP437" i="10"/>
  <c r="AP453" i="10"/>
  <c r="AP391" i="10"/>
  <c r="AP407" i="10"/>
  <c r="AP423" i="10"/>
  <c r="AP384" i="10"/>
  <c r="AP392" i="10"/>
  <c r="AP400" i="10"/>
  <c r="AP408" i="10"/>
  <c r="AP416" i="10"/>
  <c r="AP456" i="10"/>
  <c r="AP446" i="10"/>
  <c r="AP454" i="10"/>
  <c r="AP462" i="10"/>
  <c r="AP470" i="10"/>
  <c r="AP493" i="10"/>
  <c r="AP497" i="10"/>
  <c r="AP506" i="10"/>
  <c r="AP525" i="10"/>
  <c r="AP504" i="10"/>
  <c r="AP517" i="10"/>
  <c r="AP523" i="10"/>
  <c r="AP524" i="10"/>
  <c r="AP538" i="10"/>
  <c r="AP552" i="10"/>
  <c r="AP542" i="10"/>
  <c r="AP558" i="10"/>
  <c r="AP29" i="10"/>
  <c r="AP51" i="10"/>
  <c r="AP59" i="10"/>
  <c r="AP56" i="10"/>
  <c r="AP77" i="10"/>
  <c r="AP82" i="10"/>
  <c r="AP98" i="10"/>
  <c r="AP113" i="10"/>
  <c r="AP129" i="10"/>
  <c r="AP145" i="10"/>
  <c r="AP161" i="10"/>
  <c r="AP48" i="10"/>
  <c r="AP65" i="10"/>
  <c r="AP75" i="10"/>
  <c r="AP91" i="10"/>
  <c r="AP31" i="10"/>
  <c r="AP72" i="10"/>
  <c r="AP88" i="10"/>
  <c r="AP107" i="10"/>
  <c r="AP123" i="10"/>
  <c r="AP131" i="10"/>
  <c r="AP139" i="10"/>
  <c r="AP155" i="10"/>
  <c r="AP171" i="10"/>
  <c r="AP187" i="10"/>
  <c r="AP203" i="10"/>
  <c r="AP248" i="10"/>
  <c r="AP256" i="10"/>
  <c r="AP264" i="10"/>
  <c r="AP272" i="10"/>
  <c r="AP280" i="10"/>
  <c r="AP288" i="10"/>
  <c r="AP296" i="10"/>
  <c r="AP335" i="10"/>
  <c r="AP387" i="10"/>
  <c r="AP308" i="10"/>
  <c r="AP340" i="10"/>
  <c r="AP356" i="10"/>
  <c r="AP314" i="10"/>
  <c r="AP330" i="10"/>
  <c r="AP346" i="10"/>
  <c r="AP465" i="10"/>
  <c r="AP394" i="10"/>
  <c r="AP441" i="10"/>
  <c r="AP460" i="10"/>
  <c r="AP472" i="10"/>
  <c r="AP487" i="10"/>
  <c r="AP521" i="10"/>
  <c r="AP507" i="10"/>
  <c r="AP530" i="10"/>
  <c r="AP546" i="10"/>
  <c r="AP560" i="10"/>
  <c r="B19" i="5"/>
  <c r="B19" i="10"/>
  <c r="O13" i="10"/>
  <c r="AF559" i="10"/>
  <c r="AF555" i="10"/>
  <c r="AS555" i="10" s="1"/>
  <c r="AF551" i="10"/>
  <c r="AF558" i="10"/>
  <c r="AF554" i="10"/>
  <c r="AF560" i="10"/>
  <c r="AF556" i="10"/>
  <c r="AF548" i="10"/>
  <c r="AF544" i="10"/>
  <c r="AF540" i="10"/>
  <c r="AF553" i="10"/>
  <c r="AF547" i="10"/>
  <c r="AS547" i="10" s="1"/>
  <c r="AF557" i="10"/>
  <c r="AF552" i="10"/>
  <c r="AF546" i="10"/>
  <c r="AF543" i="10"/>
  <c r="AF539" i="10"/>
  <c r="AF536" i="10"/>
  <c r="AF532" i="10"/>
  <c r="AF542" i="10"/>
  <c r="AF535" i="10"/>
  <c r="AF550" i="10"/>
  <c r="AF549" i="10"/>
  <c r="AS549" i="10" s="1"/>
  <c r="AF545" i="10"/>
  <c r="AF541" i="10"/>
  <c r="AF538" i="10"/>
  <c r="AF534" i="10"/>
  <c r="AF528" i="10"/>
  <c r="AS528" i="10" s="1"/>
  <c r="AF524" i="10"/>
  <c r="AS524" i="10" s="1"/>
  <c r="AF520" i="10"/>
  <c r="AF516" i="10"/>
  <c r="AF537" i="10"/>
  <c r="AF527" i="10"/>
  <c r="AS527" i="10" s="1"/>
  <c r="AF531" i="10"/>
  <c r="AF530" i="10"/>
  <c r="AF526" i="10"/>
  <c r="AF522" i="10"/>
  <c r="AS522" i="10" s="1"/>
  <c r="AF533" i="10"/>
  <c r="AF518" i="10"/>
  <c r="AF511" i="10"/>
  <c r="AF507" i="10"/>
  <c r="AF503" i="10"/>
  <c r="AF499" i="10"/>
  <c r="AF495" i="10"/>
  <c r="AF523" i="10"/>
  <c r="AF521" i="10"/>
  <c r="AF517" i="10"/>
  <c r="AS517" i="10" s="1"/>
  <c r="AF514" i="10"/>
  <c r="AF510" i="10"/>
  <c r="AF506" i="10"/>
  <c r="AF529" i="10"/>
  <c r="AS529" i="10" s="1"/>
  <c r="AF525" i="10"/>
  <c r="AF513" i="10"/>
  <c r="AF509" i="10"/>
  <c r="AF500" i="10"/>
  <c r="AF496" i="10"/>
  <c r="AF519" i="10"/>
  <c r="AF515" i="10"/>
  <c r="AF512" i="10"/>
  <c r="AF508" i="10"/>
  <c r="AF505" i="10"/>
  <c r="AF502" i="10"/>
  <c r="AF498" i="10"/>
  <c r="AF494" i="10"/>
  <c r="AF491" i="10"/>
  <c r="AF487" i="10"/>
  <c r="AF493" i="10"/>
  <c r="AF492" i="10"/>
  <c r="AF488" i="10"/>
  <c r="AF485" i="10"/>
  <c r="AF481" i="10"/>
  <c r="AS481" i="10" s="1"/>
  <c r="AF477" i="10"/>
  <c r="AF473" i="10"/>
  <c r="AS473" i="10" s="1"/>
  <c r="AF469" i="10"/>
  <c r="AS469" i="10" s="1"/>
  <c r="AF465" i="10"/>
  <c r="AS465" i="10" s="1"/>
  <c r="AF461" i="10"/>
  <c r="AF457" i="10"/>
  <c r="AF484" i="10"/>
  <c r="AS484" i="10" s="1"/>
  <c r="AF480" i="10"/>
  <c r="AF476" i="10"/>
  <c r="AF472" i="10"/>
  <c r="AF501" i="10"/>
  <c r="AF497" i="10"/>
  <c r="AF490" i="10"/>
  <c r="AF486" i="10"/>
  <c r="AF483" i="10"/>
  <c r="AF479" i="10"/>
  <c r="AF475" i="10"/>
  <c r="AF471" i="10"/>
  <c r="AF504" i="10"/>
  <c r="AS504" i="10" s="1"/>
  <c r="AF467" i="10"/>
  <c r="AF463" i="10"/>
  <c r="AF459" i="10"/>
  <c r="AF455" i="10"/>
  <c r="AF450" i="10"/>
  <c r="AF446" i="10"/>
  <c r="AF442" i="10"/>
  <c r="AF489" i="10"/>
  <c r="AF470" i="10"/>
  <c r="AF466" i="10"/>
  <c r="AF462" i="10"/>
  <c r="AF458" i="10"/>
  <c r="AF454" i="10"/>
  <c r="AS454" i="10" s="1"/>
  <c r="AF453" i="10"/>
  <c r="AS453" i="10" s="1"/>
  <c r="AF449" i="10"/>
  <c r="AS449" i="10" s="1"/>
  <c r="AF445" i="10"/>
  <c r="AF441" i="10"/>
  <c r="AF482" i="10"/>
  <c r="AF478" i="10"/>
  <c r="AF474" i="10"/>
  <c r="AF452" i="10"/>
  <c r="AF448" i="10"/>
  <c r="AF444" i="10"/>
  <c r="AF440" i="10"/>
  <c r="AF436" i="10"/>
  <c r="AF432" i="10"/>
  <c r="AF438" i="10"/>
  <c r="AF435" i="10"/>
  <c r="AF431" i="10"/>
  <c r="AS431" i="10" s="1"/>
  <c r="AF429" i="10"/>
  <c r="AF425" i="10"/>
  <c r="AF421" i="10"/>
  <c r="AF417" i="10"/>
  <c r="AF413" i="10"/>
  <c r="AF409" i="10"/>
  <c r="AF405" i="10"/>
  <c r="AF401" i="10"/>
  <c r="AF397" i="10"/>
  <c r="AF393" i="10"/>
  <c r="AF389" i="10"/>
  <c r="AF385" i="10"/>
  <c r="AF381" i="10"/>
  <c r="AF377" i="10"/>
  <c r="AF373" i="10"/>
  <c r="AF369" i="10"/>
  <c r="AF365" i="10"/>
  <c r="AF361" i="10"/>
  <c r="AF468" i="10"/>
  <c r="AS468" i="10" s="1"/>
  <c r="AF464" i="10"/>
  <c r="AF460" i="10"/>
  <c r="AF456" i="10"/>
  <c r="AF451" i="10"/>
  <c r="AF447" i="10"/>
  <c r="AS447" i="10" s="1"/>
  <c r="AF443" i="10"/>
  <c r="AS443" i="10" s="1"/>
  <c r="AF439" i="10"/>
  <c r="AS439" i="10" s="1"/>
  <c r="AF437" i="10"/>
  <c r="AF433" i="10"/>
  <c r="AF427" i="10"/>
  <c r="AF423" i="10"/>
  <c r="AF419" i="10"/>
  <c r="AF415" i="10"/>
  <c r="AF411" i="10"/>
  <c r="AF407" i="10"/>
  <c r="AF403" i="10"/>
  <c r="AF399" i="10"/>
  <c r="AS399" i="10" s="1"/>
  <c r="AF395" i="10"/>
  <c r="AF391" i="10"/>
  <c r="AF387" i="10"/>
  <c r="AF430" i="10"/>
  <c r="AF426" i="10"/>
  <c r="AS426" i="10" s="1"/>
  <c r="AF422" i="10"/>
  <c r="AF418" i="10"/>
  <c r="AF414" i="10"/>
  <c r="AF410" i="10"/>
  <c r="AS410" i="10" s="1"/>
  <c r="AF406" i="10"/>
  <c r="AS406" i="10" s="1"/>
  <c r="AF402" i="10"/>
  <c r="AS402" i="10" s="1"/>
  <c r="AF398" i="10"/>
  <c r="AF394" i="10"/>
  <c r="AS394" i="10" s="1"/>
  <c r="AF390" i="10"/>
  <c r="AF434" i="10"/>
  <c r="AF428" i="10"/>
  <c r="AF424" i="10"/>
  <c r="AF420" i="10"/>
  <c r="AF416" i="10"/>
  <c r="AF412" i="10"/>
  <c r="AF408" i="10"/>
  <c r="AF404" i="10"/>
  <c r="AF400" i="10"/>
  <c r="AF396" i="10"/>
  <c r="AF392" i="10"/>
  <c r="AF388" i="10"/>
  <c r="AS388" i="10" s="1"/>
  <c r="AF386" i="10"/>
  <c r="AF366" i="10"/>
  <c r="AF362" i="10"/>
  <c r="AS362" i="10" s="1"/>
  <c r="AF358" i="10"/>
  <c r="AF354" i="10"/>
  <c r="AS354" i="10" s="1"/>
  <c r="AF350" i="10"/>
  <c r="AF346" i="10"/>
  <c r="AF342" i="10"/>
  <c r="AS342" i="10" s="1"/>
  <c r="AF338" i="10"/>
  <c r="AF334" i="10"/>
  <c r="AF330" i="10"/>
  <c r="AF326" i="10"/>
  <c r="AF322" i="10"/>
  <c r="AF318" i="10"/>
  <c r="AF314" i="10"/>
  <c r="AF310" i="10"/>
  <c r="AF306" i="10"/>
  <c r="AF302" i="10"/>
  <c r="AF298" i="10"/>
  <c r="AF294" i="10"/>
  <c r="AF290" i="10"/>
  <c r="AF286" i="10"/>
  <c r="AS286" i="10" s="1"/>
  <c r="AF282" i="10"/>
  <c r="AF278" i="10"/>
  <c r="AF274" i="10"/>
  <c r="AF270" i="10"/>
  <c r="AF266" i="10"/>
  <c r="AF262" i="10"/>
  <c r="AF258" i="10"/>
  <c r="AF254" i="10"/>
  <c r="AF250" i="10"/>
  <c r="AS250" i="10" s="1"/>
  <c r="AF246" i="10"/>
  <c r="AF382" i="10"/>
  <c r="AF378" i="10"/>
  <c r="AS378" i="10" s="1"/>
  <c r="AF374" i="10"/>
  <c r="AF370" i="10"/>
  <c r="AF357" i="10"/>
  <c r="AF353" i="10"/>
  <c r="AF349" i="10"/>
  <c r="AF345" i="10"/>
  <c r="AS345" i="10" s="1"/>
  <c r="AF341" i="10"/>
  <c r="AF337" i="10"/>
  <c r="AF333" i="10"/>
  <c r="AF329" i="10"/>
  <c r="AF325" i="10"/>
  <c r="AS325" i="10" s="1"/>
  <c r="AF321" i="10"/>
  <c r="AF317" i="10"/>
  <c r="AF313" i="10"/>
  <c r="AF309" i="10"/>
  <c r="AF384" i="10"/>
  <c r="AF356" i="10"/>
  <c r="AF352" i="10"/>
  <c r="AF348" i="10"/>
  <c r="AF344" i="10"/>
  <c r="AF340" i="10"/>
  <c r="AF336" i="10"/>
  <c r="AF332" i="10"/>
  <c r="AF328" i="10"/>
  <c r="AF324" i="10"/>
  <c r="AF320" i="10"/>
  <c r="AF316" i="10"/>
  <c r="AF312" i="10"/>
  <c r="AF308" i="10"/>
  <c r="AF383" i="10"/>
  <c r="AF379" i="10"/>
  <c r="AF375" i="10"/>
  <c r="AF371" i="10"/>
  <c r="AS371" i="10" s="1"/>
  <c r="AF359" i="10"/>
  <c r="AS359" i="10" s="1"/>
  <c r="AF355" i="10"/>
  <c r="AF351" i="10"/>
  <c r="AF347" i="10"/>
  <c r="AF343" i="10"/>
  <c r="AF339" i="10"/>
  <c r="AF335" i="10"/>
  <c r="AS335" i="10" s="1"/>
  <c r="AF331" i="10"/>
  <c r="AF327" i="10"/>
  <c r="AF323" i="10"/>
  <c r="AS323" i="10" s="1"/>
  <c r="AF319" i="10"/>
  <c r="AF315" i="10"/>
  <c r="AF311" i="10"/>
  <c r="AF307" i="10"/>
  <c r="AF305" i="10"/>
  <c r="AF301" i="10"/>
  <c r="AF297" i="10"/>
  <c r="AF293" i="10"/>
  <c r="AF289" i="10"/>
  <c r="AF285" i="10"/>
  <c r="AF281" i="10"/>
  <c r="AF277" i="10"/>
  <c r="AF273" i="10"/>
  <c r="AF269" i="10"/>
  <c r="AF265" i="10"/>
  <c r="AF261" i="10"/>
  <c r="AF257" i="10"/>
  <c r="AF253" i="10"/>
  <c r="AF249" i="10"/>
  <c r="AF245" i="10"/>
  <c r="AF242" i="10"/>
  <c r="AF238" i="10"/>
  <c r="AF234" i="10"/>
  <c r="AF230" i="10"/>
  <c r="AF226" i="10"/>
  <c r="AF222" i="10"/>
  <c r="AF218" i="10"/>
  <c r="AF214" i="10"/>
  <c r="AF210" i="10"/>
  <c r="AF206" i="10"/>
  <c r="AF202" i="10"/>
  <c r="AF198" i="10"/>
  <c r="AF194" i="10"/>
  <c r="AF190" i="10"/>
  <c r="AF186" i="10"/>
  <c r="AS186" i="10" s="1"/>
  <c r="AF182" i="10"/>
  <c r="AF178" i="10"/>
  <c r="AF174" i="10"/>
  <c r="AS174" i="10" s="1"/>
  <c r="AF170" i="10"/>
  <c r="AF166" i="10"/>
  <c r="AF304" i="10"/>
  <c r="AF244" i="10"/>
  <c r="AF240" i="10"/>
  <c r="AF236" i="10"/>
  <c r="AF232" i="10"/>
  <c r="AF228" i="10"/>
  <c r="AF224" i="10"/>
  <c r="AF220" i="10"/>
  <c r="AF216" i="10"/>
  <c r="AF212" i="10"/>
  <c r="AF208" i="10"/>
  <c r="AF204" i="10"/>
  <c r="AF200" i="10"/>
  <c r="AS200" i="10" s="1"/>
  <c r="AF196" i="10"/>
  <c r="AS196" i="10" s="1"/>
  <c r="AF380" i="10"/>
  <c r="AF372" i="10"/>
  <c r="AF368" i="10"/>
  <c r="AF367" i="10"/>
  <c r="AF364" i="10"/>
  <c r="AF363" i="10"/>
  <c r="AS363" i="10" s="1"/>
  <c r="AF360" i="10"/>
  <c r="AF303" i="10"/>
  <c r="AF299" i="10"/>
  <c r="AF295" i="10"/>
  <c r="AF291" i="10"/>
  <c r="AF287" i="10"/>
  <c r="AF283" i="10"/>
  <c r="AF279" i="10"/>
  <c r="AS279" i="10" s="1"/>
  <c r="AF275" i="10"/>
  <c r="AF271" i="10"/>
  <c r="AF267" i="10"/>
  <c r="AF263" i="10"/>
  <c r="AF259" i="10"/>
  <c r="AF255" i="10"/>
  <c r="AF251" i="10"/>
  <c r="AS251" i="10" s="1"/>
  <c r="AF247" i="10"/>
  <c r="AS247" i="10" s="1"/>
  <c r="AF241" i="10"/>
  <c r="AF237" i="10"/>
  <c r="AF233" i="10"/>
  <c r="AF229" i="10"/>
  <c r="AF225" i="10"/>
  <c r="AF221" i="10"/>
  <c r="AF217" i="10"/>
  <c r="AF213" i="10"/>
  <c r="AF209" i="10"/>
  <c r="AF207" i="10"/>
  <c r="AF203" i="10"/>
  <c r="AF199" i="10"/>
  <c r="AS199" i="10" s="1"/>
  <c r="AF195" i="10"/>
  <c r="AS195" i="10" s="1"/>
  <c r="AF192" i="10"/>
  <c r="AF188" i="10"/>
  <c r="AF184" i="10"/>
  <c r="AS184" i="10" s="1"/>
  <c r="AF180" i="10"/>
  <c r="AS180" i="10" s="1"/>
  <c r="AF176" i="10"/>
  <c r="AS176" i="10" s="1"/>
  <c r="AF172" i="10"/>
  <c r="AS172" i="10" s="1"/>
  <c r="AF168" i="10"/>
  <c r="AF164" i="10"/>
  <c r="AF160" i="10"/>
  <c r="AF156" i="10"/>
  <c r="AF152" i="10"/>
  <c r="AS152" i="10" s="1"/>
  <c r="AF148" i="10"/>
  <c r="AF144" i="10"/>
  <c r="AF140" i="10"/>
  <c r="AF136" i="10"/>
  <c r="AF132" i="10"/>
  <c r="AF128" i="10"/>
  <c r="AF124" i="10"/>
  <c r="AF120" i="10"/>
  <c r="AS120" i="10" s="1"/>
  <c r="AF116" i="10"/>
  <c r="AF112" i="10"/>
  <c r="AF108" i="10"/>
  <c r="AF104" i="10"/>
  <c r="AF100" i="10"/>
  <c r="AS100" i="10" s="1"/>
  <c r="AF96" i="10"/>
  <c r="AF92" i="10"/>
  <c r="AF88" i="10"/>
  <c r="AF84" i="10"/>
  <c r="AS84" i="10" s="1"/>
  <c r="AF80" i="10"/>
  <c r="AS80" i="10" s="1"/>
  <c r="AF76" i="10"/>
  <c r="AF72" i="10"/>
  <c r="AS72" i="10" s="1"/>
  <c r="AF70" i="10"/>
  <c r="AF68" i="10"/>
  <c r="AF296" i="10"/>
  <c r="AF292" i="10"/>
  <c r="AF288" i="10"/>
  <c r="AF284" i="10"/>
  <c r="AS284" i="10" s="1"/>
  <c r="AF280" i="10"/>
  <c r="AF276" i="10"/>
  <c r="AF272" i="10"/>
  <c r="AF268" i="10"/>
  <c r="AF264" i="10"/>
  <c r="AF260" i="10"/>
  <c r="AF256" i="10"/>
  <c r="AF252" i="10"/>
  <c r="AS252" i="10" s="1"/>
  <c r="AF248" i="10"/>
  <c r="AF191" i="10"/>
  <c r="AF187" i="10"/>
  <c r="AF183" i="10"/>
  <c r="AF179" i="10"/>
  <c r="AF175" i="10"/>
  <c r="AF171" i="10"/>
  <c r="AF167" i="10"/>
  <c r="AS167" i="10" s="1"/>
  <c r="AF163" i="10"/>
  <c r="AS163" i="10" s="1"/>
  <c r="AF159" i="10"/>
  <c r="AF155" i="10"/>
  <c r="AF151" i="10"/>
  <c r="AS151" i="10" s="1"/>
  <c r="AF147" i="10"/>
  <c r="AF143" i="10"/>
  <c r="AS143" i="10" s="1"/>
  <c r="AF139" i="10"/>
  <c r="AS139" i="10" s="1"/>
  <c r="AF135" i="10"/>
  <c r="AF131" i="10"/>
  <c r="AF127" i="10"/>
  <c r="AS127" i="10" s="1"/>
  <c r="AF123" i="10"/>
  <c r="AF119" i="10"/>
  <c r="AF115" i="10"/>
  <c r="AF111" i="10"/>
  <c r="AF107" i="10"/>
  <c r="AF103" i="10"/>
  <c r="AS103" i="10" s="1"/>
  <c r="AF243" i="10"/>
  <c r="AS243" i="10" s="1"/>
  <c r="AF239" i="10"/>
  <c r="AF235" i="10"/>
  <c r="AF231" i="10"/>
  <c r="AS231" i="10" s="1"/>
  <c r="AF227" i="10"/>
  <c r="AF223" i="10"/>
  <c r="AF219" i="10"/>
  <c r="AF215" i="10"/>
  <c r="AF211" i="10"/>
  <c r="AF205" i="10"/>
  <c r="AF201" i="10"/>
  <c r="AF197" i="10"/>
  <c r="AF162" i="10"/>
  <c r="AS162" i="10" s="1"/>
  <c r="AF158" i="10"/>
  <c r="AF154" i="10"/>
  <c r="AF150" i="10"/>
  <c r="AF146" i="10"/>
  <c r="AF142" i="10"/>
  <c r="AF138" i="10"/>
  <c r="AF134" i="10"/>
  <c r="AS134" i="10" s="1"/>
  <c r="AF130" i="10"/>
  <c r="AF126" i="10"/>
  <c r="AF122" i="10"/>
  <c r="AF118" i="10"/>
  <c r="AF114" i="10"/>
  <c r="AF110" i="10"/>
  <c r="AF106" i="10"/>
  <c r="AF102" i="10"/>
  <c r="AF98" i="10"/>
  <c r="AF94" i="10"/>
  <c r="AF90" i="10"/>
  <c r="AF86" i="10"/>
  <c r="AF82" i="10"/>
  <c r="AF78" i="10"/>
  <c r="AF74" i="10"/>
  <c r="AS74" i="10" s="1"/>
  <c r="AF71" i="10"/>
  <c r="AF69" i="10"/>
  <c r="AF193" i="10"/>
  <c r="AF189" i="10"/>
  <c r="AF185" i="10"/>
  <c r="AF181" i="10"/>
  <c r="AF177" i="10"/>
  <c r="AF173" i="10"/>
  <c r="AF169" i="10"/>
  <c r="AF165" i="10"/>
  <c r="AF99" i="10"/>
  <c r="AF95" i="10"/>
  <c r="AF91" i="10"/>
  <c r="AS91" i="10" s="1"/>
  <c r="AF87" i="10"/>
  <c r="AF83" i="10"/>
  <c r="AF79" i="10"/>
  <c r="AF75" i="10"/>
  <c r="AF67" i="10"/>
  <c r="AS67" i="10" s="1"/>
  <c r="AF65" i="10"/>
  <c r="AS65" i="10" s="1"/>
  <c r="AF63" i="10"/>
  <c r="AF60" i="10"/>
  <c r="AF58" i="10"/>
  <c r="AF48" i="10"/>
  <c r="AF43" i="10"/>
  <c r="AS43" i="10" s="1"/>
  <c r="AF41" i="10"/>
  <c r="AF39" i="10"/>
  <c r="AS39" i="10" s="1"/>
  <c r="AF33" i="10"/>
  <c r="AF31" i="10"/>
  <c r="AF23" i="10"/>
  <c r="AF38" i="10"/>
  <c r="AF35" i="10"/>
  <c r="AF25" i="10"/>
  <c r="AF22" i="10"/>
  <c r="AF42" i="10"/>
  <c r="AF37" i="10"/>
  <c r="AS37" i="10" s="1"/>
  <c r="AF34" i="10"/>
  <c r="AF32" i="10"/>
  <c r="AF61" i="10"/>
  <c r="AF46" i="10"/>
  <c r="AF376" i="10"/>
  <c r="AS376" i="10" s="1"/>
  <c r="AF161" i="10"/>
  <c r="AS161" i="10" s="1"/>
  <c r="AF157" i="10"/>
  <c r="AF153" i="10"/>
  <c r="AF149" i="10"/>
  <c r="AF145" i="10"/>
  <c r="AF141" i="10"/>
  <c r="AF137" i="10"/>
  <c r="AF133" i="10"/>
  <c r="AF129" i="10"/>
  <c r="AF125" i="10"/>
  <c r="AF121" i="10"/>
  <c r="AS121" i="10" s="1"/>
  <c r="AF117" i="10"/>
  <c r="AF113" i="10"/>
  <c r="AF109" i="10"/>
  <c r="AS109" i="10" s="1"/>
  <c r="AF105" i="10"/>
  <c r="AF101" i="10"/>
  <c r="AF57" i="10"/>
  <c r="AF54" i="10"/>
  <c r="AS54" i="10" s="1"/>
  <c r="AF52" i="10"/>
  <c r="AF50" i="10"/>
  <c r="AF45" i="10"/>
  <c r="AF28" i="10"/>
  <c r="AF40" i="10"/>
  <c r="AF30" i="10"/>
  <c r="AF59" i="10"/>
  <c r="AS59" i="10" s="1"/>
  <c r="AF53" i="10"/>
  <c r="AF44" i="10"/>
  <c r="AF300" i="10"/>
  <c r="AF97" i="10"/>
  <c r="AF93" i="10"/>
  <c r="AF89" i="10"/>
  <c r="AF85" i="10"/>
  <c r="AF81" i="10"/>
  <c r="AF77" i="10"/>
  <c r="AF73" i="10"/>
  <c r="AS73" i="10" s="1"/>
  <c r="AF66" i="10"/>
  <c r="AF64" i="10"/>
  <c r="AS64" i="10" s="1"/>
  <c r="AF62" i="10"/>
  <c r="AF56" i="10"/>
  <c r="AF49" i="10"/>
  <c r="AF47" i="10"/>
  <c r="AF27" i="10"/>
  <c r="AS27" i="10" s="1"/>
  <c r="AF21" i="10"/>
  <c r="AF55" i="10"/>
  <c r="AF51" i="10"/>
  <c r="AF36" i="10"/>
  <c r="AF29" i="10"/>
  <c r="AS29" i="10" s="1"/>
  <c r="AF26" i="10"/>
  <c r="AF24" i="10"/>
  <c r="AF20" i="10"/>
  <c r="B48" i="5"/>
  <c r="B49" i="5" s="1"/>
  <c r="AG8" i="5"/>
  <c r="AI8" i="5" s="1"/>
  <c r="AG7" i="5"/>
  <c r="AN7" i="5"/>
  <c r="AO7" i="5"/>
  <c r="AK7" i="5"/>
  <c r="AL7" i="5"/>
  <c r="O12" i="5"/>
  <c r="AM8" i="5"/>
  <c r="AO8" i="5" s="1"/>
  <c r="O13" i="5"/>
  <c r="AJ8" i="5"/>
  <c r="AL8" i="5" s="1"/>
  <c r="AF9" i="5"/>
  <c r="AF10" i="5"/>
  <c r="AF12" i="5"/>
  <c r="AF13" i="5"/>
  <c r="AF11" i="5"/>
  <c r="AF31" i="5"/>
  <c r="AF8" i="5"/>
  <c r="AF539" i="5"/>
  <c r="AF430" i="5"/>
  <c r="AF522" i="5"/>
  <c r="AF471" i="5"/>
  <c r="AF537" i="5"/>
  <c r="AF534" i="5"/>
  <c r="AF466" i="5"/>
  <c r="AF482" i="5"/>
  <c r="AF448" i="5"/>
  <c r="AF362" i="5"/>
  <c r="AF245" i="5"/>
  <c r="AF243" i="5"/>
  <c r="AF540" i="5"/>
  <c r="AF531" i="5"/>
  <c r="AF445" i="5"/>
  <c r="AF521" i="5"/>
  <c r="AF467" i="5"/>
  <c r="AF514" i="5"/>
  <c r="AF453" i="5"/>
  <c r="AF517" i="5"/>
  <c r="AF415" i="5"/>
  <c r="AF337" i="5"/>
  <c r="AF273" i="5"/>
  <c r="AF287" i="5"/>
  <c r="AF256" i="5"/>
  <c r="AF316" i="5"/>
  <c r="AF196" i="5"/>
  <c r="AF199" i="5"/>
  <c r="AF151" i="5"/>
  <c r="AF494" i="5"/>
  <c r="AF487" i="5"/>
  <c r="AF427" i="5"/>
  <c r="AF511" i="5"/>
  <c r="AF461" i="5"/>
  <c r="AF505" i="5"/>
  <c r="AF437" i="5"/>
  <c r="AF501" i="5"/>
  <c r="AF382" i="5"/>
  <c r="AF417" i="5"/>
  <c r="AF438" i="5"/>
  <c r="AF248" i="5"/>
  <c r="AF318" i="5"/>
  <c r="AF289" i="5"/>
  <c r="AF235" i="5"/>
  <c r="AF180" i="5"/>
  <c r="AF89" i="5"/>
  <c r="AF379" i="5"/>
  <c r="AF339" i="5"/>
  <c r="AF298" i="5"/>
  <c r="AF228" i="5"/>
  <c r="AF90" i="5"/>
  <c r="AF510" i="5"/>
  <c r="AF547" i="5"/>
  <c r="AF551" i="5"/>
  <c r="AF555" i="5"/>
  <c r="AF495" i="5"/>
  <c r="AF444" i="5"/>
  <c r="AF478" i="5"/>
  <c r="AF366" i="5"/>
  <c r="AF483" i="5"/>
  <c r="AF408" i="5"/>
  <c r="AF373" i="5"/>
  <c r="AF387" i="5"/>
  <c r="AF329" i="5"/>
  <c r="AF281" i="5"/>
  <c r="AF250" i="5"/>
  <c r="AF206" i="5"/>
  <c r="AF146" i="5"/>
  <c r="AF24" i="5"/>
  <c r="AF553" i="5"/>
  <c r="AF450" i="5"/>
  <c r="AF481" i="5"/>
  <c r="AF398" i="5"/>
  <c r="AF513" i="5"/>
  <c r="AF543" i="5"/>
  <c r="AF559" i="5"/>
  <c r="AF548" i="5"/>
  <c r="AF552" i="5"/>
  <c r="AF469" i="5"/>
  <c r="AF556" i="5"/>
  <c r="AF523" i="5"/>
  <c r="AF500" i="5"/>
  <c r="AF470" i="5"/>
  <c r="AF446" i="5"/>
  <c r="AF223" i="5"/>
  <c r="AF480" i="5"/>
  <c r="AF457" i="5"/>
  <c r="AF378" i="5"/>
  <c r="AF526" i="5"/>
  <c r="AF485" i="5"/>
  <c r="AF422" i="5"/>
  <c r="AF412" i="5"/>
  <c r="AF338" i="5"/>
  <c r="AF375" i="5"/>
  <c r="AF280" i="5"/>
  <c r="AF391" i="5"/>
  <c r="AF293" i="5"/>
  <c r="AF330" i="5"/>
  <c r="AF262" i="5"/>
  <c r="AF285" i="5"/>
  <c r="AF319" i="5"/>
  <c r="AF258" i="5"/>
  <c r="AF197" i="5"/>
  <c r="AF212" i="5"/>
  <c r="AF207" i="5"/>
  <c r="AF157" i="5"/>
  <c r="AF113" i="5"/>
  <c r="AF91" i="5"/>
  <c r="AF92" i="5"/>
  <c r="AF23" i="5"/>
  <c r="AF165" i="5"/>
  <c r="AF129" i="5"/>
  <c r="AF81" i="5"/>
  <c r="AF70" i="5"/>
  <c r="AF19" i="5"/>
  <c r="AF560" i="5"/>
  <c r="AF502" i="5"/>
  <c r="AF535" i="5"/>
  <c r="AF509" i="5"/>
  <c r="AF479" i="5"/>
  <c r="AF455" i="5"/>
  <c r="AF426" i="5"/>
  <c r="AF504" i="5"/>
  <c r="AF468" i="5"/>
  <c r="AF424" i="5"/>
  <c r="AF533" i="5"/>
  <c r="AF497" i="5"/>
  <c r="AF447" i="5"/>
  <c r="AF364" i="5"/>
  <c r="AF377" i="5"/>
  <c r="AF414" i="5"/>
  <c r="AF332" i="5"/>
  <c r="AF428" i="5"/>
  <c r="AF355" i="5"/>
  <c r="AF360" i="5"/>
  <c r="AF294" i="5"/>
  <c r="AF313" i="5"/>
  <c r="AF227" i="5"/>
  <c r="AF286" i="5"/>
  <c r="AF226" i="5"/>
  <c r="AF233" i="5"/>
  <c r="AF242" i="5"/>
  <c r="AF176" i="5"/>
  <c r="AF161" i="5"/>
  <c r="AF128" i="5"/>
  <c r="AF54" i="5"/>
  <c r="AF68" i="5"/>
  <c r="AF55" i="5"/>
  <c r="AF67" i="5"/>
  <c r="AF20" i="5"/>
  <c r="AF524" i="5"/>
  <c r="AF489" i="5"/>
  <c r="AF544" i="5"/>
  <c r="AF518" i="5"/>
  <c r="AF401" i="5"/>
  <c r="AF541" i="5"/>
  <c r="AF557" i="5"/>
  <c r="AF508" i="5"/>
  <c r="AF356" i="5"/>
  <c r="AF530" i="5"/>
  <c r="AF488" i="5"/>
  <c r="AF429" i="5"/>
  <c r="AF322" i="5"/>
  <c r="AF545" i="5"/>
  <c r="AF528" i="5"/>
  <c r="AF519" i="5"/>
  <c r="AF503" i="5"/>
  <c r="AF484" i="5"/>
  <c r="AF473" i="5"/>
  <c r="AF463" i="5"/>
  <c r="AF449" i="5"/>
  <c r="AF432" i="5"/>
  <c r="AF345" i="5"/>
  <c r="AF507" i="5"/>
  <c r="AF486" i="5"/>
  <c r="AF474" i="5"/>
  <c r="AF459" i="5"/>
  <c r="AF439" i="5"/>
  <c r="AF421" i="5"/>
  <c r="AF536" i="5"/>
  <c r="AF527" i="5"/>
  <c r="AF515" i="5"/>
  <c r="AF491" i="5"/>
  <c r="AF460" i="5"/>
  <c r="AF434" i="5"/>
  <c r="AF397" i="5"/>
  <c r="AF419" i="5"/>
  <c r="AF389" i="5"/>
  <c r="AF363" i="5"/>
  <c r="AF314" i="5"/>
  <c r="AF390" i="5"/>
  <c r="AF351" i="5"/>
  <c r="AF306" i="5"/>
  <c r="AF208" i="5"/>
  <c r="AF405" i="5"/>
  <c r="AF372" i="5"/>
  <c r="AF340" i="5"/>
  <c r="AF260" i="5"/>
  <c r="AF344" i="5"/>
  <c r="AF310" i="5"/>
  <c r="AF272" i="5"/>
  <c r="AF215" i="5"/>
  <c r="AF296" i="5"/>
  <c r="AF261" i="5"/>
  <c r="AF328" i="5"/>
  <c r="AF299" i="5"/>
  <c r="AF276" i="5"/>
  <c r="AF241" i="5"/>
  <c r="AF205" i="5"/>
  <c r="AF240" i="5"/>
  <c r="AF221" i="5"/>
  <c r="AF187" i="5"/>
  <c r="AF220" i="5"/>
  <c r="AF82" i="5"/>
  <c r="AF185" i="5"/>
  <c r="AF188" i="5"/>
  <c r="AF132" i="5"/>
  <c r="AF144" i="5"/>
  <c r="AF110" i="5"/>
  <c r="AF109" i="5"/>
  <c r="AF98" i="5"/>
  <c r="AF29" i="5"/>
  <c r="AF59" i="5"/>
  <c r="AF50" i="5"/>
  <c r="AF27" i="5"/>
  <c r="AF550" i="5"/>
  <c r="AF493" i="5"/>
  <c r="AF549" i="5"/>
  <c r="AF538" i="5"/>
  <c r="AF443" i="5"/>
  <c r="AF542" i="5"/>
  <c r="AF558" i="5"/>
  <c r="AF525" i="5"/>
  <c r="AF451" i="5"/>
  <c r="AF546" i="5"/>
  <c r="AF499" i="5"/>
  <c r="AF431" i="5"/>
  <c r="AF374" i="5"/>
  <c r="AF554" i="5"/>
  <c r="AF529" i="5"/>
  <c r="AF520" i="5"/>
  <c r="AF506" i="5"/>
  <c r="AF492" i="5"/>
  <c r="AF476" i="5"/>
  <c r="AF465" i="5"/>
  <c r="AF454" i="5"/>
  <c r="AF440" i="5"/>
  <c r="AF420" i="5"/>
  <c r="AF512" i="5"/>
  <c r="AF498" i="5"/>
  <c r="AF477" i="5"/>
  <c r="AF462" i="5"/>
  <c r="AF452" i="5"/>
  <c r="AF423" i="5"/>
  <c r="AF359" i="5"/>
  <c r="AF532" i="5"/>
  <c r="AF516" i="5"/>
  <c r="AF496" i="5"/>
  <c r="AF464" i="5"/>
  <c r="AF435" i="5"/>
  <c r="AF400" i="5"/>
  <c r="AF263" i="5"/>
  <c r="AF392" i="5"/>
  <c r="AF365" i="5"/>
  <c r="AF320" i="5"/>
  <c r="AF402" i="5"/>
  <c r="AF353" i="5"/>
  <c r="AF309" i="5"/>
  <c r="AF239" i="5"/>
  <c r="AF407" i="5"/>
  <c r="AF376" i="5"/>
  <c r="AF342" i="5"/>
  <c r="AF265" i="5"/>
  <c r="AF350" i="5"/>
  <c r="AF317" i="5"/>
  <c r="AF275" i="5"/>
  <c r="AF218" i="5"/>
  <c r="AF300" i="5"/>
  <c r="AF264" i="5"/>
  <c r="AF333" i="5"/>
  <c r="AF304" i="5"/>
  <c r="AF278" i="5"/>
  <c r="AF244" i="5"/>
  <c r="AF210" i="5"/>
  <c r="AF139" i="5"/>
  <c r="AF222" i="5"/>
  <c r="AF190" i="5"/>
  <c r="AF224" i="5"/>
  <c r="AF173" i="5"/>
  <c r="AF159" i="5"/>
  <c r="AF108" i="5"/>
  <c r="AF136" i="5"/>
  <c r="AF150" i="5"/>
  <c r="AF111" i="5"/>
  <c r="AF101" i="5"/>
  <c r="AF80" i="5"/>
  <c r="AF64" i="5"/>
  <c r="AF63" i="5"/>
  <c r="AF51" i="5"/>
  <c r="AF28" i="5"/>
  <c r="AF32" i="5"/>
  <c r="AF34" i="5"/>
  <c r="AF26" i="5"/>
  <c r="AF56" i="5"/>
  <c r="AF46" i="5"/>
  <c r="AF33" i="5"/>
  <c r="AF73" i="5"/>
  <c r="AF71" i="5"/>
  <c r="AF87" i="5"/>
  <c r="AF84" i="5"/>
  <c r="AF94" i="5"/>
  <c r="AF126" i="5"/>
  <c r="AF93" i="5"/>
  <c r="AF116" i="5"/>
  <c r="AF135" i="5"/>
  <c r="AF153" i="5"/>
  <c r="AF114" i="5"/>
  <c r="AF145" i="5"/>
  <c r="AF170" i="5"/>
  <c r="AF119" i="5"/>
  <c r="AF167" i="5"/>
  <c r="AF164" i="5"/>
  <c r="AF200" i="5"/>
  <c r="AF179" i="5"/>
  <c r="AF209" i="5"/>
  <c r="AF229" i="5"/>
  <c r="AF251" i="5"/>
  <c r="AF191" i="5"/>
  <c r="AF213" i="5"/>
  <c r="AF225" i="5"/>
  <c r="AF236" i="5"/>
  <c r="AF177" i="5"/>
  <c r="AF202" i="5"/>
  <c r="AF214" i="5"/>
  <c r="AF231" i="5"/>
  <c r="AF201" i="5"/>
  <c r="AF266" i="5"/>
  <c r="AF279" i="5"/>
  <c r="AF292" i="5"/>
  <c r="AF308" i="5"/>
  <c r="AF325" i="5"/>
  <c r="AF171" i="5"/>
  <c r="AF253" i="5"/>
  <c r="AF269" i="5"/>
  <c r="AF288" i="5"/>
  <c r="AF303" i="5"/>
  <c r="AF323" i="5"/>
  <c r="AF234" i="5"/>
  <c r="AF267" i="5"/>
  <c r="AF284" i="5"/>
  <c r="AF302" i="5"/>
  <c r="AF321" i="5"/>
  <c r="AF331" i="5"/>
  <c r="AF352" i="5"/>
  <c r="AF252" i="5"/>
  <c r="AF274" i="5"/>
  <c r="AF301" i="5"/>
  <c r="AF349" i="5"/>
  <c r="AF367" i="5"/>
  <c r="AF381" i="5"/>
  <c r="AF393" i="5"/>
  <c r="AF409" i="5"/>
  <c r="AF441" i="5"/>
  <c r="AF254" i="5"/>
  <c r="AF283" i="5"/>
  <c r="AF312" i="5"/>
  <c r="AF343" i="5"/>
  <c r="AF361" i="5"/>
  <c r="AF383" i="5"/>
  <c r="AF404" i="5"/>
  <c r="AF418" i="5"/>
  <c r="AF334" i="5"/>
  <c r="AF346" i="5"/>
  <c r="AF370" i="5"/>
  <c r="AF380" i="5"/>
  <c r="AF395" i="5"/>
  <c r="AF413" i="5"/>
  <c r="AF336" i="5"/>
  <c r="AF388" i="5"/>
  <c r="AF403" i="5"/>
  <c r="AF425" i="5"/>
  <c r="AF436" i="5"/>
  <c r="AF456" i="5"/>
  <c r="AF472" i="5"/>
  <c r="AF490" i="5"/>
  <c r="AF39" i="5"/>
  <c r="AF43" i="5"/>
  <c r="AF41" i="5"/>
  <c r="AF60" i="5"/>
  <c r="AF49" i="5"/>
  <c r="AF38" i="5"/>
  <c r="AF77" i="5"/>
  <c r="AF79" i="5"/>
  <c r="AF96" i="5"/>
  <c r="AF86" i="5"/>
  <c r="AF106" i="5"/>
  <c r="AF148" i="5"/>
  <c r="AF102" i="5"/>
  <c r="AF123" i="5"/>
  <c r="AF140" i="5"/>
  <c r="AF155" i="5"/>
  <c r="AF127" i="5"/>
  <c r="AF120" i="5"/>
  <c r="AF181" i="5"/>
  <c r="AF137" i="5"/>
  <c r="AF175" i="5"/>
  <c r="AF166" i="5"/>
  <c r="AF204" i="5"/>
  <c r="AF186" i="5"/>
  <c r="AF216" i="5"/>
  <c r="AF232" i="5"/>
  <c r="AF178" i="5"/>
  <c r="AF195" i="5"/>
  <c r="AF217" i="5"/>
  <c r="AF230" i="5"/>
  <c r="AF238" i="5"/>
  <c r="AF194" i="5"/>
  <c r="AF203" i="5"/>
  <c r="AF219" i="5"/>
  <c r="AF237" i="5"/>
  <c r="AF246" i="5"/>
  <c r="AF270" i="5"/>
  <c r="AF282" i="5"/>
  <c r="AF297" i="5"/>
  <c r="AF311" i="5"/>
  <c r="AF327" i="5"/>
  <c r="AF183" i="5"/>
  <c r="AF259" i="5"/>
  <c r="AF271" i="5"/>
  <c r="AF291" i="5"/>
  <c r="AF307" i="5"/>
  <c r="AF198" i="5"/>
  <c r="AF247" i="5"/>
  <c r="AF268" i="5"/>
  <c r="AF290" i="5"/>
  <c r="AF305" i="5"/>
  <c r="AF326" i="5"/>
  <c r="AF341" i="5"/>
  <c r="AF358" i="5"/>
  <c r="AF255" i="5"/>
  <c r="AF277" i="5"/>
  <c r="AF324" i="5"/>
  <c r="AF354" i="5"/>
  <c r="AF368" i="5"/>
  <c r="AF386" i="5"/>
  <c r="AF396" i="5"/>
  <c r="AF410" i="5"/>
  <c r="AF193" i="5"/>
  <c r="AF257" i="5"/>
  <c r="AF295" i="5"/>
  <c r="AF315" i="5"/>
  <c r="AF347" i="5"/>
  <c r="AF369" i="5"/>
  <c r="AF385" i="5"/>
  <c r="AF411" i="5"/>
  <c r="AF249" i="5"/>
  <c r="AF335" i="5"/>
  <c r="AF357" i="5"/>
  <c r="AF371" i="5"/>
  <c r="AF384" i="5"/>
  <c r="AF399" i="5"/>
  <c r="AF416" i="5"/>
  <c r="AF348" i="5"/>
  <c r="AF394" i="5"/>
  <c r="AF406" i="5"/>
  <c r="AF433" i="5"/>
  <c r="AF442" i="5"/>
  <c r="AF458" i="5"/>
  <c r="AF475" i="5"/>
  <c r="AF174" i="5"/>
  <c r="AF118" i="5"/>
  <c r="AF162" i="5"/>
  <c r="AF134" i="5"/>
  <c r="AF182" i="5"/>
  <c r="AF163" i="5"/>
  <c r="AF143" i="5"/>
  <c r="AF115" i="5"/>
  <c r="AF88" i="5"/>
  <c r="AF149" i="5"/>
  <c r="AF131" i="5"/>
  <c r="AF117" i="5"/>
  <c r="AF107" i="5"/>
  <c r="AF156" i="5"/>
  <c r="AF124" i="5"/>
  <c r="AF104" i="5"/>
  <c r="AF95" i="5"/>
  <c r="AF57" i="5"/>
  <c r="AF61" i="5"/>
  <c r="AF74" i="5"/>
  <c r="AF78" i="5"/>
  <c r="AF69" i="5"/>
  <c r="AF66" i="5"/>
  <c r="AF47" i="5"/>
  <c r="AF65" i="5"/>
  <c r="AF52" i="5"/>
  <c r="AF25" i="5"/>
  <c r="AF40" i="5"/>
  <c r="AF42" i="5"/>
  <c r="AF21" i="5"/>
  <c r="AF211" i="5"/>
  <c r="AF189" i="5"/>
  <c r="AF158" i="5"/>
  <c r="AF192" i="5"/>
  <c r="AF168" i="5"/>
  <c r="AF130" i="5"/>
  <c r="AF172" i="5"/>
  <c r="AF152" i="5"/>
  <c r="AF122" i="5"/>
  <c r="AF184" i="5"/>
  <c r="AF169" i="5"/>
  <c r="AF138" i="5"/>
  <c r="AF141" i="5"/>
  <c r="AF121" i="5"/>
  <c r="AF103" i="5"/>
  <c r="AF154" i="5"/>
  <c r="AF147" i="5"/>
  <c r="AF133" i="5"/>
  <c r="AF125" i="5"/>
  <c r="AF112" i="5"/>
  <c r="AF105" i="5"/>
  <c r="AF160" i="5"/>
  <c r="AF142" i="5"/>
  <c r="AF85" i="5"/>
  <c r="AF99" i="5"/>
  <c r="AF100" i="5"/>
  <c r="AF83" i="5"/>
  <c r="AF97" i="5"/>
  <c r="AF48" i="5"/>
  <c r="AF75" i="5"/>
  <c r="AF35" i="5"/>
  <c r="AF76" i="5"/>
  <c r="AF53" i="5"/>
  <c r="AF30" i="5"/>
  <c r="AF58" i="5"/>
  <c r="AF72" i="5"/>
  <c r="AF62" i="5"/>
  <c r="AF44" i="5"/>
  <c r="AF37" i="5"/>
  <c r="AF22" i="5"/>
  <c r="AF36" i="5"/>
  <c r="AF45" i="5"/>
  <c r="AM29" i="5"/>
  <c r="AM34" i="5"/>
  <c r="AM36" i="5"/>
  <c r="AM40" i="5"/>
  <c r="AM45" i="5"/>
  <c r="AM22" i="5"/>
  <c r="AM25" i="5"/>
  <c r="AM26" i="5"/>
  <c r="AM27" i="5"/>
  <c r="AM31" i="5"/>
  <c r="AM37" i="5"/>
  <c r="AM43" i="5"/>
  <c r="AM20" i="5"/>
  <c r="AM30" i="5"/>
  <c r="AM33" i="5"/>
  <c r="AM38" i="5"/>
  <c r="AM41" i="5"/>
  <c r="AM44" i="5"/>
  <c r="AM46" i="5"/>
  <c r="AM50" i="5"/>
  <c r="AM32" i="5"/>
  <c r="AM35" i="5"/>
  <c r="AM42" i="5"/>
  <c r="AM56" i="5"/>
  <c r="AM60" i="5"/>
  <c r="AM64" i="5"/>
  <c r="AM67" i="5"/>
  <c r="AM68" i="5"/>
  <c r="AM73" i="5"/>
  <c r="AM21" i="5"/>
  <c r="AM28" i="5"/>
  <c r="AM39" i="5"/>
  <c r="AM48" i="5"/>
  <c r="AM52" i="5"/>
  <c r="AM63" i="5"/>
  <c r="AM24" i="5"/>
  <c r="AM51" i="5"/>
  <c r="AM55" i="5"/>
  <c r="AM58" i="5"/>
  <c r="AM61" i="5"/>
  <c r="AM66" i="5"/>
  <c r="AM54" i="5"/>
  <c r="AM57" i="5"/>
  <c r="AM70" i="5"/>
  <c r="AM72" i="5"/>
  <c r="AM78" i="5"/>
  <c r="AM49" i="5"/>
  <c r="AM53" i="5"/>
  <c r="AM71" i="5"/>
  <c r="AM75" i="5"/>
  <c r="AM79" i="5"/>
  <c r="AM23" i="5"/>
  <c r="AM47" i="5"/>
  <c r="AM59" i="5"/>
  <c r="AM62" i="5"/>
  <c r="AM65" i="5"/>
  <c r="AM69" i="5"/>
  <c r="AM76" i="5"/>
  <c r="AM77" i="5"/>
  <c r="AM80" i="5"/>
  <c r="AM82" i="5"/>
  <c r="AM84" i="5"/>
  <c r="AM93" i="5"/>
  <c r="AM83" i="5"/>
  <c r="AM88" i="5"/>
  <c r="AM89" i="5"/>
  <c r="AM90" i="5"/>
  <c r="AM91" i="5"/>
  <c r="AM92" i="5"/>
  <c r="AM95" i="5"/>
  <c r="AM96" i="5"/>
  <c r="AM97" i="5"/>
  <c r="AM98" i="5"/>
  <c r="AM74" i="5"/>
  <c r="AM102" i="5"/>
  <c r="AM105" i="5"/>
  <c r="AM108" i="5"/>
  <c r="AM86" i="5"/>
  <c r="AM87" i="5"/>
  <c r="AM103" i="5"/>
  <c r="AM109" i="5"/>
  <c r="AM94" i="5"/>
  <c r="AM99" i="5"/>
  <c r="AM110" i="5"/>
  <c r="AM114" i="5"/>
  <c r="AM121" i="5"/>
  <c r="AM129" i="5"/>
  <c r="AM131" i="5"/>
  <c r="AM140" i="5"/>
  <c r="AM144" i="5"/>
  <c r="AM151" i="5"/>
  <c r="AM81" i="5"/>
  <c r="AM85" i="5"/>
  <c r="AM100" i="5"/>
  <c r="AM106" i="5"/>
  <c r="AM111" i="5"/>
  <c r="AM112" i="5"/>
  <c r="AM117" i="5"/>
  <c r="AM120" i="5"/>
  <c r="AM123" i="5"/>
  <c r="AM125" i="5"/>
  <c r="AM126" i="5"/>
  <c r="AM128" i="5"/>
  <c r="AM133" i="5"/>
  <c r="AM135" i="5"/>
  <c r="AM138" i="5"/>
  <c r="AM146" i="5"/>
  <c r="AM147" i="5"/>
  <c r="AM149" i="5"/>
  <c r="AM154" i="5"/>
  <c r="AM155" i="5"/>
  <c r="AM107" i="5"/>
  <c r="AM113" i="5"/>
  <c r="AM119" i="5"/>
  <c r="AM124" i="5"/>
  <c r="AM127" i="5"/>
  <c r="AM137" i="5"/>
  <c r="AM139" i="5"/>
  <c r="AM142" i="5"/>
  <c r="AM145" i="5"/>
  <c r="AM148" i="5"/>
  <c r="AM101" i="5"/>
  <c r="AM104" i="5"/>
  <c r="AM132" i="5"/>
  <c r="AM160" i="5"/>
  <c r="AM163" i="5"/>
  <c r="AM167" i="5"/>
  <c r="AM169" i="5"/>
  <c r="AM175" i="5"/>
  <c r="AM177" i="5"/>
  <c r="AM181" i="5"/>
  <c r="AM116" i="5"/>
  <c r="AM141" i="5"/>
  <c r="AM150" i="5"/>
  <c r="AM153" i="5"/>
  <c r="AM159" i="5"/>
  <c r="AM164" i="5"/>
  <c r="AM166" i="5"/>
  <c r="AM170" i="5"/>
  <c r="AM172" i="5"/>
  <c r="AM176" i="5"/>
  <c r="AM180" i="5"/>
  <c r="AM185" i="5"/>
  <c r="AM115" i="5"/>
  <c r="AM122" i="5"/>
  <c r="AM134" i="5"/>
  <c r="AM143" i="5"/>
  <c r="AM152" i="5"/>
  <c r="AM156" i="5"/>
  <c r="AM158" i="5"/>
  <c r="AM162" i="5"/>
  <c r="AM168" i="5"/>
  <c r="AM173" i="5"/>
  <c r="AM183" i="5"/>
  <c r="AM187" i="5"/>
  <c r="AM197" i="5"/>
  <c r="AM198" i="5"/>
  <c r="AM201" i="5"/>
  <c r="AM203" i="5"/>
  <c r="AM118" i="5"/>
  <c r="AM130" i="5"/>
  <c r="AM136" i="5"/>
  <c r="AM165" i="5"/>
  <c r="AM171" i="5"/>
  <c r="AM174" i="5"/>
  <c r="AM190" i="5"/>
  <c r="AM205" i="5"/>
  <c r="AM208" i="5"/>
  <c r="AM211" i="5"/>
  <c r="AM213" i="5"/>
  <c r="AM216" i="5"/>
  <c r="AM221" i="5"/>
  <c r="AM225" i="5"/>
  <c r="AM230" i="5"/>
  <c r="AM233" i="5"/>
  <c r="AM236" i="5"/>
  <c r="AM243" i="5"/>
  <c r="AM179" i="5"/>
  <c r="AM182" i="5"/>
  <c r="AM194" i="5"/>
  <c r="AM195" i="5"/>
  <c r="AM196" i="5"/>
  <c r="AM204" i="5"/>
  <c r="AM210" i="5"/>
  <c r="AM212" i="5"/>
  <c r="AM214" i="5"/>
  <c r="AM217" i="5"/>
  <c r="AM219" i="5"/>
  <c r="AM222" i="5"/>
  <c r="AM226" i="5"/>
  <c r="AM228" i="5"/>
  <c r="AM235" i="5"/>
  <c r="AM238" i="5"/>
  <c r="AM242" i="5"/>
  <c r="AM244" i="5"/>
  <c r="AM161" i="5"/>
  <c r="AM178" i="5"/>
  <c r="AM184" i="5"/>
  <c r="AM186" i="5"/>
  <c r="AM199" i="5"/>
  <c r="AM200" i="5"/>
  <c r="AM202" i="5"/>
  <c r="AM215" i="5"/>
  <c r="AM231" i="5"/>
  <c r="AM234" i="5"/>
  <c r="AM237" i="5"/>
  <c r="AM239" i="5"/>
  <c r="AM240" i="5"/>
  <c r="AM189" i="5"/>
  <c r="AM191" i="5"/>
  <c r="AM193" i="5"/>
  <c r="AM220" i="5"/>
  <c r="AM223" i="5"/>
  <c r="AM246" i="5"/>
  <c r="AM259" i="5"/>
  <c r="AM261" i="5"/>
  <c r="AM264" i="5"/>
  <c r="AM266" i="5"/>
  <c r="AM271" i="5"/>
  <c r="AM274" i="5"/>
  <c r="AM276" i="5"/>
  <c r="AM279" i="5"/>
  <c r="AM281" i="5"/>
  <c r="AM282" i="5"/>
  <c r="AM285" i="5"/>
  <c r="AM288" i="5"/>
  <c r="AM291" i="5"/>
  <c r="AM296" i="5"/>
  <c r="AM300" i="5"/>
  <c r="AM303" i="5"/>
  <c r="AM307" i="5"/>
  <c r="AM313" i="5"/>
  <c r="AM318" i="5"/>
  <c r="AM323" i="5"/>
  <c r="AM327" i="5"/>
  <c r="AM157" i="5"/>
  <c r="AM207" i="5"/>
  <c r="AM247" i="5"/>
  <c r="AM253" i="5"/>
  <c r="AM256" i="5"/>
  <c r="AM262" i="5"/>
  <c r="AM269" i="5"/>
  <c r="AM272" i="5"/>
  <c r="AM278" i="5"/>
  <c r="AM284" i="5"/>
  <c r="AM290" i="5"/>
  <c r="AM294" i="5"/>
  <c r="AM298" i="5"/>
  <c r="AM305" i="5"/>
  <c r="AM317" i="5"/>
  <c r="AM321" i="5"/>
  <c r="AM326" i="5"/>
  <c r="AM331" i="5"/>
  <c r="AM188" i="5"/>
  <c r="AM192" i="5"/>
  <c r="AM227" i="5"/>
  <c r="AM232" i="5"/>
  <c r="AM241" i="5"/>
  <c r="AM248" i="5"/>
  <c r="AM249" i="5"/>
  <c r="AM251" i="5"/>
  <c r="AM255" i="5"/>
  <c r="AM257" i="5"/>
  <c r="AM263" i="5"/>
  <c r="AM265" i="5"/>
  <c r="AM268" i="5"/>
  <c r="AM275" i="5"/>
  <c r="AM283" i="5"/>
  <c r="AM287" i="5"/>
  <c r="AM295" i="5"/>
  <c r="AM301" i="5"/>
  <c r="AM302" i="5"/>
  <c r="AM306" i="5"/>
  <c r="AM309" i="5"/>
  <c r="AM310" i="5"/>
  <c r="AM312" i="5"/>
  <c r="AM314" i="5"/>
  <c r="AM315" i="5"/>
  <c r="AM320" i="5"/>
  <c r="AM322" i="5"/>
  <c r="AM324" i="5"/>
  <c r="AM329" i="5"/>
  <c r="AM330" i="5"/>
  <c r="AM332" i="5"/>
  <c r="AM337" i="5"/>
  <c r="AM339" i="5"/>
  <c r="AM343" i="5"/>
  <c r="AM344" i="5"/>
  <c r="AM346" i="5"/>
  <c r="AM351" i="5"/>
  <c r="AM357" i="5"/>
  <c r="AM358" i="5"/>
  <c r="AM206" i="5"/>
  <c r="AM218" i="5"/>
  <c r="AM224" i="5"/>
  <c r="AM258" i="5"/>
  <c r="AM299" i="5"/>
  <c r="AM316" i="5"/>
  <c r="AM319" i="5"/>
  <c r="AM335" i="5"/>
  <c r="AM338" i="5"/>
  <c r="AM352" i="5"/>
  <c r="AM360" i="5"/>
  <c r="AM367" i="5"/>
  <c r="AM369" i="5"/>
  <c r="AM373" i="5"/>
  <c r="AM376" i="5"/>
  <c r="AM383" i="5"/>
  <c r="AM385" i="5"/>
  <c r="AM393" i="5"/>
  <c r="AM404" i="5"/>
  <c r="AM409" i="5"/>
  <c r="AM410" i="5"/>
  <c r="AM411" i="5"/>
  <c r="AM414" i="5"/>
  <c r="AM420" i="5"/>
  <c r="AM423" i="5"/>
  <c r="AM428" i="5"/>
  <c r="AM431" i="5"/>
  <c r="AM435" i="5"/>
  <c r="AM436" i="5"/>
  <c r="AM440" i="5"/>
  <c r="AM250" i="5"/>
  <c r="AM252" i="5"/>
  <c r="AM260" i="5"/>
  <c r="AM277" i="5"/>
  <c r="AM293" i="5"/>
  <c r="AM304" i="5"/>
  <c r="AM334" i="5"/>
  <c r="AM345" i="5"/>
  <c r="AM350" i="5"/>
  <c r="AM356" i="5"/>
  <c r="AM359" i="5"/>
  <c r="AM361" i="5"/>
  <c r="AM363" i="5"/>
  <c r="AM365" i="5"/>
  <c r="AM370" i="5"/>
  <c r="AM375" i="5"/>
  <c r="AM377" i="5"/>
  <c r="AM380" i="5"/>
  <c r="AM384" i="5"/>
  <c r="AM386" i="5"/>
  <c r="AM389" i="5"/>
  <c r="AM390" i="5"/>
  <c r="AM392" i="5"/>
  <c r="AM399" i="5"/>
  <c r="AM402" i="5"/>
  <c r="AM408" i="5"/>
  <c r="AM413" i="5"/>
  <c r="AM417" i="5"/>
  <c r="AM418" i="5"/>
  <c r="AM419" i="5"/>
  <c r="AM209" i="5"/>
  <c r="AM245" i="5"/>
  <c r="AM254" i="5"/>
  <c r="AM267" i="5"/>
  <c r="AM273" i="5"/>
  <c r="AM280" i="5"/>
  <c r="AM286" i="5"/>
  <c r="AM289" i="5"/>
  <c r="AM292" i="5"/>
  <c r="AM333" i="5"/>
  <c r="AM336" i="5"/>
  <c r="AM340" i="5"/>
  <c r="AM341" i="5"/>
  <c r="AM342" i="5"/>
  <c r="AM348" i="5"/>
  <c r="AM349" i="5"/>
  <c r="AM355" i="5"/>
  <c r="AM364" i="5"/>
  <c r="AM366" i="5"/>
  <c r="AM371" i="5"/>
  <c r="AM374" i="5"/>
  <c r="AM378" i="5"/>
  <c r="AM379" i="5"/>
  <c r="AM388" i="5"/>
  <c r="AM395" i="5"/>
  <c r="AM398" i="5"/>
  <c r="AM400" i="5"/>
  <c r="AM406" i="5"/>
  <c r="AM415" i="5"/>
  <c r="AM416" i="5"/>
  <c r="AM311" i="5"/>
  <c r="AM354" i="5"/>
  <c r="AM362" i="5"/>
  <c r="AM368" i="5"/>
  <c r="AM401" i="5"/>
  <c r="AM422" i="5"/>
  <c r="AM442" i="5"/>
  <c r="AM452" i="5"/>
  <c r="AM457" i="5"/>
  <c r="AM458" i="5"/>
  <c r="AM459" i="5"/>
  <c r="AM460" i="5"/>
  <c r="AM471" i="5"/>
  <c r="AM472" i="5"/>
  <c r="AM475" i="5"/>
  <c r="AM478" i="5"/>
  <c r="AM490" i="5"/>
  <c r="AM496" i="5"/>
  <c r="AM497" i="5"/>
  <c r="AM504" i="5"/>
  <c r="AM515" i="5"/>
  <c r="AM525" i="5"/>
  <c r="AM526" i="5"/>
  <c r="AM531" i="5"/>
  <c r="AM532" i="5"/>
  <c r="AM270" i="5"/>
  <c r="AM325" i="5"/>
  <c r="AM382" i="5"/>
  <c r="AM391" i="5"/>
  <c r="AM394" i="5"/>
  <c r="AM397" i="5"/>
  <c r="AM403" i="5"/>
  <c r="AM412" i="5"/>
  <c r="AM426" i="5"/>
  <c r="AM427" i="5"/>
  <c r="AM429" i="5"/>
  <c r="AM439" i="5"/>
  <c r="AM446" i="5"/>
  <c r="AM447" i="5"/>
  <c r="AM461" i="5"/>
  <c r="AM462" i="5"/>
  <c r="AM465" i="5"/>
  <c r="AM467" i="5"/>
  <c r="AM468" i="5"/>
  <c r="AM470" i="5"/>
  <c r="AM474" i="5"/>
  <c r="AM477" i="5"/>
  <c r="AM480" i="5"/>
  <c r="AM484" i="5"/>
  <c r="AM498" i="5"/>
  <c r="AM506" i="5"/>
  <c r="AM507" i="5"/>
  <c r="AM511" i="5"/>
  <c r="AM512" i="5"/>
  <c r="AM514" i="5"/>
  <c r="AM516" i="5"/>
  <c r="AM519" i="5"/>
  <c r="AM308" i="5"/>
  <c r="AM347" i="5"/>
  <c r="AM353" i="5"/>
  <c r="AM381" i="5"/>
  <c r="AM387" i="5"/>
  <c r="AM396" i="5"/>
  <c r="AM405" i="5"/>
  <c r="AM430" i="5"/>
  <c r="AM432" i="5"/>
  <c r="AM434" i="5"/>
  <c r="AM441" i="5"/>
  <c r="AM443" i="5"/>
  <c r="AM444" i="5"/>
  <c r="AM451" i="5"/>
  <c r="AM453" i="5"/>
  <c r="AM454" i="5"/>
  <c r="AM455" i="5"/>
  <c r="AM463" i="5"/>
  <c r="AM466" i="5"/>
  <c r="AM469" i="5"/>
  <c r="AM473" i="5"/>
  <c r="AM476" i="5"/>
  <c r="AM479" i="5"/>
  <c r="AM482" i="5"/>
  <c r="AM486" i="5"/>
  <c r="AM487" i="5"/>
  <c r="AM488" i="5"/>
  <c r="AM489" i="5"/>
  <c r="AM492" i="5"/>
  <c r="AM493" i="5"/>
  <c r="AM494" i="5"/>
  <c r="AM495" i="5"/>
  <c r="AM499" i="5"/>
  <c r="AM500" i="5"/>
  <c r="AM502" i="5"/>
  <c r="AM503" i="5"/>
  <c r="AM505" i="5"/>
  <c r="AM508" i="5"/>
  <c r="AM509" i="5"/>
  <c r="AM510" i="5"/>
  <c r="AM518" i="5"/>
  <c r="AM520" i="5"/>
  <c r="AM522" i="5"/>
  <c r="AM523" i="5"/>
  <c r="AM530" i="5"/>
  <c r="AM539" i="5"/>
  <c r="AM545" i="5"/>
  <c r="AM554" i="5"/>
  <c r="AM555" i="5"/>
  <c r="AM556" i="5"/>
  <c r="AM229" i="5"/>
  <c r="AM297" i="5"/>
  <c r="AM328" i="5"/>
  <c r="AM421" i="5"/>
  <c r="AM425" i="5"/>
  <c r="AM449" i="5"/>
  <c r="AM456" i="5"/>
  <c r="AM485" i="5"/>
  <c r="AM513" i="5"/>
  <c r="AM517" i="5"/>
  <c r="AM521" i="5"/>
  <c r="AM527" i="5"/>
  <c r="AM529" i="5"/>
  <c r="AM534" i="5"/>
  <c r="AM536" i="5"/>
  <c r="AM540" i="5"/>
  <c r="AM548" i="5"/>
  <c r="AM553" i="5"/>
  <c r="AM557" i="5"/>
  <c r="AM560" i="5"/>
  <c r="AM558" i="5"/>
  <c r="AM433" i="5"/>
  <c r="AM437" i="5"/>
  <c r="AM445" i="5"/>
  <c r="AM448" i="5"/>
  <c r="AM524" i="5"/>
  <c r="AM538" i="5"/>
  <c r="AM543" i="5"/>
  <c r="AM544" i="5"/>
  <c r="AM549" i="5"/>
  <c r="AM550" i="5"/>
  <c r="AM551" i="5"/>
  <c r="AM407" i="5"/>
  <c r="AM424" i="5"/>
  <c r="AM481" i="5"/>
  <c r="AM491" i="5"/>
  <c r="AM501" i="5"/>
  <c r="AM528" i="5"/>
  <c r="AM533" i="5"/>
  <c r="AM535" i="5"/>
  <c r="AM541" i="5"/>
  <c r="AM542" i="5"/>
  <c r="AM547" i="5"/>
  <c r="AM552" i="5"/>
  <c r="AM559" i="5"/>
  <c r="AM372" i="5"/>
  <c r="AM438" i="5"/>
  <c r="AM450" i="5"/>
  <c r="AM464" i="5"/>
  <c r="AM483" i="5"/>
  <c r="AM537" i="5"/>
  <c r="AM546" i="5"/>
  <c r="AM19" i="5"/>
  <c r="B32" i="5"/>
  <c r="AG29" i="5"/>
  <c r="AG30" i="5"/>
  <c r="AG33" i="5"/>
  <c r="AG35" i="5"/>
  <c r="AG38" i="5"/>
  <c r="AG44" i="5"/>
  <c r="AG46" i="5"/>
  <c r="AG21" i="5"/>
  <c r="AG24" i="5"/>
  <c r="AG28" i="5"/>
  <c r="AG32" i="5"/>
  <c r="AG39" i="5"/>
  <c r="AG42" i="5"/>
  <c r="AG45" i="5"/>
  <c r="AG27" i="5"/>
  <c r="AG31" i="5"/>
  <c r="AG34" i="5"/>
  <c r="AG36" i="5"/>
  <c r="AG40" i="5"/>
  <c r="AG43" i="5"/>
  <c r="AG47" i="5"/>
  <c r="AG48" i="5"/>
  <c r="AG49" i="5"/>
  <c r="AG51" i="5"/>
  <c r="AG25" i="5"/>
  <c r="AG37" i="5"/>
  <c r="AG50" i="5"/>
  <c r="AG53" i="5"/>
  <c r="AG54" i="5"/>
  <c r="AG57" i="5"/>
  <c r="AG61" i="5"/>
  <c r="AG64" i="5"/>
  <c r="AG41" i="5"/>
  <c r="AG56" i="5"/>
  <c r="AG60" i="5"/>
  <c r="AG62" i="5"/>
  <c r="AG65" i="5"/>
  <c r="AG67" i="5"/>
  <c r="AG68" i="5"/>
  <c r="AG20" i="5"/>
  <c r="AG23" i="5"/>
  <c r="AG58" i="5"/>
  <c r="AG59" i="5"/>
  <c r="AG63" i="5"/>
  <c r="AG66" i="5"/>
  <c r="AG26" i="5"/>
  <c r="AG80" i="5"/>
  <c r="AG22" i="5"/>
  <c r="AG69" i="5"/>
  <c r="AG70" i="5"/>
  <c r="AG73" i="5"/>
  <c r="AG52" i="5"/>
  <c r="AG55" i="5"/>
  <c r="AG72" i="5"/>
  <c r="AG76" i="5"/>
  <c r="AG77" i="5"/>
  <c r="AG78" i="5"/>
  <c r="AG81" i="5"/>
  <c r="AG86" i="5"/>
  <c r="AG90" i="5"/>
  <c r="AG93" i="5"/>
  <c r="AG94" i="5"/>
  <c r="AG74" i="5"/>
  <c r="AG87" i="5"/>
  <c r="AG96" i="5"/>
  <c r="AG97" i="5"/>
  <c r="AG98" i="5"/>
  <c r="AG102" i="5"/>
  <c r="AG103" i="5"/>
  <c r="AG105" i="5"/>
  <c r="AG107" i="5"/>
  <c r="AG75" i="5"/>
  <c r="AG79" i="5"/>
  <c r="AG82" i="5"/>
  <c r="AG85" i="5"/>
  <c r="AG88" i="5"/>
  <c r="AG91" i="5"/>
  <c r="AG101" i="5"/>
  <c r="AG108" i="5"/>
  <c r="AG83" i="5"/>
  <c r="AG100" i="5"/>
  <c r="AG113" i="5"/>
  <c r="AG114" i="5"/>
  <c r="AG115" i="5"/>
  <c r="AG121" i="5"/>
  <c r="AG127" i="5"/>
  <c r="AG132" i="5"/>
  <c r="AG136" i="5"/>
  <c r="AG141" i="5"/>
  <c r="AG143" i="5"/>
  <c r="AG145" i="5"/>
  <c r="AG71" i="5"/>
  <c r="AG89" i="5"/>
  <c r="AG104" i="5"/>
  <c r="AG124" i="5"/>
  <c r="AG126" i="5"/>
  <c r="AG142" i="5"/>
  <c r="AG148" i="5"/>
  <c r="AG151" i="5"/>
  <c r="AG156" i="5"/>
  <c r="AG92" i="5"/>
  <c r="AG99" i="5"/>
  <c r="AG106" i="5"/>
  <c r="AG109" i="5"/>
  <c r="AG118" i="5"/>
  <c r="AG119" i="5"/>
  <c r="AG120" i="5"/>
  <c r="AG122" i="5"/>
  <c r="AG130" i="5"/>
  <c r="AG134" i="5"/>
  <c r="AG137" i="5"/>
  <c r="AG138" i="5"/>
  <c r="AG139" i="5"/>
  <c r="AG146" i="5"/>
  <c r="AG152" i="5"/>
  <c r="AG84" i="5"/>
  <c r="AG110" i="5"/>
  <c r="AG116" i="5"/>
  <c r="AG123" i="5"/>
  <c r="AG129" i="5"/>
  <c r="AG135" i="5"/>
  <c r="AG144" i="5"/>
  <c r="AG147" i="5"/>
  <c r="AG150" i="5"/>
  <c r="AG153" i="5"/>
  <c r="AG158" i="5"/>
  <c r="AG171" i="5"/>
  <c r="AG173" i="5"/>
  <c r="AG177" i="5"/>
  <c r="AG178" i="5"/>
  <c r="AG179" i="5"/>
  <c r="AG183" i="5"/>
  <c r="AG187" i="5"/>
  <c r="AG112" i="5"/>
  <c r="AG125" i="5"/>
  <c r="AG128" i="5"/>
  <c r="AG131" i="5"/>
  <c r="AG149" i="5"/>
  <c r="AG161" i="5"/>
  <c r="AG163" i="5"/>
  <c r="AG165" i="5"/>
  <c r="AG169" i="5"/>
  <c r="AG170" i="5"/>
  <c r="AG181" i="5"/>
  <c r="AG182" i="5"/>
  <c r="AG184" i="5"/>
  <c r="AG95" i="5"/>
  <c r="AG111" i="5"/>
  <c r="AG133" i="5"/>
  <c r="AG140" i="5"/>
  <c r="AG155" i="5"/>
  <c r="AG157" i="5"/>
  <c r="AG160" i="5"/>
  <c r="AG162" i="5"/>
  <c r="AG167" i="5"/>
  <c r="AG172" i="5"/>
  <c r="AG175" i="5"/>
  <c r="AG185" i="5"/>
  <c r="AG186" i="5"/>
  <c r="AG189" i="5"/>
  <c r="AG190" i="5"/>
  <c r="AG194" i="5"/>
  <c r="AG197" i="5"/>
  <c r="AG198" i="5"/>
  <c r="AG199" i="5"/>
  <c r="AG201" i="5"/>
  <c r="AG206" i="5"/>
  <c r="AG154" i="5"/>
  <c r="AG176" i="5"/>
  <c r="AG193" i="5"/>
  <c r="AG208" i="5"/>
  <c r="AG215" i="5"/>
  <c r="AG218" i="5"/>
  <c r="AG223" i="5"/>
  <c r="AG227" i="5"/>
  <c r="AG234" i="5"/>
  <c r="AG239" i="5"/>
  <c r="AG245" i="5"/>
  <c r="AG247" i="5"/>
  <c r="AG248" i="5"/>
  <c r="AG164" i="5"/>
  <c r="AG192" i="5"/>
  <c r="AG207" i="5"/>
  <c r="AG209" i="5"/>
  <c r="AG211" i="5"/>
  <c r="AG216" i="5"/>
  <c r="AG220" i="5"/>
  <c r="AG224" i="5"/>
  <c r="AG229" i="5"/>
  <c r="AG232" i="5"/>
  <c r="AG242" i="5"/>
  <c r="AG243" i="5"/>
  <c r="AG159" i="5"/>
  <c r="AG166" i="5"/>
  <c r="AG188" i="5"/>
  <c r="AG191" i="5"/>
  <c r="AG195" i="5"/>
  <c r="AG212" i="5"/>
  <c r="AG213" i="5"/>
  <c r="AG217" i="5"/>
  <c r="AG221" i="5"/>
  <c r="AG222" i="5"/>
  <c r="AG225" i="5"/>
  <c r="AG230" i="5"/>
  <c r="AG233" i="5"/>
  <c r="AG235" i="5"/>
  <c r="AG236" i="5"/>
  <c r="AG238" i="5"/>
  <c r="AG240" i="5"/>
  <c r="AG214" i="5"/>
  <c r="AG228" i="5"/>
  <c r="AG249" i="5"/>
  <c r="AG251" i="5"/>
  <c r="AG252" i="5"/>
  <c r="AG254" i="5"/>
  <c r="AG255" i="5"/>
  <c r="AG257" i="5"/>
  <c r="AG260" i="5"/>
  <c r="AG263" i="5"/>
  <c r="AG265" i="5"/>
  <c r="AG273" i="5"/>
  <c r="AG274" i="5"/>
  <c r="AG277" i="5"/>
  <c r="AG280" i="5"/>
  <c r="AG283" i="5"/>
  <c r="AG287" i="5"/>
  <c r="AG293" i="5"/>
  <c r="AG295" i="5"/>
  <c r="AG301" i="5"/>
  <c r="AG306" i="5"/>
  <c r="AG309" i="5"/>
  <c r="AG312" i="5"/>
  <c r="AG314" i="5"/>
  <c r="AG315" i="5"/>
  <c r="AG320" i="5"/>
  <c r="AG322" i="5"/>
  <c r="AG324" i="5"/>
  <c r="AG332" i="5"/>
  <c r="AG203" i="5"/>
  <c r="AG205" i="5"/>
  <c r="AG210" i="5"/>
  <c r="AG219" i="5"/>
  <c r="AG241" i="5"/>
  <c r="AG246" i="5"/>
  <c r="AG250" i="5"/>
  <c r="AG258" i="5"/>
  <c r="AG266" i="5"/>
  <c r="AG270" i="5"/>
  <c r="AG276" i="5"/>
  <c r="AG278" i="5"/>
  <c r="AG279" i="5"/>
  <c r="AG282" i="5"/>
  <c r="AG286" i="5"/>
  <c r="AG289" i="5"/>
  <c r="AG292" i="5"/>
  <c r="AG297" i="5"/>
  <c r="AG299" i="5"/>
  <c r="AG304" i="5"/>
  <c r="AG308" i="5"/>
  <c r="AG311" i="5"/>
  <c r="AG316" i="5"/>
  <c r="AG319" i="5"/>
  <c r="AG325" i="5"/>
  <c r="AG327" i="5"/>
  <c r="AG328" i="5"/>
  <c r="AG117" i="5"/>
  <c r="AG196" i="5"/>
  <c r="AG200" i="5"/>
  <c r="AG237" i="5"/>
  <c r="AG244" i="5"/>
  <c r="AG253" i="5"/>
  <c r="AG259" i="5"/>
  <c r="AG261" i="5"/>
  <c r="AG264" i="5"/>
  <c r="AG269" i="5"/>
  <c r="AG271" i="5"/>
  <c r="AG281" i="5"/>
  <c r="AG285" i="5"/>
  <c r="AG288" i="5"/>
  <c r="AG291" i="5"/>
  <c r="AG296" i="5"/>
  <c r="AG300" i="5"/>
  <c r="AG303" i="5"/>
  <c r="AG307" i="5"/>
  <c r="AG313" i="5"/>
  <c r="AG318" i="5"/>
  <c r="AG323" i="5"/>
  <c r="AG335" i="5"/>
  <c r="AG336" i="5"/>
  <c r="AG338" i="5"/>
  <c r="AG342" i="5"/>
  <c r="AG343" i="5"/>
  <c r="AG345" i="5"/>
  <c r="AG348" i="5"/>
  <c r="AG349" i="5"/>
  <c r="AG354" i="5"/>
  <c r="AG356" i="5"/>
  <c r="AG359" i="5"/>
  <c r="AG174" i="5"/>
  <c r="AG231" i="5"/>
  <c r="AG284" i="5"/>
  <c r="AG290" i="5"/>
  <c r="AG310" i="5"/>
  <c r="AG330" i="5"/>
  <c r="AG341" i="5"/>
  <c r="AG364" i="5"/>
  <c r="AG366" i="5"/>
  <c r="AG374" i="5"/>
  <c r="AG378" i="5"/>
  <c r="AG382" i="5"/>
  <c r="AG388" i="5"/>
  <c r="AG394" i="5"/>
  <c r="AG397" i="5"/>
  <c r="AG398" i="5"/>
  <c r="AG400" i="5"/>
  <c r="AG401" i="5"/>
  <c r="AG403" i="5"/>
  <c r="AG406" i="5"/>
  <c r="AG415" i="5"/>
  <c r="AG420" i="5"/>
  <c r="AG421" i="5"/>
  <c r="AG424" i="5"/>
  <c r="AG429" i="5"/>
  <c r="AG433" i="5"/>
  <c r="AG436" i="5"/>
  <c r="AG437" i="5"/>
  <c r="AG180" i="5"/>
  <c r="AG226" i="5"/>
  <c r="AG262" i="5"/>
  <c r="AG267" i="5"/>
  <c r="AG268" i="5"/>
  <c r="AG298" i="5"/>
  <c r="AG321" i="5"/>
  <c r="AG326" i="5"/>
  <c r="AG329" i="5"/>
  <c r="AG333" i="5"/>
  <c r="AG340" i="5"/>
  <c r="AG355" i="5"/>
  <c r="AG362" i="5"/>
  <c r="AG367" i="5"/>
  <c r="AG368" i="5"/>
  <c r="AG372" i="5"/>
  <c r="AG376" i="5"/>
  <c r="AG381" i="5"/>
  <c r="AG386" i="5"/>
  <c r="AG387" i="5"/>
  <c r="AG391" i="5"/>
  <c r="AG393" i="5"/>
  <c r="AG396" i="5"/>
  <c r="AG405" i="5"/>
  <c r="AG407" i="5"/>
  <c r="AG409" i="5"/>
  <c r="AG410" i="5"/>
  <c r="AG202" i="5"/>
  <c r="AG317" i="5"/>
  <c r="AG339" i="5"/>
  <c r="AG347" i="5"/>
  <c r="AG351" i="5"/>
  <c r="AG352" i="5"/>
  <c r="AG353" i="5"/>
  <c r="AG360" i="5"/>
  <c r="AG361" i="5"/>
  <c r="AG369" i="5"/>
  <c r="AG373" i="5"/>
  <c r="AG375" i="5"/>
  <c r="AG383" i="5"/>
  <c r="AG385" i="5"/>
  <c r="AG390" i="5"/>
  <c r="AG402" i="5"/>
  <c r="AG404" i="5"/>
  <c r="AG411" i="5"/>
  <c r="AG414" i="5"/>
  <c r="AG417" i="5"/>
  <c r="AG418" i="5"/>
  <c r="AG168" i="5"/>
  <c r="AG256" i="5"/>
  <c r="AG275" i="5"/>
  <c r="AG305" i="5"/>
  <c r="AG334" i="5"/>
  <c r="AG344" i="5"/>
  <c r="AG346" i="5"/>
  <c r="AG350" i="5"/>
  <c r="AG371" i="5"/>
  <c r="AG379" i="5"/>
  <c r="AG412" i="5"/>
  <c r="AG419" i="5"/>
  <c r="AG427" i="5"/>
  <c r="AG431" i="5"/>
  <c r="AG438" i="5"/>
  <c r="AG443" i="5"/>
  <c r="AG445" i="5"/>
  <c r="AG450" i="5"/>
  <c r="AG451" i="5"/>
  <c r="AG466" i="5"/>
  <c r="AG469" i="5"/>
  <c r="AG481" i="5"/>
  <c r="AG487" i="5"/>
  <c r="AG488" i="5"/>
  <c r="AG489" i="5"/>
  <c r="AG493" i="5"/>
  <c r="AG494" i="5"/>
  <c r="AG499" i="5"/>
  <c r="AG502" i="5"/>
  <c r="AG508" i="5"/>
  <c r="AG510" i="5"/>
  <c r="AG513" i="5"/>
  <c r="AG518" i="5"/>
  <c r="AG522" i="5"/>
  <c r="AG530" i="5"/>
  <c r="AG294" i="5"/>
  <c r="AG331" i="5"/>
  <c r="AG357" i="5"/>
  <c r="AG370" i="5"/>
  <c r="AG384" i="5"/>
  <c r="AG408" i="5"/>
  <c r="AG422" i="5"/>
  <c r="AG425" i="5"/>
  <c r="AG434" i="5"/>
  <c r="AG435" i="5"/>
  <c r="AG442" i="5"/>
  <c r="AG447" i="5"/>
  <c r="AG448" i="5"/>
  <c r="AG456" i="5"/>
  <c r="AG458" i="5"/>
  <c r="AG460" i="5"/>
  <c r="AG464" i="5"/>
  <c r="AG472" i="5"/>
  <c r="AG475" i="5"/>
  <c r="AG483" i="5"/>
  <c r="AG485" i="5"/>
  <c r="AG490" i="5"/>
  <c r="AG491" i="5"/>
  <c r="AG496" i="5"/>
  <c r="AG497" i="5"/>
  <c r="AG501" i="5"/>
  <c r="AG515" i="5"/>
  <c r="AG516" i="5"/>
  <c r="AG517" i="5"/>
  <c r="AG272" i="5"/>
  <c r="AG302" i="5"/>
  <c r="AG337" i="5"/>
  <c r="AG363" i="5"/>
  <c r="AG399" i="5"/>
  <c r="AG423" i="5"/>
  <c r="AG439" i="5"/>
  <c r="AG452" i="5"/>
  <c r="AG453" i="5"/>
  <c r="AG457" i="5"/>
  <c r="AG459" i="5"/>
  <c r="AG462" i="5"/>
  <c r="AG468" i="5"/>
  <c r="AG471" i="5"/>
  <c r="AG474" i="5"/>
  <c r="AG477" i="5"/>
  <c r="AG478" i="5"/>
  <c r="AG480" i="5"/>
  <c r="AG486" i="5"/>
  <c r="AG498" i="5"/>
  <c r="AG504" i="5"/>
  <c r="AG505" i="5"/>
  <c r="AG507" i="5"/>
  <c r="AG512" i="5"/>
  <c r="AG514" i="5"/>
  <c r="AG524" i="5"/>
  <c r="AG525" i="5"/>
  <c r="AG531" i="5"/>
  <c r="AG543" i="5"/>
  <c r="AG546" i="5"/>
  <c r="AG548" i="5"/>
  <c r="AG549" i="5"/>
  <c r="AG550" i="5"/>
  <c r="AG551" i="5"/>
  <c r="AG553" i="5"/>
  <c r="AG557" i="5"/>
  <c r="AG559" i="5"/>
  <c r="AG204" i="5"/>
  <c r="AG380" i="5"/>
  <c r="AG392" i="5"/>
  <c r="AG416" i="5"/>
  <c r="AG463" i="5"/>
  <c r="AG473" i="5"/>
  <c r="AG476" i="5"/>
  <c r="AG479" i="5"/>
  <c r="AG482" i="5"/>
  <c r="AG492" i="5"/>
  <c r="AG506" i="5"/>
  <c r="AG509" i="5"/>
  <c r="AG520" i="5"/>
  <c r="AG528" i="5"/>
  <c r="AG535" i="5"/>
  <c r="AG539" i="5"/>
  <c r="AG541" i="5"/>
  <c r="AG542" i="5"/>
  <c r="AG547" i="5"/>
  <c r="AG554" i="5"/>
  <c r="AG441" i="5"/>
  <c r="AG444" i="5"/>
  <c r="AG455" i="5"/>
  <c r="AG465" i="5"/>
  <c r="AG484" i="5"/>
  <c r="AG495" i="5"/>
  <c r="AG519" i="5"/>
  <c r="AG526" i="5"/>
  <c r="AG533" i="5"/>
  <c r="AG545" i="5"/>
  <c r="AG552" i="5"/>
  <c r="AG555" i="5"/>
  <c r="AG532" i="5"/>
  <c r="AG536" i="5"/>
  <c r="AG540" i="5"/>
  <c r="AG358" i="5"/>
  <c r="AG365" i="5"/>
  <c r="AG377" i="5"/>
  <c r="AG389" i="5"/>
  <c r="AG395" i="5"/>
  <c r="AG413" i="5"/>
  <c r="AG426" i="5"/>
  <c r="AG428" i="5"/>
  <c r="AG430" i="5"/>
  <c r="AG432" i="5"/>
  <c r="AG454" i="5"/>
  <c r="AG461" i="5"/>
  <c r="AG467" i="5"/>
  <c r="AG511" i="5"/>
  <c r="AG523" i="5"/>
  <c r="AG529" i="5"/>
  <c r="AG537" i="5"/>
  <c r="AG556" i="5"/>
  <c r="AG558" i="5"/>
  <c r="AG560" i="5"/>
  <c r="AG440" i="5"/>
  <c r="AG446" i="5"/>
  <c r="AG449" i="5"/>
  <c r="AG470" i="5"/>
  <c r="AG500" i="5"/>
  <c r="AG503" i="5"/>
  <c r="AG521" i="5"/>
  <c r="AG527" i="5"/>
  <c r="AG534" i="5"/>
  <c r="AG538" i="5"/>
  <c r="AG544" i="5"/>
  <c r="AG19" i="5"/>
  <c r="B31" i="5"/>
  <c r="AJ22" i="5"/>
  <c r="AJ23" i="5"/>
  <c r="AJ25" i="5"/>
  <c r="AJ26" i="5"/>
  <c r="AJ31" i="5"/>
  <c r="AJ37" i="5"/>
  <c r="AJ43" i="5"/>
  <c r="AJ48" i="5"/>
  <c r="AJ20" i="5"/>
  <c r="AJ29" i="5"/>
  <c r="AJ30" i="5"/>
  <c r="AJ33" i="5"/>
  <c r="AJ38" i="5"/>
  <c r="AJ41" i="5"/>
  <c r="AJ44" i="5"/>
  <c r="AJ46" i="5"/>
  <c r="AJ21" i="5"/>
  <c r="AJ24" i="5"/>
  <c r="AJ28" i="5"/>
  <c r="AJ32" i="5"/>
  <c r="AJ35" i="5"/>
  <c r="AJ39" i="5"/>
  <c r="AJ42" i="5"/>
  <c r="AJ45" i="5"/>
  <c r="AJ52" i="5"/>
  <c r="AJ63" i="5"/>
  <c r="AJ69" i="5"/>
  <c r="AJ34" i="5"/>
  <c r="AJ51" i="5"/>
  <c r="AJ53" i="5"/>
  <c r="AJ55" i="5"/>
  <c r="AJ59" i="5"/>
  <c r="AJ61" i="5"/>
  <c r="AJ66" i="5"/>
  <c r="AJ27" i="5"/>
  <c r="AJ36" i="5"/>
  <c r="AJ47" i="5"/>
  <c r="AJ49" i="5"/>
  <c r="AJ50" i="5"/>
  <c r="AJ54" i="5"/>
  <c r="AJ56" i="5"/>
  <c r="AJ57" i="5"/>
  <c r="AJ62" i="5"/>
  <c r="AJ65" i="5"/>
  <c r="AJ71" i="5"/>
  <c r="AJ75" i="5"/>
  <c r="AJ79" i="5"/>
  <c r="AJ40" i="5"/>
  <c r="AJ60" i="5"/>
  <c r="AJ76" i="5"/>
  <c r="AJ77" i="5"/>
  <c r="AJ58" i="5"/>
  <c r="AJ68" i="5"/>
  <c r="AJ73" i="5"/>
  <c r="AJ74" i="5"/>
  <c r="AJ83" i="5"/>
  <c r="AJ88" i="5"/>
  <c r="AJ91" i="5"/>
  <c r="AJ67" i="5"/>
  <c r="AJ70" i="5"/>
  <c r="AJ72" i="5"/>
  <c r="AJ82" i="5"/>
  <c r="AJ78" i="5"/>
  <c r="AJ81" i="5"/>
  <c r="AJ85" i="5"/>
  <c r="AJ93" i="5"/>
  <c r="AJ94" i="5"/>
  <c r="AJ99" i="5"/>
  <c r="AJ101" i="5"/>
  <c r="AJ104" i="5"/>
  <c r="AJ109" i="5"/>
  <c r="AJ84" i="5"/>
  <c r="AJ89" i="5"/>
  <c r="AJ90" i="5"/>
  <c r="AJ92" i="5"/>
  <c r="AJ95" i="5"/>
  <c r="AJ96" i="5"/>
  <c r="AJ98" i="5"/>
  <c r="AJ100" i="5"/>
  <c r="AJ107" i="5"/>
  <c r="AJ97" i="5"/>
  <c r="AJ103" i="5"/>
  <c r="AJ106" i="5"/>
  <c r="AJ111" i="5"/>
  <c r="AJ112" i="5"/>
  <c r="AJ117" i="5"/>
  <c r="AJ118" i="5"/>
  <c r="AJ120" i="5"/>
  <c r="AJ125" i="5"/>
  <c r="AJ126" i="5"/>
  <c r="AJ128" i="5"/>
  <c r="AJ135" i="5"/>
  <c r="AJ138" i="5"/>
  <c r="AJ146" i="5"/>
  <c r="AJ149" i="5"/>
  <c r="AJ152" i="5"/>
  <c r="AJ158" i="5"/>
  <c r="AJ161" i="5"/>
  <c r="AJ87" i="5"/>
  <c r="AJ115" i="5"/>
  <c r="AJ116" i="5"/>
  <c r="AJ122" i="5"/>
  <c r="AJ127" i="5"/>
  <c r="AJ130" i="5"/>
  <c r="AJ132" i="5"/>
  <c r="AJ134" i="5"/>
  <c r="AJ136" i="5"/>
  <c r="AJ141" i="5"/>
  <c r="AJ143" i="5"/>
  <c r="AJ145" i="5"/>
  <c r="AJ153" i="5"/>
  <c r="AJ157" i="5"/>
  <c r="AJ64" i="5"/>
  <c r="AJ80" i="5"/>
  <c r="AJ86" i="5"/>
  <c r="AJ102" i="5"/>
  <c r="AJ105" i="5"/>
  <c r="AJ108" i="5"/>
  <c r="AJ110" i="5"/>
  <c r="AJ114" i="5"/>
  <c r="AJ121" i="5"/>
  <c r="AJ123" i="5"/>
  <c r="AJ129" i="5"/>
  <c r="AJ131" i="5"/>
  <c r="AJ133" i="5"/>
  <c r="AJ140" i="5"/>
  <c r="AJ144" i="5"/>
  <c r="AJ147" i="5"/>
  <c r="AJ150" i="5"/>
  <c r="AJ151" i="5"/>
  <c r="AJ154" i="5"/>
  <c r="AJ155" i="5"/>
  <c r="AJ113" i="5"/>
  <c r="AJ139" i="5"/>
  <c r="AJ159" i="5"/>
  <c r="AJ164" i="5"/>
  <c r="AJ166" i="5"/>
  <c r="AJ168" i="5"/>
  <c r="AJ174" i="5"/>
  <c r="AJ176" i="5"/>
  <c r="AJ180" i="5"/>
  <c r="AJ185" i="5"/>
  <c r="AJ186" i="5"/>
  <c r="AJ156" i="5"/>
  <c r="AJ173" i="5"/>
  <c r="AJ178" i="5"/>
  <c r="AJ179" i="5"/>
  <c r="AJ183" i="5"/>
  <c r="AJ119" i="5"/>
  <c r="AJ137" i="5"/>
  <c r="AJ165" i="5"/>
  <c r="AJ170" i="5"/>
  <c r="AJ171" i="5"/>
  <c r="AJ182" i="5"/>
  <c r="AJ184" i="5"/>
  <c r="AJ188" i="5"/>
  <c r="AJ191" i="5"/>
  <c r="AJ196" i="5"/>
  <c r="AJ200" i="5"/>
  <c r="AJ205" i="5"/>
  <c r="AJ207" i="5"/>
  <c r="AJ124" i="5"/>
  <c r="AJ142" i="5"/>
  <c r="AJ148" i="5"/>
  <c r="AJ160" i="5"/>
  <c r="AJ162" i="5"/>
  <c r="AJ194" i="5"/>
  <c r="AJ195" i="5"/>
  <c r="AJ203" i="5"/>
  <c r="AJ204" i="5"/>
  <c r="AJ210" i="5"/>
  <c r="AJ214" i="5"/>
  <c r="AJ217" i="5"/>
  <c r="AJ219" i="5"/>
  <c r="AJ222" i="5"/>
  <c r="AJ226" i="5"/>
  <c r="AJ228" i="5"/>
  <c r="AJ235" i="5"/>
  <c r="AJ238" i="5"/>
  <c r="AJ240" i="5"/>
  <c r="AJ242" i="5"/>
  <c r="AJ244" i="5"/>
  <c r="AJ167" i="5"/>
  <c r="AJ197" i="5"/>
  <c r="AJ199" i="5"/>
  <c r="AJ202" i="5"/>
  <c r="AJ215" i="5"/>
  <c r="AJ231" i="5"/>
  <c r="AJ234" i="5"/>
  <c r="AJ237" i="5"/>
  <c r="AJ239" i="5"/>
  <c r="AJ169" i="5"/>
  <c r="AJ172" i="5"/>
  <c r="AJ175" i="5"/>
  <c r="AJ181" i="5"/>
  <c r="AJ187" i="5"/>
  <c r="AJ189" i="5"/>
  <c r="AJ192" i="5"/>
  <c r="AJ193" i="5"/>
  <c r="AJ198" i="5"/>
  <c r="AJ201" i="5"/>
  <c r="AJ206" i="5"/>
  <c r="AJ209" i="5"/>
  <c r="AJ216" i="5"/>
  <c r="AJ218" i="5"/>
  <c r="AJ220" i="5"/>
  <c r="AJ223" i="5"/>
  <c r="AJ224" i="5"/>
  <c r="AJ227" i="5"/>
  <c r="AJ229" i="5"/>
  <c r="AJ232" i="5"/>
  <c r="AJ241" i="5"/>
  <c r="AJ163" i="5"/>
  <c r="AJ208" i="5"/>
  <c r="AJ211" i="5"/>
  <c r="AJ233" i="5"/>
  <c r="AJ236" i="5"/>
  <c r="AJ243" i="5"/>
  <c r="AJ247" i="5"/>
  <c r="AJ253" i="5"/>
  <c r="AJ256" i="5"/>
  <c r="AJ262" i="5"/>
  <c r="AJ269" i="5"/>
  <c r="AJ272" i="5"/>
  <c r="AJ278" i="5"/>
  <c r="AJ284" i="5"/>
  <c r="AJ290" i="5"/>
  <c r="AJ294" i="5"/>
  <c r="AJ298" i="5"/>
  <c r="AJ302" i="5"/>
  <c r="AJ305" i="5"/>
  <c r="AJ310" i="5"/>
  <c r="AJ317" i="5"/>
  <c r="AJ321" i="5"/>
  <c r="AJ326" i="5"/>
  <c r="AJ329" i="5"/>
  <c r="AJ330" i="5"/>
  <c r="AJ331" i="5"/>
  <c r="AJ177" i="5"/>
  <c r="AJ225" i="5"/>
  <c r="AJ230" i="5"/>
  <c r="AJ248" i="5"/>
  <c r="AJ249" i="5"/>
  <c r="AJ251" i="5"/>
  <c r="AJ254" i="5"/>
  <c r="AJ255" i="5"/>
  <c r="AJ257" i="5"/>
  <c r="AJ263" i="5"/>
  <c r="AJ265" i="5"/>
  <c r="AJ268" i="5"/>
  <c r="AJ275" i="5"/>
  <c r="AJ280" i="5"/>
  <c r="AJ283" i="5"/>
  <c r="AJ287" i="5"/>
  <c r="AJ293" i="5"/>
  <c r="AJ295" i="5"/>
  <c r="AJ301" i="5"/>
  <c r="AJ306" i="5"/>
  <c r="AJ309" i="5"/>
  <c r="AJ312" i="5"/>
  <c r="AJ314" i="5"/>
  <c r="AJ315" i="5"/>
  <c r="AJ320" i="5"/>
  <c r="AJ322" i="5"/>
  <c r="AJ324" i="5"/>
  <c r="AJ332" i="5"/>
  <c r="AJ190" i="5"/>
  <c r="AJ213" i="5"/>
  <c r="AJ221" i="5"/>
  <c r="AJ245" i="5"/>
  <c r="AJ250" i="5"/>
  <c r="AJ252" i="5"/>
  <c r="AJ258" i="5"/>
  <c r="AJ260" i="5"/>
  <c r="AJ267" i="5"/>
  <c r="AJ270" i="5"/>
  <c r="AJ273" i="5"/>
  <c r="AJ276" i="5"/>
  <c r="AJ277" i="5"/>
  <c r="AJ282" i="5"/>
  <c r="AJ286" i="5"/>
  <c r="AJ289" i="5"/>
  <c r="AJ292" i="5"/>
  <c r="AJ297" i="5"/>
  <c r="AJ299" i="5"/>
  <c r="AJ304" i="5"/>
  <c r="AJ308" i="5"/>
  <c r="AJ311" i="5"/>
  <c r="AJ316" i="5"/>
  <c r="AJ319" i="5"/>
  <c r="AJ325" i="5"/>
  <c r="AJ328" i="5"/>
  <c r="AJ333" i="5"/>
  <c r="AJ334" i="5"/>
  <c r="AJ340" i="5"/>
  <c r="AJ347" i="5"/>
  <c r="AJ353" i="5"/>
  <c r="AJ355" i="5"/>
  <c r="AJ212" i="5"/>
  <c r="AJ246" i="5"/>
  <c r="AJ281" i="5"/>
  <c r="AJ296" i="5"/>
  <c r="AJ307" i="5"/>
  <c r="AJ313" i="5"/>
  <c r="AJ327" i="5"/>
  <c r="AJ337" i="5"/>
  <c r="AJ344" i="5"/>
  <c r="AJ345" i="5"/>
  <c r="AJ346" i="5"/>
  <c r="AJ350" i="5"/>
  <c r="AJ356" i="5"/>
  <c r="AJ357" i="5"/>
  <c r="AJ359" i="5"/>
  <c r="AJ363" i="5"/>
  <c r="AJ365" i="5"/>
  <c r="AJ370" i="5"/>
  <c r="AJ371" i="5"/>
  <c r="AJ377" i="5"/>
  <c r="AJ379" i="5"/>
  <c r="AJ380" i="5"/>
  <c r="AJ384" i="5"/>
  <c r="AJ389" i="5"/>
  <c r="AJ390" i="5"/>
  <c r="AJ392" i="5"/>
  <c r="AJ399" i="5"/>
  <c r="AJ408" i="5"/>
  <c r="AJ412" i="5"/>
  <c r="AJ413" i="5"/>
  <c r="AJ416" i="5"/>
  <c r="AJ419" i="5"/>
  <c r="AJ426" i="5"/>
  <c r="AJ427" i="5"/>
  <c r="AJ432" i="5"/>
  <c r="AJ434" i="5"/>
  <c r="AJ439" i="5"/>
  <c r="AJ271" i="5"/>
  <c r="AJ274" i="5"/>
  <c r="AJ318" i="5"/>
  <c r="AJ336" i="5"/>
  <c r="AJ341" i="5"/>
  <c r="AJ342" i="5"/>
  <c r="AJ348" i="5"/>
  <c r="AJ349" i="5"/>
  <c r="AJ354" i="5"/>
  <c r="AJ358" i="5"/>
  <c r="AJ364" i="5"/>
  <c r="AJ366" i="5"/>
  <c r="AJ374" i="5"/>
  <c r="AJ378" i="5"/>
  <c r="AJ388" i="5"/>
  <c r="AJ394" i="5"/>
  <c r="AJ395" i="5"/>
  <c r="AJ398" i="5"/>
  <c r="AJ400" i="5"/>
  <c r="AJ406" i="5"/>
  <c r="AJ415" i="5"/>
  <c r="AJ420" i="5"/>
  <c r="AJ259" i="5"/>
  <c r="AJ264" i="5"/>
  <c r="AJ300" i="5"/>
  <c r="AJ303" i="5"/>
  <c r="AJ323" i="5"/>
  <c r="AJ343" i="5"/>
  <c r="AJ362" i="5"/>
  <c r="AJ368" i="5"/>
  <c r="AJ372" i="5"/>
  <c r="AJ376" i="5"/>
  <c r="AJ381" i="5"/>
  <c r="AJ382" i="5"/>
  <c r="AJ386" i="5"/>
  <c r="AJ387" i="5"/>
  <c r="AJ391" i="5"/>
  <c r="AJ396" i="5"/>
  <c r="AJ397" i="5"/>
  <c r="AJ401" i="5"/>
  <c r="AJ403" i="5"/>
  <c r="AJ405" i="5"/>
  <c r="AJ407" i="5"/>
  <c r="AJ409" i="5"/>
  <c r="AJ410" i="5"/>
  <c r="AJ338" i="5"/>
  <c r="AJ352" i="5"/>
  <c r="AJ385" i="5"/>
  <c r="AJ428" i="5"/>
  <c r="AJ429" i="5"/>
  <c r="AJ430" i="5"/>
  <c r="AJ440" i="5"/>
  <c r="AJ444" i="5"/>
  <c r="AJ446" i="5"/>
  <c r="AJ453" i="5"/>
  <c r="AJ461" i="5"/>
  <c r="AJ465" i="5"/>
  <c r="AJ467" i="5"/>
  <c r="AJ470" i="5"/>
  <c r="AJ476" i="5"/>
  <c r="AJ477" i="5"/>
  <c r="AJ479" i="5"/>
  <c r="AJ480" i="5"/>
  <c r="AJ482" i="5"/>
  <c r="AJ484" i="5"/>
  <c r="AJ492" i="5"/>
  <c r="AJ495" i="5"/>
  <c r="AJ500" i="5"/>
  <c r="AJ505" i="5"/>
  <c r="AJ506" i="5"/>
  <c r="AJ511" i="5"/>
  <c r="AJ512" i="5"/>
  <c r="AJ519" i="5"/>
  <c r="AJ523" i="5"/>
  <c r="AJ537" i="5"/>
  <c r="AJ288" i="5"/>
  <c r="AJ361" i="5"/>
  <c r="AJ367" i="5"/>
  <c r="AJ373" i="5"/>
  <c r="AJ418" i="5"/>
  <c r="AJ431" i="5"/>
  <c r="AJ436" i="5"/>
  <c r="AJ438" i="5"/>
  <c r="AJ441" i="5"/>
  <c r="AJ443" i="5"/>
  <c r="AJ449" i="5"/>
  <c r="AJ450" i="5"/>
  <c r="AJ451" i="5"/>
  <c r="AJ454" i="5"/>
  <c r="AJ455" i="5"/>
  <c r="AJ463" i="5"/>
  <c r="AJ466" i="5"/>
  <c r="AJ469" i="5"/>
  <c r="AJ473" i="5"/>
  <c r="AJ481" i="5"/>
  <c r="AJ487" i="5"/>
  <c r="AJ488" i="5"/>
  <c r="AJ489" i="5"/>
  <c r="AJ493" i="5"/>
  <c r="AJ494" i="5"/>
  <c r="AJ499" i="5"/>
  <c r="AJ502" i="5"/>
  <c r="AJ503" i="5"/>
  <c r="AJ508" i="5"/>
  <c r="AJ509" i="5"/>
  <c r="AJ510" i="5"/>
  <c r="AJ513" i="5"/>
  <c r="AJ518" i="5"/>
  <c r="AJ520" i="5"/>
  <c r="AJ521" i="5"/>
  <c r="AJ266" i="5"/>
  <c r="AJ335" i="5"/>
  <c r="AJ339" i="5"/>
  <c r="AJ351" i="5"/>
  <c r="AJ375" i="5"/>
  <c r="AJ393" i="5"/>
  <c r="AJ402" i="5"/>
  <c r="AJ411" i="5"/>
  <c r="AJ414" i="5"/>
  <c r="AJ417" i="5"/>
  <c r="AJ421" i="5"/>
  <c r="AJ422" i="5"/>
  <c r="AJ424" i="5"/>
  <c r="AJ425" i="5"/>
  <c r="AJ433" i="5"/>
  <c r="AJ435" i="5"/>
  <c r="AJ437" i="5"/>
  <c r="AJ442" i="5"/>
  <c r="AJ445" i="5"/>
  <c r="AJ448" i="5"/>
  <c r="AJ456" i="5"/>
  <c r="AJ458" i="5"/>
  <c r="AJ460" i="5"/>
  <c r="AJ464" i="5"/>
  <c r="AJ472" i="5"/>
  <c r="AJ483" i="5"/>
  <c r="AJ485" i="5"/>
  <c r="AJ490" i="5"/>
  <c r="AJ491" i="5"/>
  <c r="AJ496" i="5"/>
  <c r="AJ501" i="5"/>
  <c r="AJ517" i="5"/>
  <c r="AJ526" i="5"/>
  <c r="AJ527" i="5"/>
  <c r="AJ533" i="5"/>
  <c r="AJ534" i="5"/>
  <c r="AJ536" i="5"/>
  <c r="AJ538" i="5"/>
  <c r="AJ540" i="5"/>
  <c r="AJ542" i="5"/>
  <c r="AJ544" i="5"/>
  <c r="AJ547" i="5"/>
  <c r="AJ552" i="5"/>
  <c r="AJ558" i="5"/>
  <c r="AJ261" i="5"/>
  <c r="AJ279" i="5"/>
  <c r="AJ285" i="5"/>
  <c r="AJ291" i="5"/>
  <c r="AJ404" i="5"/>
  <c r="AJ423" i="5"/>
  <c r="AJ452" i="5"/>
  <c r="AJ459" i="5"/>
  <c r="AJ524" i="5"/>
  <c r="AJ532" i="5"/>
  <c r="AJ549" i="5"/>
  <c r="AJ550" i="5"/>
  <c r="AJ559" i="5"/>
  <c r="AJ556" i="5"/>
  <c r="AJ369" i="5"/>
  <c r="AJ462" i="5"/>
  <c r="AJ468" i="5"/>
  <c r="AJ516" i="5"/>
  <c r="AJ522" i="5"/>
  <c r="AJ528" i="5"/>
  <c r="AJ530" i="5"/>
  <c r="AJ535" i="5"/>
  <c r="AJ539" i="5"/>
  <c r="AJ541" i="5"/>
  <c r="AJ546" i="5"/>
  <c r="AJ551" i="5"/>
  <c r="AJ554" i="5"/>
  <c r="AJ548" i="5"/>
  <c r="AJ560" i="5"/>
  <c r="AJ383" i="5"/>
  <c r="AJ447" i="5"/>
  <c r="AJ457" i="5"/>
  <c r="AJ471" i="5"/>
  <c r="AJ475" i="5"/>
  <c r="AJ478" i="5"/>
  <c r="AJ486" i="5"/>
  <c r="AJ498" i="5"/>
  <c r="AJ504" i="5"/>
  <c r="AJ515" i="5"/>
  <c r="AJ525" i="5"/>
  <c r="AJ531" i="5"/>
  <c r="AJ555" i="5"/>
  <c r="AJ557" i="5"/>
  <c r="AJ360" i="5"/>
  <c r="AJ474" i="5"/>
  <c r="AJ497" i="5"/>
  <c r="AJ507" i="5"/>
  <c r="AJ514" i="5"/>
  <c r="AJ529" i="5"/>
  <c r="AJ543" i="5"/>
  <c r="AJ545" i="5"/>
  <c r="AJ553" i="5"/>
  <c r="AJ19" i="5"/>
  <c r="B76" i="2"/>
  <c r="AO2" i="4" s="1"/>
  <c r="B24" i="3"/>
  <c r="B74" i="2"/>
  <c r="B10" i="2"/>
  <c r="B16" i="3"/>
  <c r="B14" i="3"/>
  <c r="B12" i="3"/>
  <c r="B9" i="2"/>
  <c r="B12" i="10" s="1"/>
  <c r="B8" i="2"/>
  <c r="H59" i="1" s="1"/>
  <c r="B7" i="2"/>
  <c r="B10" i="10" s="1"/>
  <c r="AS192" i="10" l="1"/>
  <c r="AS495" i="10"/>
  <c r="AS357" i="10"/>
  <c r="AS258" i="10"/>
  <c r="AS348" i="10"/>
  <c r="AS83" i="10"/>
  <c r="AS191" i="10"/>
  <c r="AS168" i="10"/>
  <c r="AS400" i="10"/>
  <c r="AS538" i="10"/>
  <c r="AS42" i="10"/>
  <c r="AS69" i="10"/>
  <c r="AS188" i="10"/>
  <c r="AS283" i="10"/>
  <c r="AS313" i="10"/>
  <c r="AS310" i="10"/>
  <c r="AS420" i="10"/>
  <c r="AS391" i="10"/>
  <c r="AS456" i="10"/>
  <c r="AS457" i="10"/>
  <c r="AS535" i="10"/>
  <c r="AS347" i="10"/>
  <c r="AS314" i="10"/>
  <c r="AS492" i="10"/>
  <c r="AS542" i="10"/>
  <c r="AS101" i="10"/>
  <c r="AS272" i="10"/>
  <c r="AS132" i="10"/>
  <c r="AS164" i="10"/>
  <c r="AS254" i="10"/>
  <c r="AS414" i="10"/>
  <c r="AS436" i="10"/>
  <c r="AS497" i="10"/>
  <c r="AS499" i="10"/>
  <c r="AS530" i="10"/>
  <c r="B112" i="2"/>
  <c r="K112" i="2" s="1"/>
  <c r="B183" i="2"/>
  <c r="T7" i="5" s="1"/>
  <c r="V7" i="5" s="1"/>
  <c r="B18" i="5"/>
  <c r="B18" i="10"/>
  <c r="BV8" i="4"/>
  <c r="BV24" i="4"/>
  <c r="BV40" i="4"/>
  <c r="BV56" i="4"/>
  <c r="BV72" i="4"/>
  <c r="BV88" i="4"/>
  <c r="BV104" i="4"/>
  <c r="BV120" i="4"/>
  <c r="BV136" i="4"/>
  <c r="BV152" i="4"/>
  <c r="BV39" i="4"/>
  <c r="BV71" i="4"/>
  <c r="BV17" i="4"/>
  <c r="BV33" i="4"/>
  <c r="BV49" i="4"/>
  <c r="BV65" i="4"/>
  <c r="BV81" i="4"/>
  <c r="BV97" i="4"/>
  <c r="BV113" i="4"/>
  <c r="BV129" i="4"/>
  <c r="BV145" i="4"/>
  <c r="BV10" i="4"/>
  <c r="BV26" i="4"/>
  <c r="BV42" i="4"/>
  <c r="BV58" i="4"/>
  <c r="BV74" i="4"/>
  <c r="BV90" i="4"/>
  <c r="BV106" i="4"/>
  <c r="BV122" i="4"/>
  <c r="BV138" i="4"/>
  <c r="BV154" i="4"/>
  <c r="BV27" i="4"/>
  <c r="BV59" i="4"/>
  <c r="BV111" i="4"/>
  <c r="BV99" i="4"/>
  <c r="BV87" i="4"/>
  <c r="BV151" i="4"/>
  <c r="BV139" i="4"/>
  <c r="BV20" i="4"/>
  <c r="BV44" i="4"/>
  <c r="BV64" i="4"/>
  <c r="BV84" i="4"/>
  <c r="BV108" i="4"/>
  <c r="BV128" i="4"/>
  <c r="BV148" i="4"/>
  <c r="BV47" i="4"/>
  <c r="BV9" i="4"/>
  <c r="BV29" i="4"/>
  <c r="BV53" i="4"/>
  <c r="BV73" i="4"/>
  <c r="BV93" i="4"/>
  <c r="BV117" i="4"/>
  <c r="BV137" i="4"/>
  <c r="BV157" i="4"/>
  <c r="BV30" i="4"/>
  <c r="BV50" i="4"/>
  <c r="BV70" i="4"/>
  <c r="BV94" i="4"/>
  <c r="BV114" i="4"/>
  <c r="BV134" i="4"/>
  <c r="BV11" i="4"/>
  <c r="BV43" i="4"/>
  <c r="BV95" i="4"/>
  <c r="BV115" i="4"/>
  <c r="BV119" i="4"/>
  <c r="BV123" i="4"/>
  <c r="BV28" i="4"/>
  <c r="BV48" i="4"/>
  <c r="BV68" i="4"/>
  <c r="BV92" i="4"/>
  <c r="BV112" i="4"/>
  <c r="BV132" i="4"/>
  <c r="BV156" i="4"/>
  <c r="BV55" i="4"/>
  <c r="BV13" i="4"/>
  <c r="BV37" i="4"/>
  <c r="BV57" i="4"/>
  <c r="BV77" i="4"/>
  <c r="BV101" i="4"/>
  <c r="BV121" i="4"/>
  <c r="BV141" i="4"/>
  <c r="BV14" i="4"/>
  <c r="BV34" i="4"/>
  <c r="BV54" i="4"/>
  <c r="BV78" i="4"/>
  <c r="BV98" i="4"/>
  <c r="BV118" i="4"/>
  <c r="BV142" i="4"/>
  <c r="BV19" i="4"/>
  <c r="BV51" i="4"/>
  <c r="BV127" i="4"/>
  <c r="BV131" i="4"/>
  <c r="BV135" i="4"/>
  <c r="BV155" i="4"/>
  <c r="BV12" i="4"/>
  <c r="BV32" i="4"/>
  <c r="BV52" i="4"/>
  <c r="BV76" i="4"/>
  <c r="BV96" i="4"/>
  <c r="BV116" i="4"/>
  <c r="BV140" i="4"/>
  <c r="BV15" i="4"/>
  <c r="BV63" i="4"/>
  <c r="BV21" i="4"/>
  <c r="BV41" i="4"/>
  <c r="BV61" i="4"/>
  <c r="BV85" i="4"/>
  <c r="BV105" i="4"/>
  <c r="BV125" i="4"/>
  <c r="BV149" i="4"/>
  <c r="BV18" i="4"/>
  <c r="BV38" i="4"/>
  <c r="BV62" i="4"/>
  <c r="BV82" i="4"/>
  <c r="BV102" i="4"/>
  <c r="BV126" i="4"/>
  <c r="BV146" i="4"/>
  <c r="BV23" i="4"/>
  <c r="BV67" i="4"/>
  <c r="BV143" i="4"/>
  <c r="BV147" i="4"/>
  <c r="BV91" i="4"/>
  <c r="BV80" i="4"/>
  <c r="BV31" i="4"/>
  <c r="BV69" i="4"/>
  <c r="BV153" i="4"/>
  <c r="BV86" i="4"/>
  <c r="BV35" i="4"/>
  <c r="BV107" i="4"/>
  <c r="BV16" i="4"/>
  <c r="BV100" i="4"/>
  <c r="BV79" i="4"/>
  <c r="BV89" i="4"/>
  <c r="BV22" i="4"/>
  <c r="BV110" i="4"/>
  <c r="BV75" i="4"/>
  <c r="BV36" i="4"/>
  <c r="BV124" i="4"/>
  <c r="BV25" i="4"/>
  <c r="BV109" i="4"/>
  <c r="BV46" i="4"/>
  <c r="BV130" i="4"/>
  <c r="BV83" i="4"/>
  <c r="BV60" i="4"/>
  <c r="BV144" i="4"/>
  <c r="BV45" i="4"/>
  <c r="BV133" i="4"/>
  <c r="BV66" i="4"/>
  <c r="BV150" i="4"/>
  <c r="BV103" i="4"/>
  <c r="B29" i="10"/>
  <c r="AS24" i="10"/>
  <c r="AS51" i="10"/>
  <c r="AS97" i="10"/>
  <c r="AS45" i="10"/>
  <c r="AS145" i="10"/>
  <c r="AS32" i="10"/>
  <c r="AS60" i="10"/>
  <c r="AS75" i="10"/>
  <c r="AS150" i="10"/>
  <c r="AS197" i="10"/>
  <c r="AS135" i="10"/>
  <c r="AS128" i="10"/>
  <c r="AS160" i="10"/>
  <c r="AS207" i="10"/>
  <c r="AS255" i="10"/>
  <c r="AS287" i="10"/>
  <c r="AS212" i="10"/>
  <c r="AS228" i="10"/>
  <c r="AS331" i="10"/>
  <c r="AS356" i="10"/>
  <c r="AS333" i="10"/>
  <c r="AS374" i="10"/>
  <c r="AS408" i="10"/>
  <c r="AS365" i="10"/>
  <c r="AS432" i="10"/>
  <c r="AS482" i="10"/>
  <c r="AS475" i="10"/>
  <c r="AS494" i="10"/>
  <c r="AS496" i="10"/>
  <c r="AS537" i="10"/>
  <c r="AS81" i="10"/>
  <c r="AS57" i="10"/>
  <c r="AS129" i="10"/>
  <c r="AS22" i="10"/>
  <c r="AS23" i="10"/>
  <c r="AS41" i="10"/>
  <c r="AS169" i="10"/>
  <c r="AS185" i="10"/>
  <c r="AS86" i="10"/>
  <c r="AS118" i="10"/>
  <c r="AS268" i="10"/>
  <c r="AS68" i="10"/>
  <c r="AS221" i="10"/>
  <c r="AS237" i="10"/>
  <c r="AS244" i="10"/>
  <c r="AS190" i="10"/>
  <c r="AS206" i="10"/>
  <c r="AS301" i="10"/>
  <c r="AS315" i="10"/>
  <c r="AS324" i="10"/>
  <c r="AS340" i="10"/>
  <c r="AS282" i="10"/>
  <c r="AS298" i="10"/>
  <c r="AS346" i="10"/>
  <c r="AS424" i="10"/>
  <c r="AS427" i="10"/>
  <c r="AS460" i="10"/>
  <c r="AS397" i="10"/>
  <c r="AS413" i="10"/>
  <c r="AS429" i="10"/>
  <c r="AS448" i="10"/>
  <c r="AS446" i="10"/>
  <c r="AS463" i="10"/>
  <c r="AS490" i="10"/>
  <c r="AS461" i="10"/>
  <c r="AS477" i="10"/>
  <c r="AS508" i="10"/>
  <c r="AS543" i="10"/>
  <c r="AS548" i="10"/>
  <c r="AS85" i="10"/>
  <c r="AS149" i="10"/>
  <c r="AS95" i="10"/>
  <c r="AS138" i="10"/>
  <c r="AS154" i="10"/>
  <c r="AS201" i="10"/>
  <c r="AS187" i="10"/>
  <c r="AS259" i="10"/>
  <c r="AS291" i="10"/>
  <c r="AS368" i="10"/>
  <c r="AS216" i="10"/>
  <c r="AS232" i="10"/>
  <c r="AS304" i="10"/>
  <c r="AS194" i="10"/>
  <c r="AS319" i="10"/>
  <c r="AS344" i="10"/>
  <c r="AS321" i="10"/>
  <c r="AS353" i="10"/>
  <c r="AS318" i="10"/>
  <c r="AS350" i="10"/>
  <c r="AS366" i="10"/>
  <c r="AS396" i="10"/>
  <c r="AS428" i="10"/>
  <c r="AS398" i="10"/>
  <c r="AS464" i="10"/>
  <c r="AS479" i="10"/>
  <c r="AS493" i="10"/>
  <c r="AS498" i="10"/>
  <c r="AS516" i="10"/>
  <c r="AS534" i="10"/>
  <c r="AS532" i="10"/>
  <c r="AS553" i="10"/>
  <c r="AS551" i="10"/>
  <c r="AS20" i="10"/>
  <c r="AS62" i="10"/>
  <c r="AS77" i="10"/>
  <c r="AS93" i="10"/>
  <c r="AS125" i="10"/>
  <c r="AS87" i="10"/>
  <c r="AS115" i="10"/>
  <c r="AS131" i="10"/>
  <c r="AS179" i="10"/>
  <c r="AS264" i="10"/>
  <c r="AS296" i="10"/>
  <c r="AS124" i="10"/>
  <c r="AS156" i="10"/>
  <c r="AS380" i="10"/>
  <c r="AS218" i="10"/>
  <c r="AS234" i="10"/>
  <c r="AS249" i="10"/>
  <c r="AS265" i="10"/>
  <c r="AS281" i="10"/>
  <c r="AS297" i="10"/>
  <c r="AS311" i="10"/>
  <c r="AS320" i="10"/>
  <c r="AS262" i="10"/>
  <c r="AS294" i="10"/>
  <c r="AS422" i="10"/>
  <c r="AS407" i="10"/>
  <c r="AS486" i="10"/>
  <c r="AS488" i="10"/>
  <c r="AS491" i="10"/>
  <c r="AS507" i="10"/>
  <c r="AS541" i="10"/>
  <c r="AS554" i="10"/>
  <c r="AS55" i="10"/>
  <c r="AS300" i="10"/>
  <c r="AS30" i="10"/>
  <c r="AS50" i="10"/>
  <c r="AS117" i="10"/>
  <c r="AS63" i="10"/>
  <c r="AS90" i="10"/>
  <c r="AS275" i="10"/>
  <c r="AS178" i="10"/>
  <c r="AS210" i="10"/>
  <c r="AS242" i="10"/>
  <c r="AS273" i="10"/>
  <c r="AS375" i="10"/>
  <c r="AS312" i="10"/>
  <c r="AS337" i="10"/>
  <c r="AS412" i="10"/>
  <c r="AS433" i="10"/>
  <c r="AS512" i="10"/>
  <c r="AS44" i="10"/>
  <c r="AS40" i="10"/>
  <c r="AS52" i="10"/>
  <c r="AS137" i="10"/>
  <c r="AS153" i="10"/>
  <c r="AS46" i="10"/>
  <c r="AS33" i="10"/>
  <c r="AS99" i="10"/>
  <c r="AS177" i="10"/>
  <c r="AS193" i="10"/>
  <c r="AS78" i="10"/>
  <c r="AS94" i="10"/>
  <c r="AS110" i="10"/>
  <c r="AS126" i="10"/>
  <c r="AS158" i="10"/>
  <c r="AS223" i="10"/>
  <c r="AS239" i="10"/>
  <c r="AS159" i="10"/>
  <c r="AS276" i="10"/>
  <c r="AS88" i="10"/>
  <c r="AS104" i="10"/>
  <c r="AS136" i="10"/>
  <c r="AS213" i="10"/>
  <c r="AS229" i="10"/>
  <c r="AS263" i="10"/>
  <c r="AS295" i="10"/>
  <c r="AS204" i="10"/>
  <c r="AS166" i="10"/>
  <c r="AS198" i="10"/>
  <c r="AS214" i="10"/>
  <c r="AS230" i="10"/>
  <c r="AS245" i="10"/>
  <c r="AS261" i="10"/>
  <c r="AS277" i="10"/>
  <c r="AS293" i="10"/>
  <c r="AS307" i="10"/>
  <c r="AS339" i="10"/>
  <c r="AS355" i="10"/>
  <c r="AS379" i="10"/>
  <c r="AS316" i="10"/>
  <c r="AS309" i="10"/>
  <c r="AS341" i="10"/>
  <c r="AS274" i="10"/>
  <c r="AS416" i="10"/>
  <c r="AS418" i="10"/>
  <c r="AS387" i="10"/>
  <c r="AS403" i="10"/>
  <c r="AS419" i="10"/>
  <c r="AS437" i="10"/>
  <c r="AS451" i="10"/>
  <c r="AS373" i="10"/>
  <c r="AS389" i="10"/>
  <c r="AS405" i="10"/>
  <c r="AS421" i="10"/>
  <c r="AS435" i="10"/>
  <c r="AS440" i="10"/>
  <c r="AS474" i="10"/>
  <c r="AS458" i="10"/>
  <c r="AS489" i="10"/>
  <c r="AS455" i="10"/>
  <c r="AS483" i="10"/>
  <c r="AS501" i="10"/>
  <c r="AS485" i="10"/>
  <c r="AS509" i="10"/>
  <c r="AS533" i="10"/>
  <c r="AS531" i="10"/>
  <c r="AS520" i="10"/>
  <c r="AS550" i="10"/>
  <c r="AS536" i="10"/>
  <c r="AS34" i="10"/>
  <c r="AS25" i="10"/>
  <c r="AS219" i="10"/>
  <c r="AS107" i="10"/>
  <c r="AS155" i="10"/>
  <c r="AS226" i="10"/>
  <c r="AS257" i="10"/>
  <c r="AS289" i="10"/>
  <c r="AS384" i="10"/>
  <c r="AS334" i="10"/>
  <c r="AS430" i="10"/>
  <c r="AS415" i="10"/>
  <c r="AS369" i="10"/>
  <c r="AS385" i="10"/>
  <c r="AS450" i="10"/>
  <c r="AS500" i="10"/>
  <c r="AS546" i="10"/>
  <c r="AS36" i="10"/>
  <c r="AS53" i="10"/>
  <c r="AS28" i="10"/>
  <c r="AS141" i="10"/>
  <c r="AS157" i="10"/>
  <c r="AS61" i="10"/>
  <c r="AS38" i="10"/>
  <c r="AS58" i="10"/>
  <c r="AS165" i="10"/>
  <c r="AS181" i="10"/>
  <c r="AS82" i="10"/>
  <c r="AS98" i="10"/>
  <c r="AS114" i="10"/>
  <c r="AS130" i="10"/>
  <c r="AS146" i="10"/>
  <c r="AS211" i="10"/>
  <c r="AS227" i="10"/>
  <c r="AS147" i="10"/>
  <c r="AS248" i="10"/>
  <c r="AS280" i="10"/>
  <c r="AS76" i="10"/>
  <c r="AS92" i="10"/>
  <c r="AS108" i="10"/>
  <c r="AS140" i="10"/>
  <c r="AS203" i="10"/>
  <c r="AS217" i="10"/>
  <c r="AS233" i="10"/>
  <c r="AS267" i="10"/>
  <c r="AS299" i="10"/>
  <c r="AS364" i="10"/>
  <c r="AS208" i="10"/>
  <c r="AS224" i="10"/>
  <c r="AS240" i="10"/>
  <c r="AS170" i="10"/>
  <c r="AS202" i="10"/>
  <c r="AS327" i="10"/>
  <c r="AS343" i="10"/>
  <c r="AS383" i="10"/>
  <c r="AS336" i="10"/>
  <c r="AS352" i="10"/>
  <c r="AS329" i="10"/>
  <c r="AS370" i="10"/>
  <c r="AS246" i="10"/>
  <c r="AS278" i="10"/>
  <c r="AS326" i="10"/>
  <c r="AS358" i="10"/>
  <c r="AS404" i="10"/>
  <c r="AS390" i="10"/>
  <c r="AS423" i="10"/>
  <c r="AS361" i="10"/>
  <c r="AS377" i="10"/>
  <c r="AS393" i="10"/>
  <c r="AS409" i="10"/>
  <c r="AS425" i="10"/>
  <c r="AS438" i="10"/>
  <c r="AS444" i="10"/>
  <c r="AS478" i="10"/>
  <c r="AS462" i="10"/>
  <c r="AS442" i="10"/>
  <c r="AS459" i="10"/>
  <c r="AS471" i="10"/>
  <c r="AS472" i="10"/>
  <c r="AS505" i="10"/>
  <c r="AS519" i="10"/>
  <c r="AS513" i="10"/>
  <c r="AS510" i="10"/>
  <c r="AS523" i="10"/>
  <c r="AS539" i="10"/>
  <c r="AS557" i="10"/>
  <c r="AS544" i="10"/>
  <c r="AS559" i="10"/>
  <c r="B54" i="10"/>
  <c r="B13" i="10"/>
  <c r="AS21" i="10"/>
  <c r="AS56" i="10"/>
  <c r="AS89" i="10"/>
  <c r="AS105" i="10"/>
  <c r="AS35" i="10"/>
  <c r="AS48" i="10"/>
  <c r="AS142" i="10"/>
  <c r="AS205" i="10"/>
  <c r="AS111" i="10"/>
  <c r="AS175" i="10"/>
  <c r="AS260" i="10"/>
  <c r="AS292" i="10"/>
  <c r="AS372" i="10"/>
  <c r="AS220" i="10"/>
  <c r="AS236" i="10"/>
  <c r="AS182" i="10"/>
  <c r="AS332" i="10"/>
  <c r="AS382" i="10"/>
  <c r="AS290" i="10"/>
  <c r="AS306" i="10"/>
  <c r="AS322" i="10"/>
  <c r="AS338" i="10"/>
  <c r="AS386" i="10"/>
  <c r="AS434" i="10"/>
  <c r="AS445" i="10"/>
  <c r="AS487" i="10"/>
  <c r="AS502" i="10"/>
  <c r="AS515" i="10"/>
  <c r="AS506" i="10"/>
  <c r="AS521" i="10"/>
  <c r="AS503" i="10"/>
  <c r="AS552" i="10"/>
  <c r="AS540" i="10"/>
  <c r="AS560" i="10"/>
  <c r="AM12" i="10"/>
  <c r="AG12" i="10"/>
  <c r="AP12" i="10"/>
  <c r="AJ12" i="10"/>
  <c r="AS47" i="10"/>
  <c r="AS113" i="10"/>
  <c r="AS71" i="10"/>
  <c r="AS102" i="10"/>
  <c r="AS215" i="10"/>
  <c r="AS119" i="10"/>
  <c r="AS183" i="10"/>
  <c r="AS96" i="10"/>
  <c r="AS112" i="10"/>
  <c r="AS144" i="10"/>
  <c r="AS271" i="10"/>
  <c r="AS303" i="10"/>
  <c r="AS367" i="10"/>
  <c r="AS222" i="10"/>
  <c r="AS238" i="10"/>
  <c r="AS253" i="10"/>
  <c r="AS269" i="10"/>
  <c r="AS285" i="10"/>
  <c r="AS308" i="10"/>
  <c r="AS317" i="10"/>
  <c r="AS349" i="10"/>
  <c r="AS266" i="10"/>
  <c r="AS330" i="10"/>
  <c r="AS392" i="10"/>
  <c r="AS395" i="10"/>
  <c r="AS411" i="10"/>
  <c r="AS381" i="10"/>
  <c r="AS466" i="10"/>
  <c r="AS476" i="10"/>
  <c r="AS525" i="10"/>
  <c r="AS514" i="10"/>
  <c r="AS511" i="10"/>
  <c r="AS526" i="10"/>
  <c r="AS545" i="10"/>
  <c r="AS558" i="10"/>
  <c r="AG13" i="10"/>
  <c r="AM13" i="10"/>
  <c r="AP13" i="10"/>
  <c r="AJ13" i="10"/>
  <c r="B51" i="10"/>
  <c r="AS26" i="10"/>
  <c r="AS49" i="10"/>
  <c r="AS66" i="10"/>
  <c r="AS133" i="10"/>
  <c r="AS31" i="10"/>
  <c r="AS79" i="10"/>
  <c r="AS173" i="10"/>
  <c r="AS189" i="10"/>
  <c r="AS106" i="10"/>
  <c r="AS122" i="10"/>
  <c r="AS235" i="10"/>
  <c r="AS123" i="10"/>
  <c r="AS171" i="10"/>
  <c r="AS256" i="10"/>
  <c r="AS288" i="10"/>
  <c r="AS70" i="10"/>
  <c r="AS116" i="10"/>
  <c r="AS148" i="10"/>
  <c r="AS209" i="10"/>
  <c r="AS225" i="10"/>
  <c r="AS241" i="10"/>
  <c r="AS360" i="10"/>
  <c r="AS305" i="10"/>
  <c r="AS351" i="10"/>
  <c r="AS328" i="10"/>
  <c r="AS270" i="10"/>
  <c r="AS302" i="10"/>
  <c r="AS401" i="10"/>
  <c r="AS417" i="10"/>
  <c r="AS452" i="10"/>
  <c r="AS441" i="10"/>
  <c r="AS470" i="10"/>
  <c r="AS467" i="10"/>
  <c r="AS480" i="10"/>
  <c r="AS518" i="10"/>
  <c r="AS556" i="10"/>
  <c r="T8" i="10"/>
  <c r="T12" i="10"/>
  <c r="T13" i="10"/>
  <c r="T7" i="10"/>
  <c r="B16" i="10"/>
  <c r="P15" i="10" s="1"/>
  <c r="B11" i="10"/>
  <c r="B40" i="10"/>
  <c r="B52" i="10" s="1"/>
  <c r="AI537" i="10"/>
  <c r="AH537" i="10"/>
  <c r="AI502" i="10"/>
  <c r="AH502" i="10"/>
  <c r="AH385" i="10"/>
  <c r="AI385" i="10"/>
  <c r="AH336" i="10"/>
  <c r="AI336" i="10"/>
  <c r="AH305" i="10"/>
  <c r="AI305" i="10"/>
  <c r="AH269" i="10"/>
  <c r="AI269" i="10"/>
  <c r="AH245" i="10"/>
  <c r="AI245" i="10"/>
  <c r="AI226" i="10"/>
  <c r="AH226" i="10"/>
  <c r="AI155" i="10"/>
  <c r="AH155" i="10"/>
  <c r="AH118" i="10"/>
  <c r="AI118" i="10"/>
  <c r="AH200" i="10"/>
  <c r="AI200" i="10"/>
  <c r="AI22" i="10"/>
  <c r="AH22" i="10"/>
  <c r="AH558" i="10"/>
  <c r="AI558" i="10"/>
  <c r="AH497" i="10"/>
  <c r="AI497" i="10"/>
  <c r="AI490" i="10"/>
  <c r="AH490" i="10"/>
  <c r="AH429" i="10"/>
  <c r="AI429" i="10"/>
  <c r="AI396" i="10"/>
  <c r="AH396" i="10"/>
  <c r="AH348" i="10"/>
  <c r="AI348" i="10"/>
  <c r="AI193" i="10"/>
  <c r="AH193" i="10"/>
  <c r="AH276" i="10"/>
  <c r="AI276" i="10"/>
  <c r="AI238" i="10"/>
  <c r="AH238" i="10"/>
  <c r="AH208" i="10"/>
  <c r="AI208" i="10"/>
  <c r="AI174" i="10"/>
  <c r="AH174" i="10"/>
  <c r="AH130" i="10"/>
  <c r="AI130" i="10"/>
  <c r="AH42" i="10"/>
  <c r="AI42" i="10"/>
  <c r="AH40" i="10"/>
  <c r="AI40" i="10"/>
  <c r="AI535" i="10"/>
  <c r="AH535" i="10"/>
  <c r="AH471" i="10"/>
  <c r="AI471" i="10"/>
  <c r="AI400" i="10"/>
  <c r="AH400" i="10"/>
  <c r="AI321" i="10"/>
  <c r="AH321" i="10"/>
  <c r="AH281" i="10"/>
  <c r="AI281" i="10"/>
  <c r="AI519" i="10"/>
  <c r="AH519" i="10"/>
  <c r="AI506" i="10"/>
  <c r="AH506" i="10"/>
  <c r="AI456" i="10"/>
  <c r="AH456" i="10"/>
  <c r="AI426" i="10"/>
  <c r="AH426" i="10"/>
  <c r="AH393" i="10"/>
  <c r="AI393" i="10"/>
  <c r="AI392" i="10"/>
  <c r="AH392" i="10"/>
  <c r="AI349" i="10"/>
  <c r="AH349" i="10"/>
  <c r="AI317" i="10"/>
  <c r="AH317" i="10"/>
  <c r="AH312" i="10"/>
  <c r="AI312" i="10"/>
  <c r="AH387" i="10"/>
  <c r="AI387" i="10"/>
  <c r="AI218" i="10"/>
  <c r="AH218" i="10"/>
  <c r="AI117" i="10"/>
  <c r="AH117" i="10"/>
  <c r="AI101" i="10"/>
  <c r="AH101" i="10"/>
  <c r="AI147" i="10"/>
  <c r="AH147" i="10"/>
  <c r="AH142" i="10"/>
  <c r="AI142" i="10"/>
  <c r="AH78" i="10"/>
  <c r="AI78" i="10"/>
  <c r="AI64" i="10"/>
  <c r="AH64" i="10"/>
  <c r="AH30" i="10"/>
  <c r="AI30" i="10"/>
  <c r="AH530" i="10"/>
  <c r="AI530" i="10"/>
  <c r="AI329" i="10"/>
  <c r="AH329" i="10"/>
  <c r="AH261" i="10"/>
  <c r="AI261" i="10"/>
  <c r="AH538" i="10"/>
  <c r="AI538" i="10"/>
  <c r="AI514" i="10"/>
  <c r="AH514" i="10"/>
  <c r="AI494" i="10"/>
  <c r="AH494" i="10"/>
  <c r="AI451" i="10"/>
  <c r="AH451" i="10"/>
  <c r="AH444" i="10"/>
  <c r="AI444" i="10"/>
  <c r="AH405" i="10"/>
  <c r="AI405" i="10"/>
  <c r="AI388" i="10"/>
  <c r="AH388" i="10"/>
  <c r="AH356" i="10"/>
  <c r="AI356" i="10"/>
  <c r="AH241" i="10"/>
  <c r="AI241" i="10"/>
  <c r="AH373" i="10"/>
  <c r="AI373" i="10"/>
  <c r="AH288" i="10"/>
  <c r="AI288" i="10"/>
  <c r="AH256" i="10"/>
  <c r="AI256" i="10"/>
  <c r="AI85" i="10"/>
  <c r="AH85" i="10"/>
  <c r="AI194" i="10"/>
  <c r="AH194" i="10"/>
  <c r="AH154" i="10"/>
  <c r="AI154" i="10"/>
  <c r="AH98" i="10"/>
  <c r="AI98" i="10"/>
  <c r="AI19" i="10"/>
  <c r="AH19" i="10"/>
  <c r="AI39" i="10"/>
  <c r="AH39" i="10"/>
  <c r="AH88" i="10"/>
  <c r="AI88" i="10"/>
  <c r="AI44" i="10"/>
  <c r="AH44" i="10"/>
  <c r="AI55" i="10"/>
  <c r="AH55" i="10"/>
  <c r="AI104" i="10"/>
  <c r="AH104" i="10"/>
  <c r="AI120" i="10"/>
  <c r="AH120" i="10"/>
  <c r="AI136" i="10"/>
  <c r="AH136" i="10"/>
  <c r="AI152" i="10"/>
  <c r="AH152" i="10"/>
  <c r="AI48" i="10"/>
  <c r="AH48" i="10"/>
  <c r="AH76" i="10"/>
  <c r="AI76" i="10"/>
  <c r="AH164" i="10"/>
  <c r="AI164" i="10"/>
  <c r="AI206" i="10"/>
  <c r="AH206" i="10"/>
  <c r="AI202" i="10"/>
  <c r="AH202" i="10"/>
  <c r="AH172" i="10"/>
  <c r="AI172" i="10"/>
  <c r="AI26" i="10"/>
  <c r="AH26" i="10"/>
  <c r="AI149" i="10"/>
  <c r="AH149" i="10"/>
  <c r="AI247" i="10"/>
  <c r="AH247" i="10"/>
  <c r="AI263" i="10"/>
  <c r="AH263" i="10"/>
  <c r="AI279" i="10"/>
  <c r="AH279" i="10"/>
  <c r="AI295" i="10"/>
  <c r="AH295" i="10"/>
  <c r="AH224" i="10"/>
  <c r="AI224" i="10"/>
  <c r="AH240" i="10"/>
  <c r="AI240" i="10"/>
  <c r="AH254" i="10"/>
  <c r="AI254" i="10"/>
  <c r="AH270" i="10"/>
  <c r="AI270" i="10"/>
  <c r="AH286" i="10"/>
  <c r="AI286" i="10"/>
  <c r="AI67" i="10"/>
  <c r="AH67" i="10"/>
  <c r="AI87" i="10"/>
  <c r="AH87" i="10"/>
  <c r="AI103" i="10"/>
  <c r="AH103" i="10"/>
  <c r="AI119" i="10"/>
  <c r="AH119" i="10"/>
  <c r="AI171" i="10"/>
  <c r="AH171" i="10"/>
  <c r="AI187" i="10"/>
  <c r="AH187" i="10"/>
  <c r="AI318" i="10"/>
  <c r="AH318" i="10"/>
  <c r="AI334" i="10"/>
  <c r="AH334" i="10"/>
  <c r="AI350" i="10"/>
  <c r="AH350" i="10"/>
  <c r="AH302" i="10"/>
  <c r="AI302" i="10"/>
  <c r="AI203" i="10"/>
  <c r="AH203" i="10"/>
  <c r="AI219" i="10"/>
  <c r="AH219" i="10"/>
  <c r="AI235" i="10"/>
  <c r="AH235" i="10"/>
  <c r="AH367" i="10"/>
  <c r="AI367" i="10"/>
  <c r="AI315" i="10"/>
  <c r="AH315" i="10"/>
  <c r="AI331" i="10"/>
  <c r="AH331" i="10"/>
  <c r="AI347" i="10"/>
  <c r="AH347" i="10"/>
  <c r="AI362" i="10"/>
  <c r="AH362" i="10"/>
  <c r="AH436" i="10"/>
  <c r="AI436" i="10"/>
  <c r="AH379" i="10"/>
  <c r="AI379" i="10"/>
  <c r="AH399" i="10"/>
  <c r="AI399" i="10"/>
  <c r="AH415" i="10"/>
  <c r="AI415" i="10"/>
  <c r="AI370" i="10"/>
  <c r="AH370" i="10"/>
  <c r="AH455" i="10"/>
  <c r="AI455" i="10"/>
  <c r="AI450" i="10"/>
  <c r="AH450" i="10"/>
  <c r="AI398" i="10"/>
  <c r="AH398" i="10"/>
  <c r="AI414" i="10"/>
  <c r="AH414" i="10"/>
  <c r="AI481" i="10"/>
  <c r="AH481" i="10"/>
  <c r="AH467" i="10"/>
  <c r="AI467" i="10"/>
  <c r="AI445" i="10"/>
  <c r="AH445" i="10"/>
  <c r="AI458" i="10"/>
  <c r="AH458" i="10"/>
  <c r="AI488" i="10"/>
  <c r="AH488" i="10"/>
  <c r="AI478" i="10"/>
  <c r="AH478" i="10"/>
  <c r="AH495" i="10"/>
  <c r="AI495" i="10"/>
  <c r="AI528" i="10"/>
  <c r="AH528" i="10"/>
  <c r="AH518" i="10"/>
  <c r="AI518" i="10"/>
  <c r="AI521" i="10"/>
  <c r="AH521" i="10"/>
  <c r="AI540" i="10"/>
  <c r="AH540" i="10"/>
  <c r="AH544" i="10"/>
  <c r="AI544" i="10"/>
  <c r="AI545" i="10"/>
  <c r="AH545" i="10"/>
  <c r="AQ560" i="10"/>
  <c r="AR560" i="10"/>
  <c r="AR521" i="10"/>
  <c r="AQ521" i="10"/>
  <c r="AR441" i="10"/>
  <c r="AQ441" i="10"/>
  <c r="AQ330" i="10"/>
  <c r="AR330" i="10"/>
  <c r="AR308" i="10"/>
  <c r="AQ308" i="10"/>
  <c r="AR288" i="10"/>
  <c r="AQ288" i="10"/>
  <c r="AR256" i="10"/>
  <c r="AQ256" i="10"/>
  <c r="AR171" i="10"/>
  <c r="AQ171" i="10"/>
  <c r="AR123" i="10"/>
  <c r="AQ123" i="10"/>
  <c r="AQ31" i="10"/>
  <c r="AR31" i="10"/>
  <c r="AQ48" i="10"/>
  <c r="AR48" i="10"/>
  <c r="AR129" i="10"/>
  <c r="AQ129" i="10"/>
  <c r="AR77" i="10"/>
  <c r="AQ77" i="10"/>
  <c r="AR29" i="10"/>
  <c r="AQ29" i="10"/>
  <c r="AR552" i="10"/>
  <c r="AQ552" i="10"/>
  <c r="AR517" i="10"/>
  <c r="AQ517" i="10"/>
  <c r="AR497" i="10"/>
  <c r="AQ497" i="10"/>
  <c r="AR454" i="10"/>
  <c r="AQ454" i="10"/>
  <c r="AR408" i="10"/>
  <c r="AQ408" i="10"/>
  <c r="AQ423" i="10"/>
  <c r="AR423" i="10"/>
  <c r="AQ437" i="10"/>
  <c r="AR437" i="10"/>
  <c r="AR374" i="10"/>
  <c r="AQ374" i="10"/>
  <c r="AR447" i="10"/>
  <c r="AQ447" i="10"/>
  <c r="AR333" i="10"/>
  <c r="AQ333" i="10"/>
  <c r="AQ432" i="10"/>
  <c r="AR432" i="10"/>
  <c r="AR336" i="10"/>
  <c r="AQ336" i="10"/>
  <c r="AQ287" i="10"/>
  <c r="AR287" i="10"/>
  <c r="AQ255" i="10"/>
  <c r="AR255" i="10"/>
  <c r="AR331" i="10"/>
  <c r="AQ331" i="10"/>
  <c r="AR211" i="10"/>
  <c r="AQ211" i="10"/>
  <c r="AQ132" i="10"/>
  <c r="AR132" i="10"/>
  <c r="AQ100" i="10"/>
  <c r="AR100" i="10"/>
  <c r="AR159" i="10"/>
  <c r="AQ159" i="10"/>
  <c r="AQ84" i="10"/>
  <c r="AR84" i="10"/>
  <c r="AR204" i="10"/>
  <c r="AQ204" i="10"/>
  <c r="AQ170" i="10"/>
  <c r="AR170" i="10"/>
  <c r="AR60" i="10"/>
  <c r="AQ60" i="10"/>
  <c r="AR141" i="10"/>
  <c r="AQ141" i="10"/>
  <c r="AQ78" i="10"/>
  <c r="AR78" i="10"/>
  <c r="AR38" i="10"/>
  <c r="AQ38" i="10"/>
  <c r="AR53" i="10"/>
  <c r="AQ53" i="10"/>
  <c r="AR531" i="10"/>
  <c r="AQ531" i="10"/>
  <c r="AR474" i="10"/>
  <c r="AQ474" i="10"/>
  <c r="AR378" i="10"/>
  <c r="AQ378" i="10"/>
  <c r="AQ436" i="10"/>
  <c r="AR436" i="10"/>
  <c r="AQ548" i="10"/>
  <c r="AR548" i="10"/>
  <c r="AR549" i="10"/>
  <c r="AQ549" i="10"/>
  <c r="AQ520" i="10"/>
  <c r="AR520" i="10"/>
  <c r="AR483" i="10"/>
  <c r="AQ483" i="10"/>
  <c r="AR482" i="10"/>
  <c r="AQ482" i="10"/>
  <c r="AQ403" i="10"/>
  <c r="AR403" i="10"/>
  <c r="AR418" i="10"/>
  <c r="AQ418" i="10"/>
  <c r="AQ358" i="10"/>
  <c r="AR358" i="10"/>
  <c r="AQ326" i="10"/>
  <c r="AR326" i="10"/>
  <c r="AQ361" i="10"/>
  <c r="AR361" i="10"/>
  <c r="AQ377" i="10"/>
  <c r="AR377" i="10"/>
  <c r="AR327" i="10"/>
  <c r="AQ327" i="10"/>
  <c r="AR223" i="10"/>
  <c r="AQ223" i="10"/>
  <c r="AR276" i="10"/>
  <c r="AQ276" i="10"/>
  <c r="AQ195" i="10"/>
  <c r="AR195" i="10"/>
  <c r="AQ208" i="10"/>
  <c r="AR208" i="10"/>
  <c r="AQ33" i="10"/>
  <c r="AR33" i="10"/>
  <c r="AR196" i="10"/>
  <c r="AQ196" i="10"/>
  <c r="AQ58" i="10"/>
  <c r="AR58" i="10"/>
  <c r="AR153" i="10"/>
  <c r="AQ153" i="10"/>
  <c r="AQ90" i="10"/>
  <c r="AR90" i="10"/>
  <c r="AR44" i="10"/>
  <c r="AQ44" i="10"/>
  <c r="AR513" i="10"/>
  <c r="AQ513" i="10"/>
  <c r="AQ492" i="10"/>
  <c r="AR492" i="10"/>
  <c r="AR410" i="10"/>
  <c r="AQ410" i="10"/>
  <c r="AR300" i="10"/>
  <c r="AQ300" i="10"/>
  <c r="AQ559" i="10"/>
  <c r="AR559" i="10"/>
  <c r="AQ536" i="10"/>
  <c r="AR536" i="10"/>
  <c r="AQ528" i="10"/>
  <c r="AR528" i="10"/>
  <c r="AR510" i="10"/>
  <c r="AQ510" i="10"/>
  <c r="AQ485" i="10"/>
  <c r="AR485" i="10"/>
  <c r="AR501" i="10"/>
  <c r="AQ501" i="10"/>
  <c r="AR458" i="10"/>
  <c r="AQ458" i="10"/>
  <c r="AR412" i="10"/>
  <c r="AQ412" i="10"/>
  <c r="AQ415" i="10"/>
  <c r="AR415" i="10"/>
  <c r="AR430" i="10"/>
  <c r="AQ430" i="10"/>
  <c r="AR435" i="10"/>
  <c r="AQ435" i="10"/>
  <c r="AQ369" i="10"/>
  <c r="AR369" i="10"/>
  <c r="AR337" i="10"/>
  <c r="AQ337" i="10"/>
  <c r="AR307" i="10"/>
  <c r="AQ307" i="10"/>
  <c r="AR312" i="10"/>
  <c r="AQ312" i="10"/>
  <c r="AQ275" i="10"/>
  <c r="AR275" i="10"/>
  <c r="AR355" i="10"/>
  <c r="AQ355" i="10"/>
  <c r="AR219" i="10"/>
  <c r="AQ219" i="10"/>
  <c r="AQ136" i="10"/>
  <c r="AR136" i="10"/>
  <c r="AQ104" i="10"/>
  <c r="AR104" i="10"/>
  <c r="AR151" i="10"/>
  <c r="AQ151" i="10"/>
  <c r="AQ92" i="10"/>
  <c r="AR92" i="10"/>
  <c r="AR28" i="10"/>
  <c r="AQ28" i="10"/>
  <c r="AQ174" i="10"/>
  <c r="AR174" i="10"/>
  <c r="AR63" i="10"/>
  <c r="AQ63" i="10"/>
  <c r="AR117" i="10"/>
  <c r="AQ117" i="10"/>
  <c r="AR52" i="10"/>
  <c r="AQ52" i="10"/>
  <c r="AR46" i="10"/>
  <c r="AQ46" i="10"/>
  <c r="AR30" i="10"/>
  <c r="AQ30" i="10"/>
  <c r="AR34" i="10"/>
  <c r="AQ34" i="10"/>
  <c r="AQ250" i="10"/>
  <c r="AR250" i="10"/>
  <c r="AR61" i="10"/>
  <c r="AQ61" i="10"/>
  <c r="AR176" i="10"/>
  <c r="AQ176" i="10"/>
  <c r="AR192" i="10"/>
  <c r="AQ192" i="10"/>
  <c r="AR134" i="10"/>
  <c r="AQ134" i="10"/>
  <c r="AQ246" i="10"/>
  <c r="AR246" i="10"/>
  <c r="AQ278" i="10"/>
  <c r="AR278" i="10"/>
  <c r="AR110" i="10"/>
  <c r="AQ110" i="10"/>
  <c r="AR126" i="10"/>
  <c r="AQ126" i="10"/>
  <c r="AR146" i="10"/>
  <c r="AQ146" i="10"/>
  <c r="AQ202" i="10"/>
  <c r="AR202" i="10"/>
  <c r="AQ224" i="10"/>
  <c r="AR224" i="10"/>
  <c r="AQ240" i="10"/>
  <c r="AR240" i="10"/>
  <c r="AR177" i="10"/>
  <c r="AQ177" i="10"/>
  <c r="AR193" i="10"/>
  <c r="AQ193" i="10"/>
  <c r="AQ210" i="10"/>
  <c r="AR210" i="10"/>
  <c r="AQ226" i="10"/>
  <c r="AR226" i="10"/>
  <c r="AQ242" i="10"/>
  <c r="AR242" i="10"/>
  <c r="AR257" i="10"/>
  <c r="AQ257" i="10"/>
  <c r="AR273" i="10"/>
  <c r="AQ273" i="10"/>
  <c r="AR289" i="10"/>
  <c r="AQ289" i="10"/>
  <c r="AR213" i="10"/>
  <c r="AQ213" i="10"/>
  <c r="AR229" i="10"/>
  <c r="AQ229" i="10"/>
  <c r="AQ371" i="10"/>
  <c r="AR371" i="10"/>
  <c r="AQ389" i="10"/>
  <c r="AR389" i="10"/>
  <c r="AQ405" i="10"/>
  <c r="AR405" i="10"/>
  <c r="AQ421" i="10"/>
  <c r="AR421" i="10"/>
  <c r="AQ375" i="10"/>
  <c r="AR375" i="10"/>
  <c r="AQ385" i="10"/>
  <c r="AR385" i="10"/>
  <c r="AR440" i="10"/>
  <c r="AQ440" i="10"/>
  <c r="AR455" i="10"/>
  <c r="AQ455" i="10"/>
  <c r="AR471" i="10"/>
  <c r="AQ471" i="10"/>
  <c r="AR489" i="10"/>
  <c r="AQ489" i="10"/>
  <c r="AQ495" i="10"/>
  <c r="AR495" i="10"/>
  <c r="AR519" i="10"/>
  <c r="AQ519" i="10"/>
  <c r="AQ544" i="10"/>
  <c r="AR544" i="10"/>
  <c r="AI533" i="10"/>
  <c r="AH533" i="10"/>
  <c r="AI461" i="10"/>
  <c r="AH461" i="10"/>
  <c r="AI353" i="10"/>
  <c r="AH353" i="10"/>
  <c r="AH320" i="10"/>
  <c r="AI320" i="10"/>
  <c r="AH297" i="10"/>
  <c r="AI297" i="10"/>
  <c r="AH257" i="10"/>
  <c r="AI257" i="10"/>
  <c r="AI181" i="10"/>
  <c r="AH181" i="10"/>
  <c r="AI210" i="10"/>
  <c r="AH210" i="10"/>
  <c r="AI139" i="10"/>
  <c r="AH139" i="10"/>
  <c r="AH102" i="10"/>
  <c r="AI102" i="10"/>
  <c r="AI66" i="10"/>
  <c r="AH66" i="10"/>
  <c r="AH34" i="10"/>
  <c r="AI34" i="10"/>
  <c r="AH553" i="10"/>
  <c r="AI553" i="10"/>
  <c r="AH487" i="10"/>
  <c r="AI487" i="10"/>
  <c r="AH483" i="10"/>
  <c r="AI483" i="10"/>
  <c r="AH413" i="10"/>
  <c r="AI413" i="10"/>
  <c r="AH380" i="10"/>
  <c r="AI380" i="10"/>
  <c r="AH332" i="10"/>
  <c r="AI332" i="10"/>
  <c r="AH217" i="10"/>
  <c r="AI217" i="10"/>
  <c r="AI177" i="10"/>
  <c r="AH177" i="10"/>
  <c r="AH268" i="10"/>
  <c r="AI268" i="10"/>
  <c r="AI222" i="10"/>
  <c r="AH222" i="10"/>
  <c r="AI151" i="10"/>
  <c r="AH151" i="10"/>
  <c r="AI62" i="10"/>
  <c r="AH62" i="10"/>
  <c r="AI166" i="10"/>
  <c r="AH166" i="10"/>
  <c r="AH114" i="10"/>
  <c r="AI114" i="10"/>
  <c r="AI35" i="10"/>
  <c r="AH35" i="10"/>
  <c r="AH69" i="10"/>
  <c r="AI69" i="10"/>
  <c r="AI520" i="10"/>
  <c r="AH520" i="10"/>
  <c r="AH440" i="10"/>
  <c r="AI440" i="10"/>
  <c r="AI384" i="10"/>
  <c r="AH384" i="10"/>
  <c r="AI205" i="10"/>
  <c r="AH205" i="10"/>
  <c r="AH265" i="10"/>
  <c r="AI265" i="10"/>
  <c r="AI527" i="10"/>
  <c r="AH527" i="10"/>
  <c r="AI498" i="10"/>
  <c r="AH498" i="10"/>
  <c r="AI480" i="10"/>
  <c r="AH480" i="10"/>
  <c r="AI422" i="10"/>
  <c r="AH422" i="10"/>
  <c r="AI465" i="10"/>
  <c r="AH465" i="10"/>
  <c r="AH376" i="10"/>
  <c r="AI376" i="10"/>
  <c r="AI341" i="10"/>
  <c r="AH341" i="10"/>
  <c r="AI309" i="10"/>
  <c r="AH309" i="10"/>
  <c r="AH229" i="10"/>
  <c r="AI229" i="10"/>
  <c r="AI189" i="10"/>
  <c r="AH189" i="10"/>
  <c r="AI129" i="10"/>
  <c r="AH129" i="10"/>
  <c r="AI113" i="10"/>
  <c r="AH113" i="10"/>
  <c r="AI97" i="10"/>
  <c r="AH97" i="10"/>
  <c r="AI131" i="10"/>
  <c r="AH131" i="10"/>
  <c r="AH126" i="10"/>
  <c r="AI126" i="10"/>
  <c r="AH56" i="10"/>
  <c r="AI56" i="10"/>
  <c r="AI52" i="10"/>
  <c r="AH52" i="10"/>
  <c r="AH57" i="10"/>
  <c r="AI57" i="10"/>
  <c r="AI510" i="10"/>
  <c r="AH510" i="10"/>
  <c r="AH301" i="10"/>
  <c r="AI301" i="10"/>
  <c r="AI550" i="10"/>
  <c r="AH550" i="10"/>
  <c r="AI515" i="10"/>
  <c r="AH515" i="10"/>
  <c r="AH509" i="10"/>
  <c r="AI509" i="10"/>
  <c r="AI468" i="10"/>
  <c r="AH468" i="10"/>
  <c r="AI447" i="10"/>
  <c r="AH447" i="10"/>
  <c r="AI430" i="10"/>
  <c r="AH430" i="10"/>
  <c r="AH389" i="10"/>
  <c r="AI389" i="10"/>
  <c r="AH372" i="10"/>
  <c r="AI372" i="10"/>
  <c r="AH340" i="10"/>
  <c r="AI340" i="10"/>
  <c r="AH225" i="10"/>
  <c r="AI225" i="10"/>
  <c r="AI185" i="10"/>
  <c r="AH185" i="10"/>
  <c r="AH280" i="10"/>
  <c r="AI280" i="10"/>
  <c r="AH248" i="10"/>
  <c r="AI248" i="10"/>
  <c r="AI159" i="10"/>
  <c r="AH159" i="10"/>
  <c r="AI186" i="10"/>
  <c r="AH186" i="10"/>
  <c r="AH138" i="10"/>
  <c r="AI138" i="10"/>
  <c r="AH82" i="10"/>
  <c r="AI82" i="10"/>
  <c r="AH23" i="10"/>
  <c r="AI23" i="10"/>
  <c r="AH168" i="10"/>
  <c r="AI168" i="10"/>
  <c r="AI46" i="10"/>
  <c r="AH46" i="10"/>
  <c r="AI59" i="10"/>
  <c r="AH59" i="10"/>
  <c r="AI108" i="10"/>
  <c r="AH108" i="10"/>
  <c r="AI124" i="10"/>
  <c r="AH124" i="10"/>
  <c r="AI140" i="10"/>
  <c r="AH140" i="10"/>
  <c r="AI156" i="10"/>
  <c r="AH156" i="10"/>
  <c r="AI63" i="10"/>
  <c r="AH63" i="10"/>
  <c r="AH80" i="10"/>
  <c r="AI80" i="10"/>
  <c r="AH180" i="10"/>
  <c r="AI180" i="10"/>
  <c r="AI20" i="10"/>
  <c r="AH20" i="10"/>
  <c r="AI58" i="10"/>
  <c r="AH58" i="10"/>
  <c r="AH176" i="10"/>
  <c r="AI176" i="10"/>
  <c r="AI137" i="10"/>
  <c r="AH137" i="10"/>
  <c r="AI153" i="10"/>
  <c r="AH153" i="10"/>
  <c r="AI251" i="10"/>
  <c r="AH251" i="10"/>
  <c r="AI267" i="10"/>
  <c r="AH267" i="10"/>
  <c r="AI283" i="10"/>
  <c r="AH283" i="10"/>
  <c r="AH212" i="10"/>
  <c r="AI212" i="10"/>
  <c r="AH228" i="10"/>
  <c r="AI228" i="10"/>
  <c r="AH244" i="10"/>
  <c r="AI244" i="10"/>
  <c r="AH258" i="10"/>
  <c r="AI258" i="10"/>
  <c r="AH274" i="10"/>
  <c r="AI274" i="10"/>
  <c r="AH290" i="10"/>
  <c r="AI290" i="10"/>
  <c r="AI75" i="10"/>
  <c r="AH75" i="10"/>
  <c r="AI91" i="10"/>
  <c r="AH91" i="10"/>
  <c r="AI107" i="10"/>
  <c r="AH107" i="10"/>
  <c r="AI123" i="10"/>
  <c r="AH123" i="10"/>
  <c r="AI175" i="10"/>
  <c r="AH175" i="10"/>
  <c r="AI191" i="10"/>
  <c r="AH191" i="10"/>
  <c r="AI322" i="10"/>
  <c r="AH322" i="10"/>
  <c r="AI338" i="10"/>
  <c r="AH338" i="10"/>
  <c r="AI354" i="10"/>
  <c r="AH354" i="10"/>
  <c r="AI303" i="10"/>
  <c r="AH303" i="10"/>
  <c r="AI207" i="10"/>
  <c r="AH207" i="10"/>
  <c r="AI223" i="10"/>
  <c r="AH223" i="10"/>
  <c r="AI239" i="10"/>
  <c r="AH239" i="10"/>
  <c r="AI306" i="10"/>
  <c r="AH306" i="10"/>
  <c r="AI319" i="10"/>
  <c r="AH319" i="10"/>
  <c r="AI335" i="10"/>
  <c r="AH335" i="10"/>
  <c r="AI351" i="10"/>
  <c r="AH351" i="10"/>
  <c r="AI366" i="10"/>
  <c r="AH366" i="10"/>
  <c r="AI437" i="10"/>
  <c r="AH437" i="10"/>
  <c r="AH383" i="10"/>
  <c r="AI383" i="10"/>
  <c r="AH403" i="10"/>
  <c r="AI403" i="10"/>
  <c r="AH419" i="10"/>
  <c r="AI419" i="10"/>
  <c r="AI374" i="10"/>
  <c r="AH374" i="10"/>
  <c r="AI438" i="10"/>
  <c r="AH438" i="10"/>
  <c r="AI386" i="10"/>
  <c r="AH386" i="10"/>
  <c r="AI402" i="10"/>
  <c r="AH402" i="10"/>
  <c r="AI418" i="10"/>
  <c r="AH418" i="10"/>
  <c r="AI485" i="10"/>
  <c r="AH485" i="10"/>
  <c r="AI428" i="10"/>
  <c r="AH428" i="10"/>
  <c r="AI449" i="10"/>
  <c r="AH449" i="10"/>
  <c r="AI462" i="10"/>
  <c r="AH462" i="10"/>
  <c r="AI492" i="10"/>
  <c r="AH492" i="10"/>
  <c r="AI482" i="10"/>
  <c r="AH482" i="10"/>
  <c r="AI511" i="10"/>
  <c r="AH511" i="10"/>
  <c r="AH499" i="10"/>
  <c r="AI499" i="10"/>
  <c r="AI508" i="10"/>
  <c r="AH508" i="10"/>
  <c r="AI525" i="10"/>
  <c r="AH525" i="10"/>
  <c r="AI548" i="10"/>
  <c r="AH548" i="10"/>
  <c r="AI555" i="10"/>
  <c r="AH555" i="10"/>
  <c r="AI549" i="10"/>
  <c r="AH549" i="10"/>
  <c r="AR546" i="10"/>
  <c r="AQ546" i="10"/>
  <c r="AQ487" i="10"/>
  <c r="AR487" i="10"/>
  <c r="AR394" i="10"/>
  <c r="AQ394" i="10"/>
  <c r="AQ314" i="10"/>
  <c r="AR314" i="10"/>
  <c r="AQ387" i="10"/>
  <c r="AR387" i="10"/>
  <c r="AR280" i="10"/>
  <c r="AQ280" i="10"/>
  <c r="AR248" i="10"/>
  <c r="AQ248" i="10"/>
  <c r="AR155" i="10"/>
  <c r="AQ155" i="10"/>
  <c r="AR107" i="10"/>
  <c r="AQ107" i="10"/>
  <c r="AR91" i="10"/>
  <c r="AQ91" i="10"/>
  <c r="AQ19" i="10"/>
  <c r="AR19" i="10"/>
  <c r="AR113" i="10"/>
  <c r="AQ113" i="10"/>
  <c r="AR56" i="10"/>
  <c r="AQ56" i="10"/>
  <c r="AR538" i="10"/>
  <c r="AQ538" i="10"/>
  <c r="AR504" i="10"/>
  <c r="AQ504" i="10"/>
  <c r="AQ493" i="10"/>
  <c r="AR493" i="10"/>
  <c r="AQ446" i="10"/>
  <c r="AR446" i="10"/>
  <c r="AR400" i="10"/>
  <c r="AQ400" i="10"/>
  <c r="AQ407" i="10"/>
  <c r="AR407" i="10"/>
  <c r="AR422" i="10"/>
  <c r="AQ422" i="10"/>
  <c r="AR428" i="10"/>
  <c r="AQ428" i="10"/>
  <c r="AR357" i="10"/>
  <c r="AQ357" i="10"/>
  <c r="AR325" i="10"/>
  <c r="AQ325" i="10"/>
  <c r="AR368" i="10"/>
  <c r="AQ368" i="10"/>
  <c r="AR320" i="10"/>
  <c r="AQ320" i="10"/>
  <c r="AQ279" i="10"/>
  <c r="AR279" i="10"/>
  <c r="AQ247" i="10"/>
  <c r="AR247" i="10"/>
  <c r="AR315" i="10"/>
  <c r="AQ315" i="10"/>
  <c r="AQ156" i="10"/>
  <c r="AR156" i="10"/>
  <c r="AQ124" i="10"/>
  <c r="AR124" i="10"/>
  <c r="AQ199" i="10"/>
  <c r="AR199" i="10"/>
  <c r="AR143" i="10"/>
  <c r="AQ143" i="10"/>
  <c r="AQ41" i="10"/>
  <c r="AR41" i="10"/>
  <c r="AQ194" i="10"/>
  <c r="AR194" i="10"/>
  <c r="AR95" i="10"/>
  <c r="AQ95" i="10"/>
  <c r="AR22" i="10"/>
  <c r="AQ22" i="10"/>
  <c r="AR125" i="10"/>
  <c r="AQ125" i="10"/>
  <c r="AR57" i="10"/>
  <c r="AQ57" i="10"/>
  <c r="AR73" i="10"/>
  <c r="AQ73" i="10"/>
  <c r="AR62" i="10"/>
  <c r="AQ62" i="10"/>
  <c r="AR488" i="10"/>
  <c r="AQ488" i="10"/>
  <c r="AR424" i="10"/>
  <c r="AQ424" i="10"/>
  <c r="AR366" i="10"/>
  <c r="AQ366" i="10"/>
  <c r="AR324" i="10"/>
  <c r="AQ324" i="10"/>
  <c r="AR553" i="10"/>
  <c r="AQ553" i="10"/>
  <c r="AQ532" i="10"/>
  <c r="AR532" i="10"/>
  <c r="AR484" i="10"/>
  <c r="AQ484" i="10"/>
  <c r="AR508" i="10"/>
  <c r="AQ508" i="10"/>
  <c r="AR468" i="10"/>
  <c r="AQ468" i="10"/>
  <c r="AQ461" i="10"/>
  <c r="AR461" i="10"/>
  <c r="AR402" i="10"/>
  <c r="AQ402" i="10"/>
  <c r="AQ350" i="10"/>
  <c r="AR350" i="10"/>
  <c r="AQ318" i="10"/>
  <c r="AR318" i="10"/>
  <c r="AR348" i="10"/>
  <c r="AQ348" i="10"/>
  <c r="AQ304" i="10"/>
  <c r="AR304" i="10"/>
  <c r="AR311" i="10"/>
  <c r="AQ311" i="10"/>
  <c r="AR244" i="10"/>
  <c r="AQ244" i="10"/>
  <c r="AR268" i="10"/>
  <c r="AQ268" i="10"/>
  <c r="AR179" i="10"/>
  <c r="AQ179" i="10"/>
  <c r="AR115" i="10"/>
  <c r="AQ115" i="10"/>
  <c r="AQ23" i="10"/>
  <c r="AR23" i="10"/>
  <c r="AR99" i="10"/>
  <c r="AQ99" i="10"/>
  <c r="AQ43" i="10"/>
  <c r="AR43" i="10"/>
  <c r="AR137" i="10"/>
  <c r="AQ137" i="10"/>
  <c r="AQ74" i="10"/>
  <c r="AR74" i="10"/>
  <c r="AR24" i="10"/>
  <c r="AQ24" i="10"/>
  <c r="AR529" i="10"/>
  <c r="AQ529" i="10"/>
  <c r="AQ496" i="10"/>
  <c r="AR496" i="10"/>
  <c r="AR376" i="10"/>
  <c r="AQ376" i="10"/>
  <c r="AQ373" i="10"/>
  <c r="AR373" i="10"/>
  <c r="AR557" i="10"/>
  <c r="AQ557" i="10"/>
  <c r="AR550" i="10"/>
  <c r="AQ550" i="10"/>
  <c r="AR537" i="10"/>
  <c r="AQ537" i="10"/>
  <c r="AR509" i="10"/>
  <c r="AQ509" i="10"/>
  <c r="AQ481" i="10"/>
  <c r="AR481" i="10"/>
  <c r="AR494" i="10"/>
  <c r="AQ494" i="10"/>
  <c r="AR478" i="10"/>
  <c r="AQ478" i="10"/>
  <c r="AR404" i="10"/>
  <c r="AQ404" i="10"/>
  <c r="AQ399" i="10"/>
  <c r="AR399" i="10"/>
  <c r="AR414" i="10"/>
  <c r="AQ414" i="10"/>
  <c r="AQ438" i="10"/>
  <c r="AR438" i="10"/>
  <c r="AQ365" i="10"/>
  <c r="AR365" i="10"/>
  <c r="AR329" i="10"/>
  <c r="AQ329" i="10"/>
  <c r="AR364" i="10"/>
  <c r="AQ364" i="10"/>
  <c r="AQ299" i="10"/>
  <c r="AR299" i="10"/>
  <c r="AQ267" i="10"/>
  <c r="AR267" i="10"/>
  <c r="AR339" i="10"/>
  <c r="AQ339" i="10"/>
  <c r="AQ160" i="10"/>
  <c r="AR160" i="10"/>
  <c r="AQ128" i="10"/>
  <c r="AR128" i="10"/>
  <c r="AQ207" i="10"/>
  <c r="AR207" i="10"/>
  <c r="AR135" i="10"/>
  <c r="AQ135" i="10"/>
  <c r="AQ76" i="10"/>
  <c r="AR76" i="10"/>
  <c r="AR97" i="10"/>
  <c r="AQ97" i="10"/>
  <c r="AQ166" i="10"/>
  <c r="AR166" i="10"/>
  <c r="AR200" i="10"/>
  <c r="AQ200" i="10"/>
  <c r="AR101" i="10"/>
  <c r="AQ101" i="10"/>
  <c r="AR45" i="10"/>
  <c r="AQ45" i="10"/>
  <c r="AR36" i="10"/>
  <c r="AQ36" i="10"/>
  <c r="AQ32" i="10"/>
  <c r="AR32" i="10"/>
  <c r="AR40" i="10"/>
  <c r="AQ40" i="10"/>
  <c r="AQ274" i="10"/>
  <c r="AR274" i="10"/>
  <c r="AR164" i="10"/>
  <c r="AQ164" i="10"/>
  <c r="AR180" i="10"/>
  <c r="AQ180" i="10"/>
  <c r="AQ198" i="10"/>
  <c r="AR198" i="10"/>
  <c r="AR150" i="10"/>
  <c r="AQ150" i="10"/>
  <c r="AQ254" i="10"/>
  <c r="AR254" i="10"/>
  <c r="AQ286" i="10"/>
  <c r="AR286" i="10"/>
  <c r="AR114" i="10"/>
  <c r="AQ114" i="10"/>
  <c r="AR130" i="10"/>
  <c r="AQ130" i="10"/>
  <c r="AR158" i="10"/>
  <c r="AQ158" i="10"/>
  <c r="AQ212" i="10"/>
  <c r="AR212" i="10"/>
  <c r="AQ228" i="10"/>
  <c r="AR228" i="10"/>
  <c r="AR165" i="10"/>
  <c r="AQ165" i="10"/>
  <c r="AR181" i="10"/>
  <c r="AQ181" i="10"/>
  <c r="AR197" i="10"/>
  <c r="AQ197" i="10"/>
  <c r="AQ214" i="10"/>
  <c r="AR214" i="10"/>
  <c r="AQ230" i="10"/>
  <c r="AR230" i="10"/>
  <c r="AR245" i="10"/>
  <c r="AQ245" i="10"/>
  <c r="AR261" i="10"/>
  <c r="AQ261" i="10"/>
  <c r="AR277" i="10"/>
  <c r="AQ277" i="10"/>
  <c r="AR293" i="10"/>
  <c r="AQ293" i="10"/>
  <c r="AR217" i="10"/>
  <c r="AQ217" i="10"/>
  <c r="AR233" i="10"/>
  <c r="AQ233" i="10"/>
  <c r="AQ379" i="10"/>
  <c r="AR379" i="10"/>
  <c r="AQ393" i="10"/>
  <c r="AR393" i="10"/>
  <c r="AQ409" i="10"/>
  <c r="AR409" i="10"/>
  <c r="AQ425" i="10"/>
  <c r="AR425" i="10"/>
  <c r="AQ383" i="10"/>
  <c r="AR383" i="10"/>
  <c r="AR431" i="10"/>
  <c r="AQ431" i="10"/>
  <c r="AR444" i="10"/>
  <c r="AQ444" i="10"/>
  <c r="AR459" i="10"/>
  <c r="AQ459" i="10"/>
  <c r="AR475" i="10"/>
  <c r="AQ475" i="10"/>
  <c r="AR505" i="10"/>
  <c r="AQ505" i="10"/>
  <c r="AQ499" i="10"/>
  <c r="AR499" i="10"/>
  <c r="AR539" i="10"/>
  <c r="AQ539" i="10"/>
  <c r="AI77" i="10"/>
  <c r="AH77" i="10"/>
  <c r="AI551" i="10"/>
  <c r="AH551" i="10"/>
  <c r="AH417" i="10"/>
  <c r="AI417" i="10"/>
  <c r="AI313" i="10"/>
  <c r="AH313" i="10"/>
  <c r="AH237" i="10"/>
  <c r="AI237" i="10"/>
  <c r="AH285" i="10"/>
  <c r="AI285" i="10"/>
  <c r="AH253" i="10"/>
  <c r="AI253" i="10"/>
  <c r="AI165" i="10"/>
  <c r="AH165" i="10"/>
  <c r="AI89" i="10"/>
  <c r="AH89" i="10"/>
  <c r="AH150" i="10"/>
  <c r="AI150" i="10"/>
  <c r="AH86" i="10"/>
  <c r="AI86" i="10"/>
  <c r="AH45" i="10"/>
  <c r="AI45" i="10"/>
  <c r="AH21" i="10"/>
  <c r="AI21" i="10"/>
  <c r="AI543" i="10"/>
  <c r="AH543" i="10"/>
  <c r="AI460" i="10"/>
  <c r="AH460" i="10"/>
  <c r="AH452" i="10"/>
  <c r="AI452" i="10"/>
  <c r="AH397" i="10"/>
  <c r="AI397" i="10"/>
  <c r="AH365" i="10"/>
  <c r="AI365" i="10"/>
  <c r="AH316" i="10"/>
  <c r="AI316" i="10"/>
  <c r="AI201" i="10"/>
  <c r="AH201" i="10"/>
  <c r="AH292" i="10"/>
  <c r="AI292" i="10"/>
  <c r="AH260" i="10"/>
  <c r="AI260" i="10"/>
  <c r="AI133" i="10"/>
  <c r="AH133" i="10"/>
  <c r="AI135" i="10"/>
  <c r="AH135" i="10"/>
  <c r="AI190" i="10"/>
  <c r="AH190" i="10"/>
  <c r="AH162" i="10"/>
  <c r="AI162" i="10"/>
  <c r="AH90" i="10"/>
  <c r="AI90" i="10"/>
  <c r="AH32" i="10"/>
  <c r="AI32" i="10"/>
  <c r="AH557" i="10"/>
  <c r="AI557" i="10"/>
  <c r="AH493" i="10"/>
  <c r="AI493" i="10"/>
  <c r="AI457" i="10"/>
  <c r="AH457" i="10"/>
  <c r="AH361" i="10"/>
  <c r="AI361" i="10"/>
  <c r="AH381" i="10"/>
  <c r="AI381" i="10"/>
  <c r="AH542" i="10"/>
  <c r="AI542" i="10"/>
  <c r="AI516" i="10"/>
  <c r="AH516" i="10"/>
  <c r="AI486" i="10"/>
  <c r="AH486" i="10"/>
  <c r="AH479" i="10"/>
  <c r="AI479" i="10"/>
  <c r="AH425" i="10"/>
  <c r="AI425" i="10"/>
  <c r="AI424" i="10"/>
  <c r="AH424" i="10"/>
  <c r="AH369" i="10"/>
  <c r="AI369" i="10"/>
  <c r="AI333" i="10"/>
  <c r="AH333" i="10"/>
  <c r="AH344" i="10"/>
  <c r="AI344" i="10"/>
  <c r="AH213" i="10"/>
  <c r="AI213" i="10"/>
  <c r="AI173" i="10"/>
  <c r="AH173" i="10"/>
  <c r="AI125" i="10"/>
  <c r="AH125" i="10"/>
  <c r="AI109" i="10"/>
  <c r="AH109" i="10"/>
  <c r="AI81" i="10"/>
  <c r="AH81" i="10"/>
  <c r="AH204" i="10"/>
  <c r="AI204" i="10"/>
  <c r="AH110" i="10"/>
  <c r="AI110" i="10"/>
  <c r="AH49" i="10"/>
  <c r="AI49" i="10"/>
  <c r="AI28" i="10"/>
  <c r="AH28" i="10"/>
  <c r="AH50" i="10"/>
  <c r="AI50" i="10"/>
  <c r="AI435" i="10"/>
  <c r="AH435" i="10"/>
  <c r="AH289" i="10"/>
  <c r="AI289" i="10"/>
  <c r="AH546" i="10"/>
  <c r="AI546" i="10"/>
  <c r="AI523" i="10"/>
  <c r="AH523" i="10"/>
  <c r="AH501" i="10"/>
  <c r="AI501" i="10"/>
  <c r="AI476" i="10"/>
  <c r="AH476" i="10"/>
  <c r="AI443" i="10"/>
  <c r="AH443" i="10"/>
  <c r="AI431" i="10"/>
  <c r="AH431" i="10"/>
  <c r="AI420" i="10"/>
  <c r="AH420" i="10"/>
  <c r="AI368" i="10"/>
  <c r="AH368" i="10"/>
  <c r="AH324" i="10"/>
  <c r="AI324" i="10"/>
  <c r="AH209" i="10"/>
  <c r="AI209" i="10"/>
  <c r="AI169" i="10"/>
  <c r="AH169" i="10"/>
  <c r="AH272" i="10"/>
  <c r="AI272" i="10"/>
  <c r="AI230" i="10"/>
  <c r="AH230" i="10"/>
  <c r="AI143" i="10"/>
  <c r="AH143" i="10"/>
  <c r="AI178" i="10"/>
  <c r="AH178" i="10"/>
  <c r="AH122" i="10"/>
  <c r="AI122" i="10"/>
  <c r="AI25" i="10"/>
  <c r="AH25" i="10"/>
  <c r="AI31" i="10"/>
  <c r="AH31" i="10"/>
  <c r="AH41" i="10"/>
  <c r="AI41" i="10"/>
  <c r="AH192" i="10"/>
  <c r="AI192" i="10"/>
  <c r="AI51" i="10"/>
  <c r="AH51" i="10"/>
  <c r="AH61" i="10"/>
  <c r="AI61" i="10"/>
  <c r="AI112" i="10"/>
  <c r="AH112" i="10"/>
  <c r="AI128" i="10"/>
  <c r="AH128" i="10"/>
  <c r="AI144" i="10"/>
  <c r="AH144" i="10"/>
  <c r="AI160" i="10"/>
  <c r="AH160" i="10"/>
  <c r="AI65" i="10"/>
  <c r="AH65" i="10"/>
  <c r="AH92" i="10"/>
  <c r="AI92" i="10"/>
  <c r="AH184" i="10"/>
  <c r="AI184" i="10"/>
  <c r="AI29" i="10"/>
  <c r="AH29" i="10"/>
  <c r="AI60" i="10"/>
  <c r="AH60" i="10"/>
  <c r="AI141" i="10"/>
  <c r="AH141" i="10"/>
  <c r="AI157" i="10"/>
  <c r="AH157" i="10"/>
  <c r="AI255" i="10"/>
  <c r="AH255" i="10"/>
  <c r="AI271" i="10"/>
  <c r="AH271" i="10"/>
  <c r="AI287" i="10"/>
  <c r="AH287" i="10"/>
  <c r="AH216" i="10"/>
  <c r="AI216" i="10"/>
  <c r="AH232" i="10"/>
  <c r="AI232" i="10"/>
  <c r="AH246" i="10"/>
  <c r="AI246" i="10"/>
  <c r="AH262" i="10"/>
  <c r="AI262" i="10"/>
  <c r="AH278" i="10"/>
  <c r="AI278" i="10"/>
  <c r="AH294" i="10"/>
  <c r="AI294" i="10"/>
  <c r="AI79" i="10"/>
  <c r="AH79" i="10"/>
  <c r="AI95" i="10"/>
  <c r="AH95" i="10"/>
  <c r="AI111" i="10"/>
  <c r="AH111" i="10"/>
  <c r="AI127" i="10"/>
  <c r="AH127" i="10"/>
  <c r="AI179" i="10"/>
  <c r="AH179" i="10"/>
  <c r="AI310" i="10"/>
  <c r="AH310" i="10"/>
  <c r="AI326" i="10"/>
  <c r="AH326" i="10"/>
  <c r="AI342" i="10"/>
  <c r="AH342" i="10"/>
  <c r="AI358" i="10"/>
  <c r="AH358" i="10"/>
  <c r="AI195" i="10"/>
  <c r="AH195" i="10"/>
  <c r="AI211" i="10"/>
  <c r="AH211" i="10"/>
  <c r="AI227" i="10"/>
  <c r="AH227" i="10"/>
  <c r="AI243" i="10"/>
  <c r="AH243" i="10"/>
  <c r="AI307" i="10"/>
  <c r="AH307" i="10"/>
  <c r="AI323" i="10"/>
  <c r="AH323" i="10"/>
  <c r="AI339" i="10"/>
  <c r="AH339" i="10"/>
  <c r="AI355" i="10"/>
  <c r="AH355" i="10"/>
  <c r="AH432" i="10"/>
  <c r="AI432" i="10"/>
  <c r="AH371" i="10"/>
  <c r="AI371" i="10"/>
  <c r="AH391" i="10"/>
  <c r="AI391" i="10"/>
  <c r="AH407" i="10"/>
  <c r="AI407" i="10"/>
  <c r="AH423" i="10"/>
  <c r="AI423" i="10"/>
  <c r="AI378" i="10"/>
  <c r="AH378" i="10"/>
  <c r="AI442" i="10"/>
  <c r="AH442" i="10"/>
  <c r="AI390" i="10"/>
  <c r="AH390" i="10"/>
  <c r="AI406" i="10"/>
  <c r="AH406" i="10"/>
  <c r="AI473" i="10"/>
  <c r="AH473" i="10"/>
  <c r="AH459" i="10"/>
  <c r="AI459" i="10"/>
  <c r="AH434" i="10"/>
  <c r="AI434" i="10"/>
  <c r="AI453" i="10"/>
  <c r="AH453" i="10"/>
  <c r="AI466" i="10"/>
  <c r="AH466" i="10"/>
  <c r="AI496" i="10"/>
  <c r="AH496" i="10"/>
  <c r="AH489" i="10"/>
  <c r="AI489" i="10"/>
  <c r="AI504" i="10"/>
  <c r="AH504" i="10"/>
  <c r="AH503" i="10"/>
  <c r="AI503" i="10"/>
  <c r="AI512" i="10"/>
  <c r="AH512" i="10"/>
  <c r="AI529" i="10"/>
  <c r="AH529" i="10"/>
  <c r="AI531" i="10"/>
  <c r="AH531" i="10"/>
  <c r="AI556" i="10"/>
  <c r="AH556" i="10"/>
  <c r="AI552" i="10"/>
  <c r="AH552" i="10"/>
  <c r="AR530" i="10"/>
  <c r="AQ530" i="10"/>
  <c r="AR472" i="10"/>
  <c r="AQ472" i="10"/>
  <c r="AQ465" i="10"/>
  <c r="AR465" i="10"/>
  <c r="AR356" i="10"/>
  <c r="AQ356" i="10"/>
  <c r="AR335" i="10"/>
  <c r="AQ335" i="10"/>
  <c r="AR272" i="10"/>
  <c r="AQ272" i="10"/>
  <c r="AQ203" i="10"/>
  <c r="AR203" i="10"/>
  <c r="AR139" i="10"/>
  <c r="AQ139" i="10"/>
  <c r="AQ88" i="10"/>
  <c r="AR88" i="10"/>
  <c r="AR75" i="10"/>
  <c r="AQ75" i="10"/>
  <c r="AR161" i="10"/>
  <c r="AQ161" i="10"/>
  <c r="AQ98" i="10"/>
  <c r="AR98" i="10"/>
  <c r="AQ59" i="10"/>
  <c r="AR59" i="10"/>
  <c r="AR558" i="10"/>
  <c r="AQ558" i="10"/>
  <c r="AQ524" i="10"/>
  <c r="AR524" i="10"/>
  <c r="AR525" i="10"/>
  <c r="AQ525" i="10"/>
  <c r="AR470" i="10"/>
  <c r="AQ470" i="10"/>
  <c r="AR456" i="10"/>
  <c r="AQ456" i="10"/>
  <c r="AR392" i="10"/>
  <c r="AQ392" i="10"/>
  <c r="AQ391" i="10"/>
  <c r="AR391" i="10"/>
  <c r="AR406" i="10"/>
  <c r="AQ406" i="10"/>
  <c r="AR372" i="10"/>
  <c r="AQ372" i="10"/>
  <c r="AR349" i="10"/>
  <c r="AQ349" i="10"/>
  <c r="AR317" i="10"/>
  <c r="AQ317" i="10"/>
  <c r="AR360" i="10"/>
  <c r="AQ360" i="10"/>
  <c r="AQ303" i="10"/>
  <c r="AR303" i="10"/>
  <c r="AQ271" i="10"/>
  <c r="AR271" i="10"/>
  <c r="AQ381" i="10"/>
  <c r="AR381" i="10"/>
  <c r="AR243" i="10"/>
  <c r="AQ243" i="10"/>
  <c r="AQ148" i="10"/>
  <c r="AR148" i="10"/>
  <c r="AQ116" i="10"/>
  <c r="AR116" i="10"/>
  <c r="AR183" i="10"/>
  <c r="AQ183" i="10"/>
  <c r="AR119" i="10"/>
  <c r="AQ119" i="10"/>
  <c r="AR35" i="10"/>
  <c r="AQ35" i="10"/>
  <c r="AQ186" i="10"/>
  <c r="AR186" i="10"/>
  <c r="AR79" i="10"/>
  <c r="AQ79" i="10"/>
  <c r="AR89" i="10"/>
  <c r="AQ89" i="10"/>
  <c r="AR109" i="10"/>
  <c r="AQ109" i="10"/>
  <c r="AR54" i="10"/>
  <c r="AQ54" i="10"/>
  <c r="AR47" i="10"/>
  <c r="AQ47" i="10"/>
  <c r="AR26" i="10"/>
  <c r="AQ26" i="10"/>
  <c r="AR480" i="10"/>
  <c r="AQ480" i="10"/>
  <c r="AQ395" i="10"/>
  <c r="AR395" i="10"/>
  <c r="AQ338" i="10"/>
  <c r="AR338" i="10"/>
  <c r="AR351" i="10"/>
  <c r="AQ351" i="10"/>
  <c r="AR535" i="10"/>
  <c r="AQ535" i="10"/>
  <c r="AR527" i="10"/>
  <c r="AQ527" i="10"/>
  <c r="AR476" i="10"/>
  <c r="AQ476" i="10"/>
  <c r="AR502" i="10"/>
  <c r="AQ502" i="10"/>
  <c r="AQ457" i="10"/>
  <c r="AR457" i="10"/>
  <c r="AR449" i="10"/>
  <c r="AQ449" i="10"/>
  <c r="AR386" i="10"/>
  <c r="AQ386" i="10"/>
  <c r="AQ342" i="10"/>
  <c r="AR342" i="10"/>
  <c r="AQ310" i="10"/>
  <c r="AR310" i="10"/>
  <c r="AR332" i="10"/>
  <c r="AQ332" i="10"/>
  <c r="AR359" i="10"/>
  <c r="AQ359" i="10"/>
  <c r="AR305" i="10"/>
  <c r="AQ305" i="10"/>
  <c r="AR292" i="10"/>
  <c r="AQ292" i="10"/>
  <c r="AR260" i="10"/>
  <c r="AQ260" i="10"/>
  <c r="AR163" i="10"/>
  <c r="AQ163" i="10"/>
  <c r="AQ96" i="10"/>
  <c r="AR96" i="10"/>
  <c r="AR83" i="10"/>
  <c r="AQ83" i="10"/>
  <c r="AR85" i="10"/>
  <c r="AQ85" i="10"/>
  <c r="AR121" i="10"/>
  <c r="AQ121" i="10"/>
  <c r="AR93" i="10"/>
  <c r="AQ93" i="10"/>
  <c r="AR554" i="10"/>
  <c r="AQ554" i="10"/>
  <c r="AQ516" i="10"/>
  <c r="AR516" i="10"/>
  <c r="AQ427" i="10"/>
  <c r="AR427" i="10"/>
  <c r="AQ354" i="10"/>
  <c r="AR354" i="10"/>
  <c r="AR319" i="10"/>
  <c r="AQ319" i="10"/>
  <c r="AQ555" i="10"/>
  <c r="AR555" i="10"/>
  <c r="AQ551" i="10"/>
  <c r="AR551" i="10"/>
  <c r="AQ541" i="10"/>
  <c r="AR541" i="10"/>
  <c r="AQ491" i="10"/>
  <c r="AR491" i="10"/>
  <c r="AQ477" i="10"/>
  <c r="AR477" i="10"/>
  <c r="AR490" i="10"/>
  <c r="AQ490" i="10"/>
  <c r="AR464" i="10"/>
  <c r="AQ464" i="10"/>
  <c r="AR396" i="10"/>
  <c r="AQ396" i="10"/>
  <c r="AQ469" i="10"/>
  <c r="AR469" i="10"/>
  <c r="AR398" i="10"/>
  <c r="AQ398" i="10"/>
  <c r="AR380" i="10"/>
  <c r="AQ380" i="10"/>
  <c r="AR353" i="10"/>
  <c r="AQ353" i="10"/>
  <c r="AR321" i="10"/>
  <c r="AQ321" i="10"/>
  <c r="AR344" i="10"/>
  <c r="AQ344" i="10"/>
  <c r="AQ291" i="10"/>
  <c r="AR291" i="10"/>
  <c r="AQ259" i="10"/>
  <c r="AR259" i="10"/>
  <c r="AR323" i="10"/>
  <c r="AQ323" i="10"/>
  <c r="AQ152" i="10"/>
  <c r="AR152" i="10"/>
  <c r="AQ120" i="10"/>
  <c r="AR120" i="10"/>
  <c r="AR191" i="10"/>
  <c r="AQ191" i="10"/>
  <c r="AR127" i="10"/>
  <c r="AQ127" i="10"/>
  <c r="AQ68" i="10"/>
  <c r="AR68" i="10"/>
  <c r="AQ190" i="10"/>
  <c r="AR190" i="10"/>
  <c r="AR87" i="10"/>
  <c r="AQ87" i="10"/>
  <c r="AR149" i="10"/>
  <c r="AQ149" i="10"/>
  <c r="AQ86" i="10"/>
  <c r="AR86" i="10"/>
  <c r="AR81" i="10"/>
  <c r="AQ81" i="10"/>
  <c r="AR20" i="10"/>
  <c r="AQ20" i="10"/>
  <c r="AR37" i="10"/>
  <c r="AQ37" i="10"/>
  <c r="AR154" i="10"/>
  <c r="AQ154" i="10"/>
  <c r="AQ282" i="10"/>
  <c r="AR282" i="10"/>
  <c r="AR168" i="10"/>
  <c r="AQ168" i="10"/>
  <c r="AR184" i="10"/>
  <c r="AQ184" i="10"/>
  <c r="AQ206" i="10"/>
  <c r="AR206" i="10"/>
  <c r="AQ298" i="10"/>
  <c r="AR298" i="10"/>
  <c r="AQ262" i="10"/>
  <c r="AR262" i="10"/>
  <c r="AQ294" i="10"/>
  <c r="AR294" i="10"/>
  <c r="AR118" i="10"/>
  <c r="AQ118" i="10"/>
  <c r="AR138" i="10"/>
  <c r="AQ138" i="10"/>
  <c r="AQ258" i="10"/>
  <c r="AR258" i="10"/>
  <c r="AQ216" i="10"/>
  <c r="AR216" i="10"/>
  <c r="AQ232" i="10"/>
  <c r="AR232" i="10"/>
  <c r="AR169" i="10"/>
  <c r="AQ169" i="10"/>
  <c r="AR185" i="10"/>
  <c r="AQ185" i="10"/>
  <c r="AR201" i="10"/>
  <c r="AQ201" i="10"/>
  <c r="AQ218" i="10"/>
  <c r="AR218" i="10"/>
  <c r="AQ234" i="10"/>
  <c r="AR234" i="10"/>
  <c r="AR249" i="10"/>
  <c r="AQ249" i="10"/>
  <c r="AR265" i="10"/>
  <c r="AQ265" i="10"/>
  <c r="AR281" i="10"/>
  <c r="AQ281" i="10"/>
  <c r="AR297" i="10"/>
  <c r="AQ297" i="10"/>
  <c r="AR221" i="10"/>
  <c r="AQ221" i="10"/>
  <c r="AR237" i="10"/>
  <c r="AQ237" i="10"/>
  <c r="AR301" i="10"/>
  <c r="AQ301" i="10"/>
  <c r="AQ397" i="10"/>
  <c r="AR397" i="10"/>
  <c r="AQ413" i="10"/>
  <c r="AR413" i="10"/>
  <c r="AQ429" i="10"/>
  <c r="AR429" i="10"/>
  <c r="AR363" i="10"/>
  <c r="AQ363" i="10"/>
  <c r="AR498" i="10"/>
  <c r="AQ498" i="10"/>
  <c r="AR448" i="10"/>
  <c r="AQ448" i="10"/>
  <c r="AR463" i="10"/>
  <c r="AQ463" i="10"/>
  <c r="AR479" i="10"/>
  <c r="AQ479" i="10"/>
  <c r="AR486" i="10"/>
  <c r="AQ486" i="10"/>
  <c r="AQ534" i="10"/>
  <c r="AR534" i="10"/>
  <c r="AR543" i="10"/>
  <c r="AQ543" i="10"/>
  <c r="AH233" i="10"/>
  <c r="AI233" i="10"/>
  <c r="AI472" i="10"/>
  <c r="AH472" i="10"/>
  <c r="AH401" i="10"/>
  <c r="AI401" i="10"/>
  <c r="AH352" i="10"/>
  <c r="AI352" i="10"/>
  <c r="AH221" i="10"/>
  <c r="AI221" i="10"/>
  <c r="AH277" i="10"/>
  <c r="AI277" i="10"/>
  <c r="AH249" i="10"/>
  <c r="AI249" i="10"/>
  <c r="AI242" i="10"/>
  <c r="AH242" i="10"/>
  <c r="AI73" i="10"/>
  <c r="AH73" i="10"/>
  <c r="AH134" i="10"/>
  <c r="AI134" i="10"/>
  <c r="AH70" i="10"/>
  <c r="AI70" i="10"/>
  <c r="AI38" i="10"/>
  <c r="AH38" i="10"/>
  <c r="AH554" i="10"/>
  <c r="AI554" i="10"/>
  <c r="AH526" i="10"/>
  <c r="AI526" i="10"/>
  <c r="AI484" i="10"/>
  <c r="AH484" i="10"/>
  <c r="AI469" i="10"/>
  <c r="AH469" i="10"/>
  <c r="AI412" i="10"/>
  <c r="AH412" i="10"/>
  <c r="AI364" i="10"/>
  <c r="AH364" i="10"/>
  <c r="AH377" i="10"/>
  <c r="AI377" i="10"/>
  <c r="AH304" i="10"/>
  <c r="AI304" i="10"/>
  <c r="AH284" i="10"/>
  <c r="AI284" i="10"/>
  <c r="AH252" i="10"/>
  <c r="AI252" i="10"/>
  <c r="AI93" i="10"/>
  <c r="AH93" i="10"/>
  <c r="AH71" i="10"/>
  <c r="AI71" i="10"/>
  <c r="AI182" i="10"/>
  <c r="AH182" i="10"/>
  <c r="AH146" i="10"/>
  <c r="AI146" i="10"/>
  <c r="AH74" i="10"/>
  <c r="AI74" i="10"/>
  <c r="AH27" i="10"/>
  <c r="AI27" i="10"/>
  <c r="AI547" i="10"/>
  <c r="AH547" i="10"/>
  <c r="AI464" i="10"/>
  <c r="AH464" i="10"/>
  <c r="AI416" i="10"/>
  <c r="AH416" i="10"/>
  <c r="AI345" i="10"/>
  <c r="AH345" i="10"/>
  <c r="AH293" i="10"/>
  <c r="AI293" i="10"/>
  <c r="AI539" i="10"/>
  <c r="AH539" i="10"/>
  <c r="AH513" i="10"/>
  <c r="AI513" i="10"/>
  <c r="AH491" i="10"/>
  <c r="AI491" i="10"/>
  <c r="AH448" i="10"/>
  <c r="AI448" i="10"/>
  <c r="AH409" i="10"/>
  <c r="AI409" i="10"/>
  <c r="AI408" i="10"/>
  <c r="AH408" i="10"/>
  <c r="AI357" i="10"/>
  <c r="AH357" i="10"/>
  <c r="AI325" i="10"/>
  <c r="AH325" i="10"/>
  <c r="AH328" i="10"/>
  <c r="AI328" i="10"/>
  <c r="AI197" i="10"/>
  <c r="AH197" i="10"/>
  <c r="AI234" i="10"/>
  <c r="AH234" i="10"/>
  <c r="AI121" i="10"/>
  <c r="AH121" i="10"/>
  <c r="AI105" i="10"/>
  <c r="AH105" i="10"/>
  <c r="AI163" i="10"/>
  <c r="AH163" i="10"/>
  <c r="AH158" i="10"/>
  <c r="AI158" i="10"/>
  <c r="AH94" i="10"/>
  <c r="AI94" i="10"/>
  <c r="AH47" i="10"/>
  <c r="AI47" i="10"/>
  <c r="AH37" i="10"/>
  <c r="AI37" i="10"/>
  <c r="AH534" i="10"/>
  <c r="AI534" i="10"/>
  <c r="AI337" i="10"/>
  <c r="AH337" i="10"/>
  <c r="AH273" i="10"/>
  <c r="AI273" i="10"/>
  <c r="AH532" i="10"/>
  <c r="AI532" i="10"/>
  <c r="AH522" i="10"/>
  <c r="AI522" i="10"/>
  <c r="AH505" i="10"/>
  <c r="AI505" i="10"/>
  <c r="AH475" i="10"/>
  <c r="AI475" i="10"/>
  <c r="AI439" i="10"/>
  <c r="AH439" i="10"/>
  <c r="AH421" i="10"/>
  <c r="AI421" i="10"/>
  <c r="AI404" i="10"/>
  <c r="AH404" i="10"/>
  <c r="AI360" i="10"/>
  <c r="AH360" i="10"/>
  <c r="AH308" i="10"/>
  <c r="AI308" i="10"/>
  <c r="AH300" i="10"/>
  <c r="AI300" i="10"/>
  <c r="AH296" i="10"/>
  <c r="AI296" i="10"/>
  <c r="AH264" i="10"/>
  <c r="AI264" i="10"/>
  <c r="AI214" i="10"/>
  <c r="AH214" i="10"/>
  <c r="AH196" i="10"/>
  <c r="AI196" i="10"/>
  <c r="AI170" i="10"/>
  <c r="AH170" i="10"/>
  <c r="AH106" i="10"/>
  <c r="AI106" i="10"/>
  <c r="AH54" i="10"/>
  <c r="AI54" i="10"/>
  <c r="AI33" i="10"/>
  <c r="AH33" i="10"/>
  <c r="AH84" i="10"/>
  <c r="AI84" i="10"/>
  <c r="AI198" i="10"/>
  <c r="AH198" i="10"/>
  <c r="AI53" i="10"/>
  <c r="AH53" i="10"/>
  <c r="AI100" i="10"/>
  <c r="AH100" i="10"/>
  <c r="AI116" i="10"/>
  <c r="AH116" i="10"/>
  <c r="AI132" i="10"/>
  <c r="AH132" i="10"/>
  <c r="AI148" i="10"/>
  <c r="AH148" i="10"/>
  <c r="AI43" i="10"/>
  <c r="AH43" i="10"/>
  <c r="AH72" i="10"/>
  <c r="AI72" i="10"/>
  <c r="AH96" i="10"/>
  <c r="AI96" i="10"/>
  <c r="AH188" i="10"/>
  <c r="AI188" i="10"/>
  <c r="AI36" i="10"/>
  <c r="AH36" i="10"/>
  <c r="AH68" i="10"/>
  <c r="AI68" i="10"/>
  <c r="AI24" i="10"/>
  <c r="AH24" i="10"/>
  <c r="AI145" i="10"/>
  <c r="AH145" i="10"/>
  <c r="AI161" i="10"/>
  <c r="AH161" i="10"/>
  <c r="AI259" i="10"/>
  <c r="AH259" i="10"/>
  <c r="AI275" i="10"/>
  <c r="AH275" i="10"/>
  <c r="AI291" i="10"/>
  <c r="AH291" i="10"/>
  <c r="AH220" i="10"/>
  <c r="AI220" i="10"/>
  <c r="AH236" i="10"/>
  <c r="AI236" i="10"/>
  <c r="AH250" i="10"/>
  <c r="AI250" i="10"/>
  <c r="AH266" i="10"/>
  <c r="AI266" i="10"/>
  <c r="AH282" i="10"/>
  <c r="AI282" i="10"/>
  <c r="AH298" i="10"/>
  <c r="AI298" i="10"/>
  <c r="AI83" i="10"/>
  <c r="AH83" i="10"/>
  <c r="AI99" i="10"/>
  <c r="AH99" i="10"/>
  <c r="AI115" i="10"/>
  <c r="AH115" i="10"/>
  <c r="AI167" i="10"/>
  <c r="AH167" i="10"/>
  <c r="AI183" i="10"/>
  <c r="AH183" i="10"/>
  <c r="AI314" i="10"/>
  <c r="AH314" i="10"/>
  <c r="AI330" i="10"/>
  <c r="AH330" i="10"/>
  <c r="AI346" i="10"/>
  <c r="AH346" i="10"/>
  <c r="AI299" i="10"/>
  <c r="AH299" i="10"/>
  <c r="AI199" i="10"/>
  <c r="AH199" i="10"/>
  <c r="AI215" i="10"/>
  <c r="AH215" i="10"/>
  <c r="AI231" i="10"/>
  <c r="AH231" i="10"/>
  <c r="AH363" i="10"/>
  <c r="AI363" i="10"/>
  <c r="AI311" i="10"/>
  <c r="AH311" i="10"/>
  <c r="AI327" i="10"/>
  <c r="AH327" i="10"/>
  <c r="AI343" i="10"/>
  <c r="AH343" i="10"/>
  <c r="AI359" i="10"/>
  <c r="AH359" i="10"/>
  <c r="AI433" i="10"/>
  <c r="AH433" i="10"/>
  <c r="AH375" i="10"/>
  <c r="AI375" i="10"/>
  <c r="AH395" i="10"/>
  <c r="AI395" i="10"/>
  <c r="AH411" i="10"/>
  <c r="AI411" i="10"/>
  <c r="AH427" i="10"/>
  <c r="AI427" i="10"/>
  <c r="AI382" i="10"/>
  <c r="AH382" i="10"/>
  <c r="AI446" i="10"/>
  <c r="AH446" i="10"/>
  <c r="AI394" i="10"/>
  <c r="AH394" i="10"/>
  <c r="AI410" i="10"/>
  <c r="AH410" i="10"/>
  <c r="AI477" i="10"/>
  <c r="AH477" i="10"/>
  <c r="AH463" i="10"/>
  <c r="AI463" i="10"/>
  <c r="AI441" i="10"/>
  <c r="AH441" i="10"/>
  <c r="AI454" i="10"/>
  <c r="AH454" i="10"/>
  <c r="AI470" i="10"/>
  <c r="AH470" i="10"/>
  <c r="AI474" i="10"/>
  <c r="AH474" i="10"/>
  <c r="AI500" i="10"/>
  <c r="AH500" i="10"/>
  <c r="AI524" i="10"/>
  <c r="AH524" i="10"/>
  <c r="AI507" i="10"/>
  <c r="AH507" i="10"/>
  <c r="AI517" i="10"/>
  <c r="AH517" i="10"/>
  <c r="AI536" i="10"/>
  <c r="AH536" i="10"/>
  <c r="AI541" i="10"/>
  <c r="AH541" i="10"/>
  <c r="AI560" i="10"/>
  <c r="AH560" i="10"/>
  <c r="AI559" i="10"/>
  <c r="AH559" i="10"/>
  <c r="AQ507" i="10"/>
  <c r="AR507" i="10"/>
  <c r="AR460" i="10"/>
  <c r="AQ460" i="10"/>
  <c r="AQ346" i="10"/>
  <c r="AR346" i="10"/>
  <c r="AR340" i="10"/>
  <c r="AQ340" i="10"/>
  <c r="AR296" i="10"/>
  <c r="AQ296" i="10"/>
  <c r="AR264" i="10"/>
  <c r="AQ264" i="10"/>
  <c r="AR187" i="10"/>
  <c r="AQ187" i="10"/>
  <c r="AR131" i="10"/>
  <c r="AQ131" i="10"/>
  <c r="AQ72" i="10"/>
  <c r="AR72" i="10"/>
  <c r="AR65" i="10"/>
  <c r="AQ65" i="10"/>
  <c r="AR145" i="10"/>
  <c r="AQ145" i="10"/>
  <c r="AQ82" i="10"/>
  <c r="AR82" i="10"/>
  <c r="AQ51" i="10"/>
  <c r="AR51" i="10"/>
  <c r="AR542" i="10"/>
  <c r="AQ542" i="10"/>
  <c r="AR523" i="10"/>
  <c r="AQ523" i="10"/>
  <c r="AR506" i="10"/>
  <c r="AQ506" i="10"/>
  <c r="AR462" i="10"/>
  <c r="AQ462" i="10"/>
  <c r="AR416" i="10"/>
  <c r="AQ416" i="10"/>
  <c r="AR384" i="10"/>
  <c r="AQ384" i="10"/>
  <c r="AR453" i="10"/>
  <c r="AQ453" i="10"/>
  <c r="AR390" i="10"/>
  <c r="AQ390" i="10"/>
  <c r="AR362" i="10"/>
  <c r="AQ362" i="10"/>
  <c r="AR341" i="10"/>
  <c r="AQ341" i="10"/>
  <c r="AR309" i="10"/>
  <c r="AQ309" i="10"/>
  <c r="AR352" i="10"/>
  <c r="AQ352" i="10"/>
  <c r="AQ295" i="10"/>
  <c r="AR295" i="10"/>
  <c r="AQ263" i="10"/>
  <c r="AR263" i="10"/>
  <c r="AR347" i="10"/>
  <c r="AQ347" i="10"/>
  <c r="AR227" i="10"/>
  <c r="AQ227" i="10"/>
  <c r="AQ140" i="10"/>
  <c r="AR140" i="10"/>
  <c r="AQ108" i="10"/>
  <c r="AR108" i="10"/>
  <c r="AR167" i="10"/>
  <c r="AQ167" i="10"/>
  <c r="AR103" i="10"/>
  <c r="AQ103" i="10"/>
  <c r="AR25" i="10"/>
  <c r="AQ25" i="10"/>
  <c r="AQ178" i="10"/>
  <c r="AR178" i="10"/>
  <c r="AR64" i="10"/>
  <c r="AQ64" i="10"/>
  <c r="AR157" i="10"/>
  <c r="AQ157" i="10"/>
  <c r="AQ94" i="10"/>
  <c r="AR94" i="10"/>
  <c r="AR50" i="10"/>
  <c r="AQ50" i="10"/>
  <c r="AQ55" i="10"/>
  <c r="AR55" i="10"/>
  <c r="AR547" i="10"/>
  <c r="AQ547" i="10"/>
  <c r="AQ450" i="10"/>
  <c r="AR450" i="10"/>
  <c r="AR426" i="10"/>
  <c r="AQ426" i="10"/>
  <c r="AR451" i="10"/>
  <c r="AQ451" i="10"/>
  <c r="AR231" i="10"/>
  <c r="AQ231" i="10"/>
  <c r="AR533" i="10"/>
  <c r="AQ533" i="10"/>
  <c r="AR500" i="10"/>
  <c r="AQ500" i="10"/>
  <c r="AR512" i="10"/>
  <c r="AQ512" i="10"/>
  <c r="AQ442" i="10"/>
  <c r="AR442" i="10"/>
  <c r="AQ419" i="10"/>
  <c r="AR419" i="10"/>
  <c r="AQ433" i="10"/>
  <c r="AR433" i="10"/>
  <c r="AR370" i="10"/>
  <c r="AQ370" i="10"/>
  <c r="AQ334" i="10"/>
  <c r="AR334" i="10"/>
  <c r="AR443" i="10"/>
  <c r="AQ443" i="10"/>
  <c r="AR316" i="10"/>
  <c r="AQ316" i="10"/>
  <c r="AR343" i="10"/>
  <c r="AQ343" i="10"/>
  <c r="AR239" i="10"/>
  <c r="AQ239" i="10"/>
  <c r="AR284" i="10"/>
  <c r="AQ284" i="10"/>
  <c r="AR252" i="10"/>
  <c r="AQ252" i="10"/>
  <c r="AR147" i="10"/>
  <c r="AQ147" i="10"/>
  <c r="AQ80" i="10"/>
  <c r="AR80" i="10"/>
  <c r="AR49" i="10"/>
  <c r="AQ49" i="10"/>
  <c r="AR67" i="10"/>
  <c r="AQ67" i="10"/>
  <c r="AR66" i="10"/>
  <c r="AQ66" i="10"/>
  <c r="AR105" i="10"/>
  <c r="AQ105" i="10"/>
  <c r="AQ69" i="10"/>
  <c r="AR69" i="10"/>
  <c r="AQ511" i="10"/>
  <c r="AR511" i="10"/>
  <c r="AQ503" i="10"/>
  <c r="AR503" i="10"/>
  <c r="AQ411" i="10"/>
  <c r="AR411" i="10"/>
  <c r="AQ322" i="10"/>
  <c r="AR322" i="10"/>
  <c r="AR215" i="10"/>
  <c r="AQ215" i="10"/>
  <c r="AQ556" i="10"/>
  <c r="AR556" i="10"/>
  <c r="AR545" i="10"/>
  <c r="AQ545" i="10"/>
  <c r="AR526" i="10"/>
  <c r="AQ526" i="10"/>
  <c r="AQ522" i="10"/>
  <c r="AR522" i="10"/>
  <c r="AQ473" i="10"/>
  <c r="AR473" i="10"/>
  <c r="AR466" i="10"/>
  <c r="AQ466" i="10"/>
  <c r="AR420" i="10"/>
  <c r="AQ420" i="10"/>
  <c r="AR388" i="10"/>
  <c r="AQ388" i="10"/>
  <c r="AR445" i="10"/>
  <c r="AQ445" i="10"/>
  <c r="AR382" i="10"/>
  <c r="AQ382" i="10"/>
  <c r="AR439" i="10"/>
  <c r="AQ439" i="10"/>
  <c r="AR345" i="10"/>
  <c r="AQ345" i="10"/>
  <c r="AR313" i="10"/>
  <c r="AQ313" i="10"/>
  <c r="AR328" i="10"/>
  <c r="AQ328" i="10"/>
  <c r="AQ283" i="10"/>
  <c r="AR283" i="10"/>
  <c r="AQ251" i="10"/>
  <c r="AR251" i="10"/>
  <c r="AR235" i="10"/>
  <c r="AQ235" i="10"/>
  <c r="AQ144" i="10"/>
  <c r="AR144" i="10"/>
  <c r="AQ112" i="10"/>
  <c r="AR112" i="10"/>
  <c r="AR175" i="10"/>
  <c r="AQ175" i="10"/>
  <c r="AR111" i="10"/>
  <c r="AQ111" i="10"/>
  <c r="AQ39" i="10"/>
  <c r="AR39" i="10"/>
  <c r="AQ182" i="10"/>
  <c r="AR182" i="10"/>
  <c r="AQ71" i="10"/>
  <c r="AR71" i="10"/>
  <c r="AR133" i="10"/>
  <c r="AQ133" i="10"/>
  <c r="AQ70" i="10"/>
  <c r="AR70" i="10"/>
  <c r="AR42" i="10"/>
  <c r="AQ42" i="10"/>
  <c r="AR27" i="10"/>
  <c r="AQ27" i="10"/>
  <c r="AR21" i="10"/>
  <c r="AQ21" i="10"/>
  <c r="AR162" i="10"/>
  <c r="AQ162" i="10"/>
  <c r="AQ290" i="10"/>
  <c r="AR290" i="10"/>
  <c r="AR172" i="10"/>
  <c r="AQ172" i="10"/>
  <c r="AR188" i="10"/>
  <c r="AQ188" i="10"/>
  <c r="AR102" i="10"/>
  <c r="AQ102" i="10"/>
  <c r="AQ270" i="10"/>
  <c r="AR270" i="10"/>
  <c r="AR106" i="10"/>
  <c r="AQ106" i="10"/>
  <c r="AR122" i="10"/>
  <c r="AQ122" i="10"/>
  <c r="AR142" i="10"/>
  <c r="AQ142" i="10"/>
  <c r="AQ266" i="10"/>
  <c r="AR266" i="10"/>
  <c r="AQ220" i="10"/>
  <c r="AR220" i="10"/>
  <c r="AQ236" i="10"/>
  <c r="AR236" i="10"/>
  <c r="AR173" i="10"/>
  <c r="AQ173" i="10"/>
  <c r="AR189" i="10"/>
  <c r="AQ189" i="10"/>
  <c r="AR205" i="10"/>
  <c r="AQ205" i="10"/>
  <c r="AQ222" i="10"/>
  <c r="AR222" i="10"/>
  <c r="AQ238" i="10"/>
  <c r="AR238" i="10"/>
  <c r="AR253" i="10"/>
  <c r="AQ253" i="10"/>
  <c r="AR269" i="10"/>
  <c r="AQ269" i="10"/>
  <c r="AR285" i="10"/>
  <c r="AQ285" i="10"/>
  <c r="AR209" i="10"/>
  <c r="AQ209" i="10"/>
  <c r="AR225" i="10"/>
  <c r="AQ225" i="10"/>
  <c r="AR241" i="10"/>
  <c r="AQ241" i="10"/>
  <c r="AQ302" i="10"/>
  <c r="AR302" i="10"/>
  <c r="AQ401" i="10"/>
  <c r="AR401" i="10"/>
  <c r="AQ417" i="10"/>
  <c r="AR417" i="10"/>
  <c r="AQ306" i="10"/>
  <c r="AR306" i="10"/>
  <c r="AR367" i="10"/>
  <c r="AQ367" i="10"/>
  <c r="AR434" i="10"/>
  <c r="AQ434" i="10"/>
  <c r="AR452" i="10"/>
  <c r="AQ452" i="10"/>
  <c r="AR467" i="10"/>
  <c r="AQ467" i="10"/>
  <c r="AR514" i="10"/>
  <c r="AQ514" i="10"/>
  <c r="AR518" i="10"/>
  <c r="AQ518" i="10"/>
  <c r="AR515" i="10"/>
  <c r="AQ515" i="10"/>
  <c r="AQ540" i="10"/>
  <c r="AR540" i="10"/>
  <c r="T560" i="10"/>
  <c r="T556" i="10"/>
  <c r="T552" i="10"/>
  <c r="T557" i="10"/>
  <c r="T547" i="10"/>
  <c r="T553" i="10"/>
  <c r="T549" i="10"/>
  <c r="T545" i="10"/>
  <c r="T537" i="10"/>
  <c r="T533" i="10"/>
  <c r="T527" i="10"/>
  <c r="T541" i="10"/>
  <c r="T535" i="10"/>
  <c r="T531" i="10"/>
  <c r="T529" i="10"/>
  <c r="T525" i="10"/>
  <c r="T521" i="10"/>
  <c r="T517" i="10"/>
  <c r="T512" i="10"/>
  <c r="T508" i="10"/>
  <c r="T504" i="10"/>
  <c r="T500" i="10"/>
  <c r="T496" i="10"/>
  <c r="T492" i="10"/>
  <c r="T488" i="10"/>
  <c r="T523" i="10"/>
  <c r="T498" i="10"/>
  <c r="T493" i="10"/>
  <c r="T450" i="10"/>
  <c r="T446" i="10"/>
  <c r="T442" i="10"/>
  <c r="T486" i="10"/>
  <c r="T482" i="10"/>
  <c r="T478" i="10"/>
  <c r="T474" i="10"/>
  <c r="T453" i="10"/>
  <c r="T449" i="10"/>
  <c r="T445" i="10"/>
  <c r="T441" i="10"/>
  <c r="T466" i="10"/>
  <c r="T462" i="10"/>
  <c r="T458" i="10"/>
  <c r="T454" i="10"/>
  <c r="T438" i="10"/>
  <c r="T428" i="10"/>
  <c r="T424" i="10"/>
  <c r="T420" i="10"/>
  <c r="T416" i="10"/>
  <c r="T412" i="10"/>
  <c r="T408" i="10"/>
  <c r="T404" i="10"/>
  <c r="T400" i="10"/>
  <c r="T396" i="10"/>
  <c r="T392" i="10"/>
  <c r="T388" i="10"/>
  <c r="T382" i="10"/>
  <c r="T378" i="10"/>
  <c r="T374" i="10"/>
  <c r="T370" i="10"/>
  <c r="T470" i="10"/>
  <c r="T386" i="10"/>
  <c r="T451" i="10"/>
  <c r="T447" i="10"/>
  <c r="T443" i="10"/>
  <c r="T439" i="10"/>
  <c r="T430" i="10"/>
  <c r="T426" i="10"/>
  <c r="T422" i="10"/>
  <c r="T418" i="10"/>
  <c r="T414" i="10"/>
  <c r="T410" i="10"/>
  <c r="T406" i="10"/>
  <c r="T402" i="10"/>
  <c r="T398" i="10"/>
  <c r="T394" i="10"/>
  <c r="T390" i="10"/>
  <c r="T383" i="10"/>
  <c r="T379" i="10"/>
  <c r="T375" i="10"/>
  <c r="T371" i="10"/>
  <c r="T366" i="10"/>
  <c r="T362" i="10"/>
  <c r="T307" i="10"/>
  <c r="T437" i="10"/>
  <c r="T433" i="10"/>
  <c r="T376" i="10"/>
  <c r="T368" i="10"/>
  <c r="T364" i="10"/>
  <c r="T360" i="10"/>
  <c r="T384" i="10"/>
  <c r="T359" i="10"/>
  <c r="T355" i="10"/>
  <c r="T351" i="10"/>
  <c r="T347" i="10"/>
  <c r="T343" i="10"/>
  <c r="T339" i="10"/>
  <c r="T335" i="10"/>
  <c r="T331" i="10"/>
  <c r="T327" i="10"/>
  <c r="T323" i="10"/>
  <c r="T319" i="10"/>
  <c r="T315" i="10"/>
  <c r="T311" i="10"/>
  <c r="T303" i="10"/>
  <c r="T299" i="10"/>
  <c r="T380" i="10"/>
  <c r="T372" i="10"/>
  <c r="T243" i="10"/>
  <c r="T239" i="10"/>
  <c r="T235" i="10"/>
  <c r="T231" i="10"/>
  <c r="T227" i="10"/>
  <c r="T223" i="10"/>
  <c r="T219" i="10"/>
  <c r="T215" i="10"/>
  <c r="T211" i="10"/>
  <c r="T163" i="10"/>
  <c r="T159" i="10"/>
  <c r="T155" i="10"/>
  <c r="T151" i="10"/>
  <c r="T147" i="10"/>
  <c r="T143" i="10"/>
  <c r="T139" i="10"/>
  <c r="T135" i="10"/>
  <c r="T131" i="10"/>
  <c r="T127" i="10"/>
  <c r="T123" i="10"/>
  <c r="T119" i="10"/>
  <c r="T115" i="10"/>
  <c r="T111" i="10"/>
  <c r="T107" i="10"/>
  <c r="T103" i="10"/>
  <c r="T356" i="10"/>
  <c r="T352" i="10"/>
  <c r="T348" i="10"/>
  <c r="T344" i="10"/>
  <c r="T340" i="10"/>
  <c r="T336" i="10"/>
  <c r="T332" i="10"/>
  <c r="T328" i="10"/>
  <c r="T324" i="10"/>
  <c r="T320" i="10"/>
  <c r="T316" i="10"/>
  <c r="T312" i="10"/>
  <c r="T308" i="10"/>
  <c r="T297" i="10"/>
  <c r="T295" i="10"/>
  <c r="T293" i="10"/>
  <c r="T291" i="10"/>
  <c r="T289" i="10"/>
  <c r="T287" i="10"/>
  <c r="T285" i="10"/>
  <c r="T283" i="10"/>
  <c r="T281" i="10"/>
  <c r="T279" i="10"/>
  <c r="T277" i="10"/>
  <c r="T275" i="10"/>
  <c r="T273" i="10"/>
  <c r="T271" i="10"/>
  <c r="T269" i="10"/>
  <c r="T267" i="10"/>
  <c r="T265" i="10"/>
  <c r="T263" i="10"/>
  <c r="T261" i="10"/>
  <c r="T259" i="10"/>
  <c r="T257" i="10"/>
  <c r="T255" i="10"/>
  <c r="T253" i="10"/>
  <c r="T251" i="10"/>
  <c r="T249" i="10"/>
  <c r="T247" i="10"/>
  <c r="T245" i="10"/>
  <c r="T244" i="10"/>
  <c r="T240" i="10"/>
  <c r="T236" i="10"/>
  <c r="T232" i="10"/>
  <c r="T228" i="10"/>
  <c r="T224" i="10"/>
  <c r="T220" i="10"/>
  <c r="T216" i="10"/>
  <c r="T212" i="10"/>
  <c r="T191" i="10"/>
  <c r="T187" i="10"/>
  <c r="T183" i="10"/>
  <c r="T179" i="10"/>
  <c r="T175" i="10"/>
  <c r="T171" i="10"/>
  <c r="T167" i="10"/>
  <c r="T301" i="10"/>
  <c r="T161" i="10"/>
  <c r="T157" i="10"/>
  <c r="T153" i="10"/>
  <c r="T149" i="10"/>
  <c r="T145" i="10"/>
  <c r="T141" i="10"/>
  <c r="T137" i="10"/>
  <c r="T133" i="10"/>
  <c r="T129" i="10"/>
  <c r="T125" i="10"/>
  <c r="T121" i="10"/>
  <c r="T117" i="10"/>
  <c r="T113" i="10"/>
  <c r="T109" i="10"/>
  <c r="T105" i="10"/>
  <c r="T101" i="10"/>
  <c r="T97" i="10"/>
  <c r="T93" i="10"/>
  <c r="T89" i="10"/>
  <c r="T85" i="10"/>
  <c r="T81" i="10"/>
  <c r="T77" i="10"/>
  <c r="T73" i="10"/>
  <c r="B49" i="10"/>
  <c r="T199" i="10"/>
  <c r="T51" i="10"/>
  <c r="T203" i="10"/>
  <c r="T195" i="10"/>
  <c r="T65" i="10"/>
  <c r="T63" i="10"/>
  <c r="T60" i="10"/>
  <c r="O10" i="10"/>
  <c r="T59" i="10"/>
  <c r="T53" i="10"/>
  <c r="T99" i="10"/>
  <c r="T95" i="10"/>
  <c r="T91" i="10"/>
  <c r="T87" i="10"/>
  <c r="T83" i="10"/>
  <c r="T79" i="10"/>
  <c r="T75" i="10"/>
  <c r="T67" i="10"/>
  <c r="T207" i="10"/>
  <c r="T55" i="10"/>
  <c r="T46" i="10"/>
  <c r="T44" i="10"/>
  <c r="T36" i="10"/>
  <c r="T29" i="10"/>
  <c r="T26" i="10"/>
  <c r="T24" i="10"/>
  <c r="T20" i="10"/>
  <c r="T32" i="10"/>
  <c r="T37" i="10"/>
  <c r="T78" i="10"/>
  <c r="T94" i="10"/>
  <c r="T52" i="10"/>
  <c r="T110" i="10"/>
  <c r="T126" i="10"/>
  <c r="T142" i="10"/>
  <c r="T158" i="10"/>
  <c r="T204" i="10"/>
  <c r="T64" i="10"/>
  <c r="T23" i="10"/>
  <c r="T41" i="10"/>
  <c r="T61" i="10"/>
  <c r="T72" i="10"/>
  <c r="T88" i="10"/>
  <c r="T218" i="10"/>
  <c r="T234" i="10"/>
  <c r="T300" i="10"/>
  <c r="T172" i="10"/>
  <c r="T188" i="10"/>
  <c r="T202" i="10"/>
  <c r="T144" i="10"/>
  <c r="T160" i="10"/>
  <c r="T177" i="10"/>
  <c r="T193" i="10"/>
  <c r="T201" i="10"/>
  <c r="T217" i="10"/>
  <c r="T233" i="10"/>
  <c r="T246" i="10"/>
  <c r="T262" i="10"/>
  <c r="T278" i="10"/>
  <c r="T294" i="10"/>
  <c r="T309" i="10"/>
  <c r="T317" i="10"/>
  <c r="T325" i="10"/>
  <c r="T333" i="10"/>
  <c r="T341" i="10"/>
  <c r="T349" i="10"/>
  <c r="T357" i="10"/>
  <c r="T361" i="10"/>
  <c r="T310" i="10"/>
  <c r="T318" i="10"/>
  <c r="T326" i="10"/>
  <c r="T334" i="10"/>
  <c r="T342" i="10"/>
  <c r="T350" i="10"/>
  <c r="T358" i="10"/>
  <c r="T397" i="10"/>
  <c r="T413" i="10"/>
  <c r="T429" i="10"/>
  <c r="T461" i="10"/>
  <c r="T391" i="10"/>
  <c r="T407" i="10"/>
  <c r="T423" i="10"/>
  <c r="T457" i="10"/>
  <c r="T448" i="10"/>
  <c r="T432" i="10"/>
  <c r="T479" i="10"/>
  <c r="T502" i="10"/>
  <c r="T467" i="10"/>
  <c r="T460" i="10"/>
  <c r="T487" i="10"/>
  <c r="T485" i="10"/>
  <c r="T499" i="10"/>
  <c r="T506" i="10"/>
  <c r="T513" i="10"/>
  <c r="T520" i="10"/>
  <c r="T501" i="10"/>
  <c r="T510" i="10"/>
  <c r="T514" i="10"/>
  <c r="T543" i="10"/>
  <c r="T544" i="10"/>
  <c r="T548" i="10"/>
  <c r="T555" i="10"/>
  <c r="T148" i="10"/>
  <c r="T189" i="10"/>
  <c r="T213" i="10"/>
  <c r="T305" i="10"/>
  <c r="T266" i="10"/>
  <c r="T298" i="10"/>
  <c r="T363" i="10"/>
  <c r="T434" i="10"/>
  <c r="T456" i="10"/>
  <c r="T538" i="10"/>
  <c r="T546" i="10"/>
  <c r="T27" i="10"/>
  <c r="T34" i="10"/>
  <c r="T47" i="10"/>
  <c r="T70" i="10"/>
  <c r="T82" i="10"/>
  <c r="T98" i="10"/>
  <c r="T25" i="10"/>
  <c r="T114" i="10"/>
  <c r="T130" i="10"/>
  <c r="T146" i="10"/>
  <c r="T162" i="10"/>
  <c r="T170" i="10"/>
  <c r="T178" i="10"/>
  <c r="T186" i="10"/>
  <c r="T194" i="10"/>
  <c r="T208" i="10"/>
  <c r="T19" i="10"/>
  <c r="T43" i="10"/>
  <c r="T48" i="10"/>
  <c r="T58" i="10"/>
  <c r="T68" i="10"/>
  <c r="T76" i="10"/>
  <c r="T92" i="10"/>
  <c r="T222" i="10"/>
  <c r="T238" i="10"/>
  <c r="T252" i="10"/>
  <c r="T260" i="10"/>
  <c r="T268" i="10"/>
  <c r="T276" i="10"/>
  <c r="T284" i="10"/>
  <c r="T292" i="10"/>
  <c r="T168" i="10"/>
  <c r="T184" i="10"/>
  <c r="T104" i="10"/>
  <c r="T112" i="10"/>
  <c r="T120" i="10"/>
  <c r="T128" i="10"/>
  <c r="T140" i="10"/>
  <c r="T156" i="10"/>
  <c r="T165" i="10"/>
  <c r="T181" i="10"/>
  <c r="T304" i="10"/>
  <c r="T205" i="10"/>
  <c r="T221" i="10"/>
  <c r="T237" i="10"/>
  <c r="T377" i="10"/>
  <c r="T258" i="10"/>
  <c r="T274" i="10"/>
  <c r="T290" i="10"/>
  <c r="T306" i="10"/>
  <c r="T385" i="10"/>
  <c r="T401" i="10"/>
  <c r="T417" i="10"/>
  <c r="T471" i="10"/>
  <c r="T395" i="10"/>
  <c r="T411" i="10"/>
  <c r="T427" i="10"/>
  <c r="T431" i="10"/>
  <c r="T452" i="10"/>
  <c r="T483" i="10"/>
  <c r="T463" i="10"/>
  <c r="T464" i="10"/>
  <c r="T472" i="10"/>
  <c r="T476" i="10"/>
  <c r="T480" i="10"/>
  <c r="T484" i="10"/>
  <c r="T481" i="10"/>
  <c r="T489" i="10"/>
  <c r="T497" i="10"/>
  <c r="T526" i="10"/>
  <c r="T511" i="10"/>
  <c r="T528" i="10"/>
  <c r="T542" i="10"/>
  <c r="T550" i="10"/>
  <c r="T540" i="10"/>
  <c r="T558" i="10"/>
  <c r="T554" i="10"/>
  <c r="T176" i="10"/>
  <c r="T173" i="10"/>
  <c r="T250" i="10"/>
  <c r="T282" i="10"/>
  <c r="T365" i="10"/>
  <c r="T469" i="10"/>
  <c r="T444" i="10"/>
  <c r="T475" i="10"/>
  <c r="T490" i="10"/>
  <c r="T473" i="10"/>
  <c r="T522" i="10"/>
  <c r="T518" i="10"/>
  <c r="T519" i="10"/>
  <c r="T551" i="10"/>
  <c r="T21" i="10"/>
  <c r="T86" i="10"/>
  <c r="T62" i="10"/>
  <c r="T200" i="10"/>
  <c r="T38" i="10"/>
  <c r="T45" i="10"/>
  <c r="T50" i="10"/>
  <c r="T54" i="10"/>
  <c r="T57" i="10"/>
  <c r="T71" i="10"/>
  <c r="T102" i="10"/>
  <c r="T118" i="10"/>
  <c r="T134" i="10"/>
  <c r="T150" i="10"/>
  <c r="T28" i="10"/>
  <c r="T35" i="10"/>
  <c r="T31" i="10"/>
  <c r="T66" i="10"/>
  <c r="T80" i="10"/>
  <c r="T96" i="10"/>
  <c r="T210" i="10"/>
  <c r="T226" i="10"/>
  <c r="T242" i="10"/>
  <c r="T164" i="10"/>
  <c r="T180" i="10"/>
  <c r="T198" i="10"/>
  <c r="T206" i="10"/>
  <c r="T136" i="10"/>
  <c r="T152" i="10"/>
  <c r="T169" i="10"/>
  <c r="T185" i="10"/>
  <c r="T381" i="10"/>
  <c r="T387" i="10"/>
  <c r="T209" i="10"/>
  <c r="T225" i="10"/>
  <c r="T241" i="10"/>
  <c r="T254" i="10"/>
  <c r="T270" i="10"/>
  <c r="T286" i="10"/>
  <c r="T302" i="10"/>
  <c r="T313" i="10"/>
  <c r="T321" i="10"/>
  <c r="T329" i="10"/>
  <c r="T337" i="10"/>
  <c r="T345" i="10"/>
  <c r="T353" i="10"/>
  <c r="T369" i="10"/>
  <c r="T435" i="10"/>
  <c r="T465" i="10"/>
  <c r="T314" i="10"/>
  <c r="T322" i="10"/>
  <c r="T330" i="10"/>
  <c r="T338" i="10"/>
  <c r="T346" i="10"/>
  <c r="T354" i="10"/>
  <c r="T367" i="10"/>
  <c r="T389" i="10"/>
  <c r="T405" i="10"/>
  <c r="T421" i="10"/>
  <c r="T399" i="10"/>
  <c r="T415" i="10"/>
  <c r="T440" i="10"/>
  <c r="T459" i="10"/>
  <c r="T468" i="10"/>
  <c r="T494" i="10"/>
  <c r="T477" i="10"/>
  <c r="T495" i="10"/>
  <c r="T503" i="10"/>
  <c r="T516" i="10"/>
  <c r="T530" i="10"/>
  <c r="T534" i="10"/>
  <c r="T507" i="10"/>
  <c r="T515" i="10"/>
  <c r="T532" i="10"/>
  <c r="T524" i="10"/>
  <c r="T536" i="10"/>
  <c r="T559" i="10"/>
  <c r="T40" i="10"/>
  <c r="T30" i="10"/>
  <c r="T42" i="10"/>
  <c r="T49" i="10"/>
  <c r="T56" i="10"/>
  <c r="T74" i="10"/>
  <c r="T90" i="10"/>
  <c r="T106" i="10"/>
  <c r="T122" i="10"/>
  <c r="T138" i="10"/>
  <c r="T154" i="10"/>
  <c r="T166" i="10"/>
  <c r="T174" i="10"/>
  <c r="T182" i="10"/>
  <c r="T190" i="10"/>
  <c r="T196" i="10"/>
  <c r="T69" i="10"/>
  <c r="T22" i="10"/>
  <c r="T33" i="10"/>
  <c r="T39" i="10"/>
  <c r="T84" i="10"/>
  <c r="T214" i="10"/>
  <c r="T230" i="10"/>
  <c r="T248" i="10"/>
  <c r="T256" i="10"/>
  <c r="T264" i="10"/>
  <c r="T272" i="10"/>
  <c r="T280" i="10"/>
  <c r="T288" i="10"/>
  <c r="T296" i="10"/>
  <c r="T192" i="10"/>
  <c r="T100" i="10"/>
  <c r="T108" i="10"/>
  <c r="T116" i="10"/>
  <c r="T124" i="10"/>
  <c r="T132" i="10"/>
  <c r="T373" i="10"/>
  <c r="T197" i="10"/>
  <c r="T229" i="10"/>
  <c r="T393" i="10"/>
  <c r="T409" i="10"/>
  <c r="T425" i="10"/>
  <c r="T403" i="10"/>
  <c r="T419" i="10"/>
  <c r="T436" i="10"/>
  <c r="T455" i="10"/>
  <c r="T491" i="10"/>
  <c r="T505" i="10"/>
  <c r="T509" i="10"/>
  <c r="T539" i="10"/>
  <c r="B40" i="5"/>
  <c r="B98" i="2"/>
  <c r="B59" i="2"/>
  <c r="E231" i="2" s="1"/>
  <c r="B174" i="2"/>
  <c r="B58" i="2"/>
  <c r="B53" i="2"/>
  <c r="N9" i="1" s="1"/>
  <c r="B57" i="2"/>
  <c r="G196" i="2" s="1"/>
  <c r="B194" i="2"/>
  <c r="K8" i="2"/>
  <c r="AH8" i="5"/>
  <c r="B192" i="2"/>
  <c r="B191" i="2"/>
  <c r="AI7" i="5"/>
  <c r="AP7" i="5"/>
  <c r="AH7" i="5"/>
  <c r="B3" i="8"/>
  <c r="B12" i="5"/>
  <c r="B5" i="8"/>
  <c r="B11" i="5"/>
  <c r="B4" i="8"/>
  <c r="B289" i="2"/>
  <c r="B290" i="2" s="1"/>
  <c r="M8" i="4"/>
  <c r="BV7" i="4"/>
  <c r="AL15" i="4"/>
  <c r="AL17" i="4"/>
  <c r="AL19" i="4"/>
  <c r="AL21" i="4"/>
  <c r="AL23" i="4"/>
  <c r="AL25" i="4"/>
  <c r="AL27" i="4"/>
  <c r="AL29" i="4"/>
  <c r="AL31" i="4"/>
  <c r="AL33" i="4"/>
  <c r="AL35" i="4"/>
  <c r="AL37" i="4"/>
  <c r="AL39" i="4"/>
  <c r="AL41" i="4"/>
  <c r="AL20" i="4"/>
  <c r="AL28" i="4"/>
  <c r="AL36" i="4"/>
  <c r="AL16" i="4"/>
  <c r="AL30" i="4"/>
  <c r="AL34" i="4"/>
  <c r="AL44" i="4"/>
  <c r="AL49" i="4"/>
  <c r="AL52" i="4"/>
  <c r="AL57" i="4"/>
  <c r="AL60" i="4"/>
  <c r="AL65" i="4"/>
  <c r="AL68" i="4"/>
  <c r="AL73" i="4"/>
  <c r="AL76" i="4"/>
  <c r="AL81" i="4"/>
  <c r="AL84" i="4"/>
  <c r="AL89" i="4"/>
  <c r="AL92" i="4"/>
  <c r="AL97" i="4"/>
  <c r="AL100" i="4"/>
  <c r="AL105" i="4"/>
  <c r="AL108" i="4"/>
  <c r="AL113" i="4"/>
  <c r="AL116" i="4"/>
  <c r="AL121" i="4"/>
  <c r="AL124" i="4"/>
  <c r="AL129" i="4"/>
  <c r="AL132" i="4"/>
  <c r="AL137" i="4"/>
  <c r="AL140" i="4"/>
  <c r="AL145" i="4"/>
  <c r="AL148" i="4"/>
  <c r="AL153" i="4"/>
  <c r="AL156" i="4"/>
  <c r="AL11" i="4"/>
  <c r="AL14" i="4"/>
  <c r="AL24" i="4"/>
  <c r="AL38" i="4"/>
  <c r="AL42" i="4"/>
  <c r="AL47" i="4"/>
  <c r="AL50" i="4"/>
  <c r="AL55" i="4"/>
  <c r="AL58" i="4"/>
  <c r="AL63" i="4"/>
  <c r="AL66" i="4"/>
  <c r="AL71" i="4"/>
  <c r="AL74" i="4"/>
  <c r="AL79" i="4"/>
  <c r="AL82" i="4"/>
  <c r="AL87" i="4"/>
  <c r="AL90" i="4"/>
  <c r="AL95" i="4"/>
  <c r="AL98" i="4"/>
  <c r="AL103" i="4"/>
  <c r="AL106" i="4"/>
  <c r="AL111" i="4"/>
  <c r="AL114" i="4"/>
  <c r="AL119" i="4"/>
  <c r="AL122" i="4"/>
  <c r="AL127" i="4"/>
  <c r="AL130" i="4"/>
  <c r="AL135" i="4"/>
  <c r="AL138" i="4"/>
  <c r="AL143" i="4"/>
  <c r="AL146" i="4"/>
  <c r="AL151" i="4"/>
  <c r="AL154" i="4"/>
  <c r="AL9" i="4"/>
  <c r="AL12" i="4"/>
  <c r="AL18" i="4"/>
  <c r="AL32" i="4"/>
  <c r="AL45" i="4"/>
  <c r="AL48" i="4"/>
  <c r="AL53" i="4"/>
  <c r="AL56" i="4"/>
  <c r="AL61" i="4"/>
  <c r="AL64" i="4"/>
  <c r="AL69" i="4"/>
  <c r="AL72" i="4"/>
  <c r="AL77" i="4"/>
  <c r="AL80" i="4"/>
  <c r="AL85" i="4"/>
  <c r="AL88" i="4"/>
  <c r="AL93" i="4"/>
  <c r="AL96" i="4"/>
  <c r="AL101" i="4"/>
  <c r="AL104" i="4"/>
  <c r="AL109" i="4"/>
  <c r="AL112" i="4"/>
  <c r="AL117" i="4"/>
  <c r="AL120" i="4"/>
  <c r="AL125" i="4"/>
  <c r="AL128" i="4"/>
  <c r="AL133" i="4"/>
  <c r="AL136" i="4"/>
  <c r="AL141" i="4"/>
  <c r="AL144" i="4"/>
  <c r="AL149" i="4"/>
  <c r="AL152" i="4"/>
  <c r="AL157" i="4"/>
  <c r="AL10" i="4"/>
  <c r="AL22" i="4"/>
  <c r="AL26" i="4"/>
  <c r="AL40" i="4"/>
  <c r="AL43" i="4"/>
  <c r="AL46" i="4"/>
  <c r="AL51" i="4"/>
  <c r="AL54" i="4"/>
  <c r="AL59" i="4"/>
  <c r="AL62" i="4"/>
  <c r="AL67" i="4"/>
  <c r="AL70" i="4"/>
  <c r="AL75" i="4"/>
  <c r="AL78" i="4"/>
  <c r="AL83" i="4"/>
  <c r="AL86" i="4"/>
  <c r="AL91" i="4"/>
  <c r="AL94" i="4"/>
  <c r="AL99" i="4"/>
  <c r="AL102" i="4"/>
  <c r="AL107" i="4"/>
  <c r="AL110" i="4"/>
  <c r="AL115" i="4"/>
  <c r="AL118" i="4"/>
  <c r="AL123" i="4"/>
  <c r="AL126" i="4"/>
  <c r="AL131" i="4"/>
  <c r="AL134" i="4"/>
  <c r="AL139" i="4"/>
  <c r="AL142" i="4"/>
  <c r="AL147" i="4"/>
  <c r="AL150" i="4"/>
  <c r="AL155" i="4"/>
  <c r="AL8" i="4"/>
  <c r="AL13" i="4"/>
  <c r="B29" i="5"/>
  <c r="O15" i="4"/>
  <c r="H47" i="1"/>
  <c r="AL7" i="4"/>
  <c r="E120" i="2"/>
  <c r="H49" i="1"/>
  <c r="O12" i="4"/>
  <c r="AN8" i="5"/>
  <c r="AK8" i="5"/>
  <c r="AM13" i="5"/>
  <c r="T13" i="5"/>
  <c r="AJ13" i="5"/>
  <c r="AG13" i="5"/>
  <c r="T8" i="5"/>
  <c r="U8" i="5" s="1"/>
  <c r="O10" i="5"/>
  <c r="AP8" i="5"/>
  <c r="AR8" i="5" s="1"/>
  <c r="AM12" i="5"/>
  <c r="T12" i="5"/>
  <c r="AJ12" i="5"/>
  <c r="AG12" i="5"/>
  <c r="B54" i="5"/>
  <c r="B188" i="2"/>
  <c r="B239" i="2"/>
  <c r="H64" i="1" s="1"/>
  <c r="B241" i="2"/>
  <c r="B10" i="5"/>
  <c r="AL19" i="5"/>
  <c r="AK19" i="5"/>
  <c r="AK474" i="5"/>
  <c r="AL474" i="5"/>
  <c r="AK471" i="5"/>
  <c r="AL471" i="5"/>
  <c r="AL546" i="5"/>
  <c r="AK546" i="5"/>
  <c r="AK468" i="5"/>
  <c r="AL468" i="5"/>
  <c r="AL524" i="5"/>
  <c r="AK524" i="5"/>
  <c r="AL544" i="5"/>
  <c r="AK544" i="5"/>
  <c r="AL526" i="5"/>
  <c r="AK526" i="5"/>
  <c r="AK472" i="5"/>
  <c r="AL472" i="5"/>
  <c r="AK437" i="5"/>
  <c r="AL437" i="5"/>
  <c r="AK375" i="5"/>
  <c r="AL375" i="5"/>
  <c r="AK513" i="5"/>
  <c r="AL513" i="5"/>
  <c r="AL493" i="5"/>
  <c r="AK493" i="5"/>
  <c r="AK450" i="5"/>
  <c r="AL450" i="5"/>
  <c r="AL438" i="5"/>
  <c r="AK438" i="5"/>
  <c r="AK511" i="5"/>
  <c r="AL511" i="5"/>
  <c r="AL470" i="5"/>
  <c r="AK470" i="5"/>
  <c r="AK453" i="5"/>
  <c r="AL453" i="5"/>
  <c r="AK407" i="5"/>
  <c r="AL407" i="5"/>
  <c r="AL372" i="5"/>
  <c r="AK372" i="5"/>
  <c r="AK323" i="5"/>
  <c r="AL323" i="5"/>
  <c r="AK388" i="5"/>
  <c r="AL388" i="5"/>
  <c r="AK348" i="5"/>
  <c r="AL348" i="5"/>
  <c r="AK434" i="5"/>
  <c r="AL434" i="5"/>
  <c r="AK389" i="5"/>
  <c r="AL389" i="5"/>
  <c r="AK363" i="5"/>
  <c r="AL363" i="5"/>
  <c r="AL337" i="5"/>
  <c r="AK337" i="5"/>
  <c r="AK334" i="5"/>
  <c r="AL334" i="5"/>
  <c r="AL304" i="5"/>
  <c r="AK304" i="5"/>
  <c r="AK276" i="5"/>
  <c r="AL276" i="5"/>
  <c r="AK245" i="5"/>
  <c r="AL245" i="5"/>
  <c r="AL315" i="5"/>
  <c r="AK315" i="5"/>
  <c r="AK268" i="5"/>
  <c r="AL268" i="5"/>
  <c r="AK248" i="5"/>
  <c r="AL248" i="5"/>
  <c r="AK321" i="5"/>
  <c r="AL321" i="5"/>
  <c r="AL262" i="5"/>
  <c r="AK262" i="5"/>
  <c r="AK208" i="5"/>
  <c r="AL208" i="5"/>
  <c r="AK220" i="5"/>
  <c r="AL220" i="5"/>
  <c r="AK192" i="5"/>
  <c r="AL192" i="5"/>
  <c r="AK202" i="5"/>
  <c r="AL202" i="5"/>
  <c r="AK235" i="5"/>
  <c r="AL235" i="5"/>
  <c r="AK204" i="5"/>
  <c r="AL204" i="5"/>
  <c r="AK196" i="5"/>
  <c r="AL196" i="5"/>
  <c r="AL182" i="5"/>
  <c r="AK182" i="5"/>
  <c r="AK185" i="5"/>
  <c r="AL185" i="5"/>
  <c r="AK151" i="5"/>
  <c r="AL151" i="5"/>
  <c r="AK140" i="5"/>
  <c r="AL140" i="5"/>
  <c r="AK80" i="5"/>
  <c r="AL80" i="5"/>
  <c r="AK134" i="5"/>
  <c r="AL134" i="5"/>
  <c r="AK161" i="5"/>
  <c r="AL161" i="5"/>
  <c r="AP117" i="5"/>
  <c r="AK117" i="5"/>
  <c r="AL117" i="5"/>
  <c r="AK103" i="5"/>
  <c r="AL103" i="5"/>
  <c r="AK104" i="5"/>
  <c r="AL104" i="5"/>
  <c r="AL91" i="5"/>
  <c r="AK91" i="5"/>
  <c r="AK73" i="5"/>
  <c r="AL73" i="5"/>
  <c r="AK57" i="5"/>
  <c r="AL57" i="5"/>
  <c r="AK53" i="5"/>
  <c r="AL53" i="5"/>
  <c r="AK63" i="5"/>
  <c r="AL63" i="5"/>
  <c r="AK41" i="5"/>
  <c r="AL41" i="5"/>
  <c r="AK23" i="5"/>
  <c r="AL23" i="5"/>
  <c r="AI521" i="5"/>
  <c r="AH521" i="5"/>
  <c r="AP521" i="5"/>
  <c r="AH558" i="5"/>
  <c r="AI558" i="5"/>
  <c r="AP558" i="5"/>
  <c r="AP426" i="5"/>
  <c r="AI426" i="5"/>
  <c r="AH426" i="5"/>
  <c r="AP377" i="5"/>
  <c r="AI377" i="5"/>
  <c r="AH377" i="5"/>
  <c r="AI495" i="5"/>
  <c r="AH495" i="5"/>
  <c r="AP495" i="5"/>
  <c r="AI528" i="5"/>
  <c r="AH528" i="5"/>
  <c r="AI380" i="5"/>
  <c r="AP380" i="5"/>
  <c r="AH380" i="5"/>
  <c r="AH553" i="5"/>
  <c r="AI553" i="5"/>
  <c r="AP553" i="5"/>
  <c r="AI507" i="5"/>
  <c r="AP507" i="5"/>
  <c r="AH507" i="5"/>
  <c r="AI486" i="5"/>
  <c r="AH486" i="5"/>
  <c r="AI474" i="5"/>
  <c r="AH474" i="5"/>
  <c r="AP474" i="5"/>
  <c r="AI459" i="5"/>
  <c r="AH459" i="5"/>
  <c r="AP459" i="5"/>
  <c r="AI439" i="5"/>
  <c r="AH439" i="5"/>
  <c r="AP439" i="5"/>
  <c r="AP337" i="5"/>
  <c r="AI337" i="5"/>
  <c r="AH337" i="5"/>
  <c r="AI516" i="5"/>
  <c r="AH516" i="5"/>
  <c r="AP516" i="5"/>
  <c r="AH496" i="5"/>
  <c r="AP496" i="5"/>
  <c r="AI496" i="5"/>
  <c r="AI460" i="5"/>
  <c r="AP460" i="5"/>
  <c r="AH460" i="5"/>
  <c r="AI447" i="5"/>
  <c r="AH447" i="5"/>
  <c r="AP447" i="5"/>
  <c r="AI370" i="5"/>
  <c r="AP370" i="5"/>
  <c r="AH370" i="5"/>
  <c r="AI530" i="5"/>
  <c r="AH530" i="5"/>
  <c r="AP530" i="5"/>
  <c r="AI510" i="5"/>
  <c r="AP510" i="5"/>
  <c r="AH510" i="5"/>
  <c r="AI494" i="5"/>
  <c r="AP494" i="5"/>
  <c r="AH494" i="5"/>
  <c r="AI487" i="5"/>
  <c r="AH487" i="5"/>
  <c r="AP487" i="5"/>
  <c r="AI451" i="5"/>
  <c r="AP451" i="5"/>
  <c r="AH451" i="5"/>
  <c r="AI438" i="5"/>
  <c r="AH438" i="5"/>
  <c r="AP438" i="5"/>
  <c r="AI412" i="5"/>
  <c r="AH412" i="5"/>
  <c r="AP412" i="5"/>
  <c r="AI346" i="5"/>
  <c r="AP346" i="5"/>
  <c r="AH346" i="5"/>
  <c r="AH275" i="5"/>
  <c r="AI275" i="5"/>
  <c r="AP275" i="5"/>
  <c r="AI417" i="5"/>
  <c r="AP417" i="5"/>
  <c r="AH417" i="5"/>
  <c r="AI402" i="5"/>
  <c r="AH402" i="5"/>
  <c r="AP402" i="5"/>
  <c r="AH375" i="5"/>
  <c r="AP375" i="5"/>
  <c r="AI375" i="5"/>
  <c r="AI360" i="5"/>
  <c r="AH360" i="5"/>
  <c r="AP360" i="5"/>
  <c r="AI347" i="5"/>
  <c r="AP347" i="5"/>
  <c r="AH347" i="5"/>
  <c r="AP410" i="5"/>
  <c r="AI410" i="5"/>
  <c r="AH410" i="5"/>
  <c r="AI396" i="5"/>
  <c r="AP396" i="5"/>
  <c r="AH396" i="5"/>
  <c r="AP386" i="5"/>
  <c r="AI386" i="5"/>
  <c r="AH386" i="5"/>
  <c r="AH368" i="5"/>
  <c r="AP368" i="5"/>
  <c r="AI368" i="5"/>
  <c r="AI340" i="5"/>
  <c r="AH340" i="5"/>
  <c r="AP340" i="5"/>
  <c r="AH321" i="5"/>
  <c r="AP321" i="5"/>
  <c r="AI321" i="5"/>
  <c r="AH262" i="5"/>
  <c r="AI262" i="5"/>
  <c r="AP262" i="5"/>
  <c r="AP436" i="5"/>
  <c r="AI436" i="5"/>
  <c r="AH436" i="5"/>
  <c r="AI421" i="5"/>
  <c r="AH421" i="5"/>
  <c r="AP421" i="5"/>
  <c r="AI403" i="5"/>
  <c r="AH403" i="5"/>
  <c r="AP403" i="5"/>
  <c r="AI397" i="5"/>
  <c r="AH397" i="5"/>
  <c r="AP397" i="5"/>
  <c r="AI378" i="5"/>
  <c r="AH378" i="5"/>
  <c r="AP378" i="5"/>
  <c r="AI341" i="5"/>
  <c r="AP341" i="5"/>
  <c r="AH341" i="5"/>
  <c r="AH284" i="5"/>
  <c r="AP284" i="5"/>
  <c r="AI284" i="5"/>
  <c r="AI356" i="5"/>
  <c r="AH356" i="5"/>
  <c r="AP356" i="5"/>
  <c r="AI345" i="5"/>
  <c r="AH345" i="5"/>
  <c r="AP345" i="5"/>
  <c r="AI336" i="5"/>
  <c r="AH336" i="5"/>
  <c r="AP336" i="5"/>
  <c r="AI313" i="5"/>
  <c r="AH313" i="5"/>
  <c r="AP313" i="5"/>
  <c r="AP296" i="5"/>
  <c r="AI296" i="5"/>
  <c r="AH296" i="5"/>
  <c r="AI281" i="5"/>
  <c r="AH281" i="5"/>
  <c r="AP281" i="5"/>
  <c r="AH261" i="5"/>
  <c r="AI261" i="5"/>
  <c r="AP261" i="5"/>
  <c r="AH237" i="5"/>
  <c r="AI237" i="5"/>
  <c r="AP237" i="5"/>
  <c r="AI328" i="5"/>
  <c r="AP328" i="5"/>
  <c r="AH328" i="5"/>
  <c r="AH316" i="5"/>
  <c r="AI316" i="5"/>
  <c r="AP316" i="5"/>
  <c r="AI299" i="5"/>
  <c r="AP299" i="5"/>
  <c r="AH299" i="5"/>
  <c r="AH286" i="5"/>
  <c r="AP286" i="5"/>
  <c r="AI286" i="5"/>
  <c r="AH276" i="5"/>
  <c r="AI276" i="5"/>
  <c r="AP276" i="5"/>
  <c r="AH250" i="5"/>
  <c r="AI250" i="5"/>
  <c r="AP250" i="5"/>
  <c r="AH210" i="5"/>
  <c r="AI210" i="5"/>
  <c r="AP210" i="5"/>
  <c r="AI324" i="5"/>
  <c r="AP324" i="5"/>
  <c r="AH324" i="5"/>
  <c r="AI314" i="5"/>
  <c r="AH314" i="5"/>
  <c r="AP314" i="5"/>
  <c r="AP301" i="5"/>
  <c r="AI301" i="5"/>
  <c r="AH301" i="5"/>
  <c r="AP283" i="5"/>
  <c r="AH283" i="5"/>
  <c r="AI283" i="5"/>
  <c r="AI273" i="5"/>
  <c r="AH273" i="5"/>
  <c r="AP273" i="5"/>
  <c r="AP257" i="5"/>
  <c r="AH257" i="5"/>
  <c r="AI257" i="5"/>
  <c r="AP251" i="5"/>
  <c r="AH251" i="5"/>
  <c r="AI251" i="5"/>
  <c r="AI240" i="5"/>
  <c r="AH240" i="5"/>
  <c r="AP240" i="5"/>
  <c r="AP233" i="5"/>
  <c r="AH233" i="5"/>
  <c r="AI233" i="5"/>
  <c r="AI221" i="5"/>
  <c r="AH221" i="5"/>
  <c r="AP221" i="5"/>
  <c r="AI195" i="5"/>
  <c r="AH195" i="5"/>
  <c r="AP195" i="5"/>
  <c r="AI159" i="5"/>
  <c r="AH159" i="5"/>
  <c r="AP159" i="5"/>
  <c r="AH229" i="5"/>
  <c r="AI229" i="5"/>
  <c r="AP229" i="5"/>
  <c r="AI211" i="5"/>
  <c r="AH211" i="5"/>
  <c r="AP211" i="5"/>
  <c r="AH164" i="5"/>
  <c r="AI164" i="5"/>
  <c r="AP164" i="5"/>
  <c r="AH239" i="5"/>
  <c r="AI239" i="5"/>
  <c r="AP239" i="5"/>
  <c r="AH218" i="5"/>
  <c r="AI218" i="5"/>
  <c r="AP218" i="5"/>
  <c r="AH176" i="5"/>
  <c r="AI176" i="5"/>
  <c r="AP176" i="5"/>
  <c r="AH199" i="5"/>
  <c r="AI199" i="5"/>
  <c r="AP199" i="5"/>
  <c r="AH190" i="5"/>
  <c r="AI190" i="5"/>
  <c r="AP190" i="5"/>
  <c r="AI175" i="5"/>
  <c r="AH175" i="5"/>
  <c r="AP175" i="5"/>
  <c r="AH160" i="5"/>
  <c r="AI160" i="5"/>
  <c r="AP160" i="5"/>
  <c r="AH133" i="5"/>
  <c r="AP133" i="5"/>
  <c r="AI133" i="5"/>
  <c r="AI182" i="5"/>
  <c r="AH182" i="5"/>
  <c r="AP182" i="5"/>
  <c r="AI165" i="5"/>
  <c r="AH165" i="5"/>
  <c r="AP165" i="5"/>
  <c r="AH131" i="5"/>
  <c r="AI131" i="5"/>
  <c r="AP131" i="5"/>
  <c r="AI187" i="5"/>
  <c r="AH187" i="5"/>
  <c r="AP187" i="5"/>
  <c r="AH177" i="5"/>
  <c r="AI177" i="5"/>
  <c r="AP177" i="5"/>
  <c r="AI153" i="5"/>
  <c r="AH153" i="5"/>
  <c r="AP153" i="5"/>
  <c r="AH135" i="5"/>
  <c r="AI135" i="5"/>
  <c r="AP135" i="5"/>
  <c r="AH110" i="5"/>
  <c r="AI110" i="5"/>
  <c r="AP110" i="5"/>
  <c r="AH139" i="5"/>
  <c r="AI139" i="5"/>
  <c r="AP139" i="5"/>
  <c r="AH130" i="5"/>
  <c r="AI130" i="5"/>
  <c r="AH118" i="5"/>
  <c r="AI118" i="5"/>
  <c r="AP118" i="5"/>
  <c r="AH92" i="5"/>
  <c r="AI92" i="5"/>
  <c r="AP92" i="5"/>
  <c r="AH142" i="5"/>
  <c r="AP142" i="5"/>
  <c r="AI142" i="5"/>
  <c r="AI89" i="5"/>
  <c r="AH89" i="5"/>
  <c r="AP89" i="5"/>
  <c r="AI141" i="5"/>
  <c r="AH141" i="5"/>
  <c r="AP141" i="5"/>
  <c r="AH121" i="5"/>
  <c r="AI121" i="5"/>
  <c r="AP121" i="5"/>
  <c r="AH100" i="5"/>
  <c r="AI100" i="5"/>
  <c r="AP100" i="5"/>
  <c r="AI91" i="5"/>
  <c r="AH91" i="5"/>
  <c r="AP91" i="5"/>
  <c r="AI79" i="5"/>
  <c r="AH79" i="5"/>
  <c r="AP79" i="5"/>
  <c r="AP103" i="5"/>
  <c r="AH103" i="5"/>
  <c r="AI103" i="5"/>
  <c r="AI96" i="5"/>
  <c r="AH96" i="5"/>
  <c r="AP96" i="5"/>
  <c r="AI93" i="5"/>
  <c r="AH93" i="5"/>
  <c r="AP93" i="5"/>
  <c r="AH78" i="5"/>
  <c r="AI78" i="5"/>
  <c r="AP78" i="5"/>
  <c r="AI55" i="5"/>
  <c r="AH55" i="5"/>
  <c r="AP55" i="5"/>
  <c r="AH69" i="5"/>
  <c r="AI69" i="5"/>
  <c r="AP69" i="5"/>
  <c r="AI66" i="5"/>
  <c r="AH66" i="5"/>
  <c r="AP66" i="5"/>
  <c r="AP23" i="5"/>
  <c r="AH23" i="5"/>
  <c r="AI23" i="5"/>
  <c r="AH65" i="5"/>
  <c r="AI65" i="5"/>
  <c r="AP65" i="5"/>
  <c r="AI41" i="5"/>
  <c r="AH41" i="5"/>
  <c r="AP41" i="5"/>
  <c r="AH54" i="5"/>
  <c r="AI54" i="5"/>
  <c r="AP54" i="5"/>
  <c r="AI25" i="5"/>
  <c r="AH25" i="5"/>
  <c r="AP25" i="5"/>
  <c r="AI47" i="5"/>
  <c r="AH47" i="5"/>
  <c r="AP47" i="5"/>
  <c r="AH34" i="5"/>
  <c r="AI34" i="5"/>
  <c r="AP34" i="5"/>
  <c r="AH42" i="5"/>
  <c r="AI42" i="5"/>
  <c r="AP42" i="5"/>
  <c r="AI24" i="5"/>
  <c r="AH24" i="5"/>
  <c r="AP24" i="5"/>
  <c r="AH38" i="5"/>
  <c r="AP38" i="5"/>
  <c r="AI38" i="5"/>
  <c r="AP29" i="5"/>
  <c r="AI29" i="5"/>
  <c r="AH29" i="5"/>
  <c r="AO546" i="5"/>
  <c r="AN546" i="5"/>
  <c r="AN450" i="5"/>
  <c r="AO450" i="5"/>
  <c r="AO552" i="5"/>
  <c r="AN552" i="5"/>
  <c r="AO535" i="5"/>
  <c r="AN535" i="5"/>
  <c r="AN491" i="5"/>
  <c r="AO491" i="5"/>
  <c r="AN551" i="5"/>
  <c r="AO551" i="5"/>
  <c r="AN543" i="5"/>
  <c r="AO543" i="5"/>
  <c r="AO445" i="5"/>
  <c r="AN445" i="5"/>
  <c r="AO560" i="5"/>
  <c r="AN560" i="5"/>
  <c r="AN540" i="5"/>
  <c r="AO540" i="5"/>
  <c r="AN527" i="5"/>
  <c r="AO527" i="5"/>
  <c r="AO485" i="5"/>
  <c r="AN485" i="5"/>
  <c r="AO421" i="5"/>
  <c r="AN421" i="5"/>
  <c r="AO556" i="5"/>
  <c r="AN556" i="5"/>
  <c r="AN539" i="5"/>
  <c r="AO539" i="5"/>
  <c r="AN520" i="5"/>
  <c r="AO520" i="5"/>
  <c r="AO508" i="5"/>
  <c r="AN508" i="5"/>
  <c r="AO500" i="5"/>
  <c r="AN500" i="5"/>
  <c r="AO493" i="5"/>
  <c r="AN493" i="5"/>
  <c r="AO487" i="5"/>
  <c r="AN487" i="5"/>
  <c r="AN476" i="5"/>
  <c r="AO476" i="5"/>
  <c r="AO463" i="5"/>
  <c r="AN463" i="5"/>
  <c r="AO451" i="5"/>
  <c r="AN451" i="5"/>
  <c r="AO434" i="5"/>
  <c r="AN434" i="5"/>
  <c r="AO396" i="5"/>
  <c r="AN396" i="5"/>
  <c r="AO347" i="5"/>
  <c r="AN347" i="5"/>
  <c r="AO514" i="5"/>
  <c r="AN514" i="5"/>
  <c r="AN506" i="5"/>
  <c r="AO506" i="5"/>
  <c r="AN477" i="5"/>
  <c r="AO477" i="5"/>
  <c r="AO467" i="5"/>
  <c r="AN467" i="5"/>
  <c r="AN447" i="5"/>
  <c r="AO447" i="5"/>
  <c r="AN427" i="5"/>
  <c r="AO427" i="5"/>
  <c r="AO397" i="5"/>
  <c r="AN397" i="5"/>
  <c r="AN325" i="5"/>
  <c r="AO325" i="5"/>
  <c r="AO526" i="5"/>
  <c r="AN526" i="5"/>
  <c r="AO497" i="5"/>
  <c r="AN497" i="5"/>
  <c r="AO475" i="5"/>
  <c r="AN475" i="5"/>
  <c r="AO459" i="5"/>
  <c r="AN459" i="5"/>
  <c r="AO442" i="5"/>
  <c r="AN442" i="5"/>
  <c r="AN362" i="5"/>
  <c r="AO362" i="5"/>
  <c r="AO415" i="5"/>
  <c r="AN415" i="5"/>
  <c r="AO395" i="5"/>
  <c r="AN395" i="5"/>
  <c r="AO374" i="5"/>
  <c r="AN374" i="5"/>
  <c r="AO355" i="5"/>
  <c r="AN355" i="5"/>
  <c r="AO341" i="5"/>
  <c r="AN341" i="5"/>
  <c r="AN292" i="5"/>
  <c r="AO292" i="5"/>
  <c r="AO273" i="5"/>
  <c r="AN273" i="5"/>
  <c r="AN209" i="5"/>
  <c r="AO209" i="5"/>
  <c r="AN413" i="5"/>
  <c r="AO413" i="5"/>
  <c r="AN392" i="5"/>
  <c r="AO392" i="5"/>
  <c r="AO384" i="5"/>
  <c r="AN384" i="5"/>
  <c r="AO370" i="5"/>
  <c r="AN370" i="5"/>
  <c r="AO359" i="5"/>
  <c r="AN359" i="5"/>
  <c r="AN334" i="5"/>
  <c r="AO334" i="5"/>
  <c r="AO260" i="5"/>
  <c r="AN260" i="5"/>
  <c r="AN436" i="5"/>
  <c r="AO436" i="5"/>
  <c r="AN423" i="5"/>
  <c r="AO423" i="5"/>
  <c r="AN410" i="5"/>
  <c r="AO410" i="5"/>
  <c r="AN385" i="5"/>
  <c r="AO385" i="5"/>
  <c r="AO369" i="5"/>
  <c r="AN369" i="5"/>
  <c r="AO338" i="5"/>
  <c r="AN338" i="5"/>
  <c r="AN299" i="5"/>
  <c r="AO299" i="5"/>
  <c r="AN206" i="5"/>
  <c r="AO206" i="5"/>
  <c r="AN346" i="5"/>
  <c r="AO346" i="5"/>
  <c r="AN337" i="5"/>
  <c r="AO337" i="5"/>
  <c r="AO324" i="5"/>
  <c r="AN324" i="5"/>
  <c r="AO314" i="5"/>
  <c r="AN314" i="5"/>
  <c r="AO306" i="5"/>
  <c r="AN306" i="5"/>
  <c r="AO287" i="5"/>
  <c r="AN287" i="5"/>
  <c r="AO265" i="5"/>
  <c r="AN265" i="5"/>
  <c r="AO251" i="5"/>
  <c r="AN251" i="5"/>
  <c r="AO232" i="5"/>
  <c r="AN232" i="5"/>
  <c r="AO331" i="5"/>
  <c r="AN331" i="5"/>
  <c r="AN305" i="5"/>
  <c r="AO305" i="5"/>
  <c r="AN284" i="5"/>
  <c r="AO284" i="5"/>
  <c r="AN262" i="5"/>
  <c r="AO262" i="5"/>
  <c r="AO207" i="5"/>
  <c r="AN207" i="5"/>
  <c r="AO318" i="5"/>
  <c r="AN318" i="5"/>
  <c r="AO300" i="5"/>
  <c r="AN300" i="5"/>
  <c r="AO285" i="5"/>
  <c r="AN285" i="5"/>
  <c r="AO276" i="5"/>
  <c r="AN276" i="5"/>
  <c r="AO264" i="5"/>
  <c r="AN264" i="5"/>
  <c r="AO223" i="5"/>
  <c r="AN223" i="5"/>
  <c r="AO189" i="5"/>
  <c r="AN189" i="5"/>
  <c r="AN234" i="5"/>
  <c r="AO234" i="5"/>
  <c r="AO200" i="5"/>
  <c r="AN200" i="5"/>
  <c r="AO178" i="5"/>
  <c r="AN178" i="5"/>
  <c r="AO238" i="5"/>
  <c r="AN238" i="5"/>
  <c r="AO222" i="5"/>
  <c r="AN222" i="5"/>
  <c r="AO212" i="5"/>
  <c r="AN212" i="5"/>
  <c r="AO195" i="5"/>
  <c r="AN195" i="5"/>
  <c r="AO243" i="5"/>
  <c r="AN243" i="5"/>
  <c r="AO225" i="5"/>
  <c r="AN225" i="5"/>
  <c r="AO211" i="5"/>
  <c r="AN211" i="5"/>
  <c r="AN174" i="5"/>
  <c r="AO174" i="5"/>
  <c r="AO130" i="5"/>
  <c r="AN130" i="5"/>
  <c r="AO198" i="5"/>
  <c r="AN198" i="5"/>
  <c r="AN173" i="5"/>
  <c r="AO173" i="5"/>
  <c r="AN156" i="5"/>
  <c r="AO156" i="5"/>
  <c r="AN122" i="5"/>
  <c r="AO122" i="5"/>
  <c r="AO176" i="5"/>
  <c r="AN176" i="5"/>
  <c r="AN164" i="5"/>
  <c r="AO164" i="5"/>
  <c r="AN141" i="5"/>
  <c r="AO141" i="5"/>
  <c r="AN175" i="5"/>
  <c r="AO175" i="5"/>
  <c r="AO160" i="5"/>
  <c r="AN160" i="5"/>
  <c r="AN148" i="5"/>
  <c r="AO148" i="5"/>
  <c r="AO137" i="5"/>
  <c r="AN137" i="5"/>
  <c r="AN113" i="5"/>
  <c r="AO113" i="5"/>
  <c r="AN149" i="5"/>
  <c r="AO149" i="5"/>
  <c r="AO135" i="5"/>
  <c r="AN135" i="5"/>
  <c r="AN125" i="5"/>
  <c r="AO125" i="5"/>
  <c r="AO112" i="5"/>
  <c r="AN112" i="5"/>
  <c r="AN85" i="5"/>
  <c r="AO85" i="5"/>
  <c r="AO140" i="5"/>
  <c r="AN140" i="5"/>
  <c r="AN114" i="5"/>
  <c r="AO114" i="5"/>
  <c r="AN109" i="5"/>
  <c r="AO109" i="5"/>
  <c r="AO108" i="5"/>
  <c r="AN108" i="5"/>
  <c r="AO98" i="5"/>
  <c r="AN98" i="5"/>
  <c r="AN92" i="5"/>
  <c r="AO92" i="5"/>
  <c r="AO88" i="5"/>
  <c r="AN88" i="5"/>
  <c r="AO82" i="5"/>
  <c r="AN82" i="5"/>
  <c r="AN69" i="5"/>
  <c r="AO69" i="5"/>
  <c r="AO47" i="5"/>
  <c r="AN47" i="5"/>
  <c r="AN71" i="5"/>
  <c r="AO71" i="5"/>
  <c r="AO72" i="5"/>
  <c r="AN72" i="5"/>
  <c r="AN66" i="5"/>
  <c r="AO66" i="5"/>
  <c r="AN51" i="5"/>
  <c r="AO51" i="5"/>
  <c r="AO48" i="5"/>
  <c r="AN48" i="5"/>
  <c r="AN73" i="5"/>
  <c r="AO73" i="5"/>
  <c r="AO60" i="5"/>
  <c r="AN60" i="5"/>
  <c r="AO32" i="5"/>
  <c r="AN32" i="5"/>
  <c r="AN41" i="5"/>
  <c r="AO41" i="5"/>
  <c r="AO20" i="5"/>
  <c r="AN20" i="5"/>
  <c r="AN27" i="5"/>
  <c r="AO27" i="5"/>
  <c r="AN45" i="5"/>
  <c r="AO45" i="5"/>
  <c r="AN29" i="5"/>
  <c r="AO29" i="5"/>
  <c r="AL553" i="5"/>
  <c r="AK553" i="5"/>
  <c r="AK514" i="5"/>
  <c r="AL514" i="5"/>
  <c r="AL360" i="5"/>
  <c r="AK360" i="5"/>
  <c r="AK525" i="5"/>
  <c r="AL525" i="5"/>
  <c r="AK486" i="5"/>
  <c r="AL486" i="5"/>
  <c r="AK457" i="5"/>
  <c r="AL457" i="5"/>
  <c r="AL548" i="5"/>
  <c r="AK548" i="5"/>
  <c r="AL541" i="5"/>
  <c r="AK541" i="5"/>
  <c r="AL528" i="5"/>
  <c r="AK528" i="5"/>
  <c r="AL462" i="5"/>
  <c r="AK462" i="5"/>
  <c r="AK550" i="5"/>
  <c r="AL550" i="5"/>
  <c r="AK459" i="5"/>
  <c r="AL459" i="5"/>
  <c r="AL291" i="5"/>
  <c r="AK291" i="5"/>
  <c r="AL558" i="5"/>
  <c r="AK558" i="5"/>
  <c r="AL542" i="5"/>
  <c r="AK542" i="5"/>
  <c r="AK534" i="5"/>
  <c r="AL534" i="5"/>
  <c r="AK517" i="5"/>
  <c r="AL517" i="5"/>
  <c r="AK490" i="5"/>
  <c r="AL490" i="5"/>
  <c r="AK464" i="5"/>
  <c r="AL464" i="5"/>
  <c r="AK448" i="5"/>
  <c r="AL448" i="5"/>
  <c r="AK435" i="5"/>
  <c r="AL435" i="5"/>
  <c r="AK422" i="5"/>
  <c r="AL422" i="5"/>
  <c r="AK411" i="5"/>
  <c r="AL411" i="5"/>
  <c r="AK351" i="5"/>
  <c r="AL351" i="5"/>
  <c r="AK521" i="5"/>
  <c r="AL521" i="5"/>
  <c r="AL510" i="5"/>
  <c r="AK510" i="5"/>
  <c r="AL502" i="5"/>
  <c r="AK502" i="5"/>
  <c r="AK489" i="5"/>
  <c r="AL489" i="5"/>
  <c r="AL473" i="5"/>
  <c r="AK473" i="5"/>
  <c r="AK455" i="5"/>
  <c r="AL455" i="5"/>
  <c r="AK449" i="5"/>
  <c r="AL449" i="5"/>
  <c r="AK436" i="5"/>
  <c r="AL436" i="5"/>
  <c r="AK367" i="5"/>
  <c r="AL367" i="5"/>
  <c r="AK523" i="5"/>
  <c r="AL523" i="5"/>
  <c r="AL506" i="5"/>
  <c r="AK506" i="5"/>
  <c r="AK492" i="5"/>
  <c r="AL492" i="5"/>
  <c r="AK479" i="5"/>
  <c r="AL479" i="5"/>
  <c r="AK467" i="5"/>
  <c r="AL467" i="5"/>
  <c r="AL446" i="5"/>
  <c r="AK446" i="5"/>
  <c r="AK429" i="5"/>
  <c r="AL429" i="5"/>
  <c r="AL338" i="5"/>
  <c r="AK338" i="5"/>
  <c r="AK405" i="5"/>
  <c r="AL405" i="5"/>
  <c r="AK396" i="5"/>
  <c r="AL396" i="5"/>
  <c r="AK382" i="5"/>
  <c r="AL382" i="5"/>
  <c r="AK368" i="5"/>
  <c r="AL368" i="5"/>
  <c r="AL303" i="5"/>
  <c r="AK303" i="5"/>
  <c r="AK420" i="5"/>
  <c r="AL420" i="5"/>
  <c r="AL398" i="5"/>
  <c r="AK398" i="5"/>
  <c r="AK378" i="5"/>
  <c r="AL378" i="5"/>
  <c r="AK358" i="5"/>
  <c r="AL358" i="5"/>
  <c r="AK342" i="5"/>
  <c r="AL342" i="5"/>
  <c r="AK274" i="5"/>
  <c r="AL274" i="5"/>
  <c r="AK432" i="5"/>
  <c r="AL432" i="5"/>
  <c r="AK416" i="5"/>
  <c r="AL416" i="5"/>
  <c r="AK399" i="5"/>
  <c r="AL399" i="5"/>
  <c r="AK384" i="5"/>
  <c r="AL384" i="5"/>
  <c r="AK371" i="5"/>
  <c r="AL371" i="5"/>
  <c r="AK359" i="5"/>
  <c r="AL359" i="5"/>
  <c r="AK346" i="5"/>
  <c r="AL346" i="5"/>
  <c r="AK327" i="5"/>
  <c r="AL327" i="5"/>
  <c r="AK281" i="5"/>
  <c r="AL281" i="5"/>
  <c r="AL353" i="5"/>
  <c r="AK353" i="5"/>
  <c r="AK333" i="5"/>
  <c r="AL333" i="5"/>
  <c r="AK316" i="5"/>
  <c r="AL316" i="5"/>
  <c r="AL299" i="5"/>
  <c r="AK299" i="5"/>
  <c r="AL286" i="5"/>
  <c r="AK286" i="5"/>
  <c r="AL273" i="5"/>
  <c r="AK273" i="5"/>
  <c r="AL258" i="5"/>
  <c r="AK258" i="5"/>
  <c r="AK221" i="5"/>
  <c r="AL221" i="5"/>
  <c r="AL324" i="5"/>
  <c r="AK324" i="5"/>
  <c r="AL314" i="5"/>
  <c r="AK314" i="5"/>
  <c r="AL301" i="5"/>
  <c r="AK301" i="5"/>
  <c r="AL283" i="5"/>
  <c r="AK283" i="5"/>
  <c r="AL265" i="5"/>
  <c r="AK265" i="5"/>
  <c r="AK254" i="5"/>
  <c r="AL254" i="5"/>
  <c r="AK230" i="5"/>
  <c r="AL230" i="5"/>
  <c r="AK330" i="5"/>
  <c r="AL330" i="5"/>
  <c r="AL317" i="5"/>
  <c r="AK317" i="5"/>
  <c r="AL298" i="5"/>
  <c r="AK298" i="5"/>
  <c r="AK278" i="5"/>
  <c r="AL278" i="5"/>
  <c r="AK256" i="5"/>
  <c r="AL256" i="5"/>
  <c r="AK236" i="5"/>
  <c r="AL236" i="5"/>
  <c r="AL163" i="5"/>
  <c r="AK163" i="5"/>
  <c r="AK227" i="5"/>
  <c r="AL227" i="5"/>
  <c r="AL218" i="5"/>
  <c r="AK218" i="5"/>
  <c r="AL201" i="5"/>
  <c r="AK201" i="5"/>
  <c r="AK189" i="5"/>
  <c r="AL189" i="5"/>
  <c r="AL172" i="5"/>
  <c r="AK172" i="5"/>
  <c r="AL234" i="5"/>
  <c r="AK234" i="5"/>
  <c r="AK199" i="5"/>
  <c r="AL199" i="5"/>
  <c r="AK242" i="5"/>
  <c r="AL242" i="5"/>
  <c r="AK228" i="5"/>
  <c r="AL228" i="5"/>
  <c r="AP217" i="5"/>
  <c r="AK217" i="5"/>
  <c r="AL217" i="5"/>
  <c r="AK203" i="5"/>
  <c r="AL203" i="5"/>
  <c r="AL160" i="5"/>
  <c r="AK160" i="5"/>
  <c r="AK207" i="5"/>
  <c r="AL207" i="5"/>
  <c r="AK191" i="5"/>
  <c r="AL191" i="5"/>
  <c r="AK171" i="5"/>
  <c r="AL171" i="5"/>
  <c r="AP119" i="5"/>
  <c r="AL119" i="5"/>
  <c r="AK119" i="5"/>
  <c r="AK173" i="5"/>
  <c r="AL173" i="5"/>
  <c r="AL180" i="5"/>
  <c r="AK180" i="5"/>
  <c r="AK166" i="5"/>
  <c r="AL166" i="5"/>
  <c r="AK113" i="5"/>
  <c r="AL113" i="5"/>
  <c r="AK150" i="5"/>
  <c r="AL150" i="5"/>
  <c r="AK133" i="5"/>
  <c r="AL133" i="5"/>
  <c r="AL121" i="5"/>
  <c r="AK121" i="5"/>
  <c r="AL105" i="5"/>
  <c r="AK105" i="5"/>
  <c r="AP64" i="5"/>
  <c r="AL64" i="5"/>
  <c r="AK64" i="5"/>
  <c r="AK143" i="5"/>
  <c r="AL143" i="5"/>
  <c r="AK132" i="5"/>
  <c r="AL132" i="5"/>
  <c r="AK116" i="5"/>
  <c r="AL116" i="5"/>
  <c r="AK158" i="5"/>
  <c r="AL158" i="5"/>
  <c r="AK138" i="5"/>
  <c r="AL138" i="5"/>
  <c r="AK125" i="5"/>
  <c r="AL125" i="5"/>
  <c r="AK112" i="5"/>
  <c r="AL112" i="5"/>
  <c r="AK97" i="5"/>
  <c r="AL97" i="5"/>
  <c r="AK96" i="5"/>
  <c r="AL96" i="5"/>
  <c r="AL89" i="5"/>
  <c r="AK89" i="5"/>
  <c r="AL101" i="5"/>
  <c r="AK101" i="5"/>
  <c r="AK85" i="5"/>
  <c r="AL85" i="5"/>
  <c r="AK72" i="5"/>
  <c r="AL72" i="5"/>
  <c r="AL88" i="5"/>
  <c r="AK88" i="5"/>
  <c r="AL68" i="5"/>
  <c r="AK68" i="5"/>
  <c r="AL60" i="5"/>
  <c r="AK60" i="5"/>
  <c r="AK71" i="5"/>
  <c r="AL71" i="5"/>
  <c r="AK56" i="5"/>
  <c r="AL56" i="5"/>
  <c r="AK47" i="5"/>
  <c r="AL47" i="5"/>
  <c r="AK61" i="5"/>
  <c r="AL61" i="5"/>
  <c r="AK51" i="5"/>
  <c r="AL51" i="5"/>
  <c r="AL52" i="5"/>
  <c r="AK52" i="5"/>
  <c r="AK35" i="5"/>
  <c r="AL35" i="5"/>
  <c r="AK21" i="5"/>
  <c r="AL21" i="5"/>
  <c r="AK38" i="5"/>
  <c r="AL38" i="5"/>
  <c r="AK20" i="5"/>
  <c r="AL20" i="5"/>
  <c r="AK31" i="5"/>
  <c r="AL31" i="5"/>
  <c r="AK22" i="5"/>
  <c r="AL22" i="5"/>
  <c r="AI538" i="5"/>
  <c r="AP538" i="5"/>
  <c r="AH538" i="5"/>
  <c r="AI503" i="5"/>
  <c r="AH503" i="5"/>
  <c r="AP503" i="5"/>
  <c r="AH446" i="5"/>
  <c r="AP446" i="5"/>
  <c r="AI446" i="5"/>
  <c r="AH556" i="5"/>
  <c r="AI556" i="5"/>
  <c r="AP556" i="5"/>
  <c r="AH511" i="5"/>
  <c r="AP511" i="5"/>
  <c r="AI511" i="5"/>
  <c r="AP432" i="5"/>
  <c r="AI432" i="5"/>
  <c r="AH432" i="5"/>
  <c r="AI413" i="5"/>
  <c r="AH413" i="5"/>
  <c r="AP413" i="5"/>
  <c r="AH365" i="5"/>
  <c r="AI365" i="5"/>
  <c r="AP365" i="5"/>
  <c r="AI532" i="5"/>
  <c r="AH532" i="5"/>
  <c r="AP532" i="5"/>
  <c r="AI533" i="5"/>
  <c r="AP533" i="5"/>
  <c r="AH533" i="5"/>
  <c r="AI484" i="5"/>
  <c r="AP484" i="5"/>
  <c r="AH484" i="5"/>
  <c r="AI441" i="5"/>
  <c r="AH441" i="5"/>
  <c r="AP441" i="5"/>
  <c r="AI541" i="5"/>
  <c r="AH541" i="5"/>
  <c r="AP541" i="5"/>
  <c r="AI520" i="5"/>
  <c r="AH520" i="5"/>
  <c r="AP520" i="5"/>
  <c r="AI482" i="5"/>
  <c r="AP482" i="5"/>
  <c r="AH482" i="5"/>
  <c r="AI463" i="5"/>
  <c r="AH463" i="5"/>
  <c r="AP463" i="5"/>
  <c r="AH204" i="5"/>
  <c r="AI204" i="5"/>
  <c r="AP204" i="5"/>
  <c r="AH551" i="5"/>
  <c r="AP551" i="5"/>
  <c r="AI551" i="5"/>
  <c r="AI546" i="5"/>
  <c r="AH546" i="5"/>
  <c r="AP546" i="5"/>
  <c r="AH524" i="5"/>
  <c r="AP524" i="5"/>
  <c r="AI524" i="5"/>
  <c r="AI505" i="5"/>
  <c r="AH505" i="5"/>
  <c r="AP505" i="5"/>
  <c r="AI480" i="5"/>
  <c r="AH480" i="5"/>
  <c r="AP480" i="5"/>
  <c r="AI471" i="5"/>
  <c r="AH471" i="5"/>
  <c r="AP471" i="5"/>
  <c r="AI457" i="5"/>
  <c r="AP457" i="5"/>
  <c r="AH457" i="5"/>
  <c r="AI423" i="5"/>
  <c r="AP423" i="5"/>
  <c r="AH423" i="5"/>
  <c r="AH302" i="5"/>
  <c r="AP302" i="5"/>
  <c r="AI302" i="5"/>
  <c r="AI515" i="5"/>
  <c r="AH515" i="5"/>
  <c r="AP515" i="5"/>
  <c r="AI491" i="5"/>
  <c r="AH491" i="5"/>
  <c r="AP491" i="5"/>
  <c r="AI475" i="5"/>
  <c r="AH475" i="5"/>
  <c r="AP475" i="5"/>
  <c r="AI458" i="5"/>
  <c r="AH458" i="5"/>
  <c r="AP458" i="5"/>
  <c r="AP442" i="5"/>
  <c r="AI442" i="5"/>
  <c r="AH442" i="5"/>
  <c r="AP422" i="5"/>
  <c r="AI422" i="5"/>
  <c r="AH422" i="5"/>
  <c r="AH357" i="5"/>
  <c r="AP357" i="5"/>
  <c r="AI357" i="5"/>
  <c r="AI522" i="5"/>
  <c r="AH522" i="5"/>
  <c r="AP522" i="5"/>
  <c r="AP508" i="5"/>
  <c r="AI508" i="5"/>
  <c r="AH508" i="5"/>
  <c r="AI493" i="5"/>
  <c r="AH493" i="5"/>
  <c r="AP493" i="5"/>
  <c r="AI481" i="5"/>
  <c r="AP481" i="5"/>
  <c r="AH481" i="5"/>
  <c r="AP450" i="5"/>
  <c r="AI450" i="5"/>
  <c r="AH450" i="5"/>
  <c r="AI431" i="5"/>
  <c r="AH431" i="5"/>
  <c r="AP431" i="5"/>
  <c r="AI379" i="5"/>
  <c r="AH379" i="5"/>
  <c r="AP379" i="5"/>
  <c r="AI344" i="5"/>
  <c r="AH344" i="5"/>
  <c r="AP344" i="5"/>
  <c r="AH256" i="5"/>
  <c r="AI256" i="5"/>
  <c r="AP256" i="5"/>
  <c r="AI414" i="5"/>
  <c r="AH414" i="5"/>
  <c r="AP414" i="5"/>
  <c r="AI390" i="5"/>
  <c r="AH390" i="5"/>
  <c r="AP390" i="5"/>
  <c r="AI373" i="5"/>
  <c r="AP373" i="5"/>
  <c r="AH373" i="5"/>
  <c r="AP353" i="5"/>
  <c r="AI353" i="5"/>
  <c r="AH353" i="5"/>
  <c r="AP339" i="5"/>
  <c r="AI339" i="5"/>
  <c r="AH339" i="5"/>
  <c r="AI409" i="5"/>
  <c r="AH409" i="5"/>
  <c r="AP409" i="5"/>
  <c r="AI393" i="5"/>
  <c r="AH393" i="5"/>
  <c r="AP393" i="5"/>
  <c r="AI381" i="5"/>
  <c r="AP381" i="5"/>
  <c r="AH381" i="5"/>
  <c r="AI367" i="5"/>
  <c r="AH367" i="5"/>
  <c r="AP367" i="5"/>
  <c r="AI333" i="5"/>
  <c r="AH333" i="5"/>
  <c r="AP333" i="5"/>
  <c r="AI298" i="5"/>
  <c r="AH298" i="5"/>
  <c r="AP298" i="5"/>
  <c r="AH226" i="5"/>
  <c r="AI226" i="5"/>
  <c r="AP226" i="5"/>
  <c r="AI433" i="5"/>
  <c r="AH433" i="5"/>
  <c r="AP433" i="5"/>
  <c r="AI420" i="5"/>
  <c r="AP420" i="5"/>
  <c r="AH420" i="5"/>
  <c r="AI401" i="5"/>
  <c r="AH401" i="5"/>
  <c r="AP401" i="5"/>
  <c r="AI394" i="5"/>
  <c r="AP394" i="5"/>
  <c r="AH394" i="5"/>
  <c r="AI374" i="5"/>
  <c r="AH374" i="5"/>
  <c r="AP374" i="5"/>
  <c r="AI330" i="5"/>
  <c r="AP330" i="5"/>
  <c r="AH330" i="5"/>
  <c r="AH231" i="5"/>
  <c r="AI231" i="5"/>
  <c r="AP231" i="5"/>
  <c r="AH354" i="5"/>
  <c r="AI354" i="5"/>
  <c r="AP354" i="5"/>
  <c r="AI343" i="5"/>
  <c r="AH343" i="5"/>
  <c r="AI335" i="5"/>
  <c r="AH335" i="5"/>
  <c r="AP335" i="5"/>
  <c r="AH307" i="5"/>
  <c r="AP307" i="5"/>
  <c r="AI307" i="5"/>
  <c r="AI291" i="5"/>
  <c r="AH291" i="5"/>
  <c r="AP291" i="5"/>
  <c r="AH271" i="5"/>
  <c r="AI271" i="5"/>
  <c r="AP271" i="5"/>
  <c r="AI259" i="5"/>
  <c r="AH259" i="5"/>
  <c r="AP259" i="5"/>
  <c r="AH200" i="5"/>
  <c r="AI200" i="5"/>
  <c r="AP200" i="5"/>
  <c r="AI327" i="5"/>
  <c r="AH327" i="5"/>
  <c r="AP327" i="5"/>
  <c r="AH311" i="5"/>
  <c r="AP311" i="5"/>
  <c r="AI311" i="5"/>
  <c r="AI297" i="5"/>
  <c r="AH297" i="5"/>
  <c r="AP297" i="5"/>
  <c r="AI282" i="5"/>
  <c r="AH282" i="5"/>
  <c r="AP282" i="5"/>
  <c r="AH270" i="5"/>
  <c r="AI270" i="5"/>
  <c r="AP270" i="5"/>
  <c r="AH246" i="5"/>
  <c r="AI246" i="5"/>
  <c r="AP246" i="5"/>
  <c r="AI205" i="5"/>
  <c r="AP205" i="5"/>
  <c r="AH205" i="5"/>
  <c r="AI322" i="5"/>
  <c r="AP322" i="5"/>
  <c r="AH322" i="5"/>
  <c r="AH312" i="5"/>
  <c r="AP312" i="5"/>
  <c r="AI312" i="5"/>
  <c r="AI295" i="5"/>
  <c r="AH295" i="5"/>
  <c r="AP295" i="5"/>
  <c r="AH280" i="5"/>
  <c r="AI280" i="5"/>
  <c r="AP280" i="5"/>
  <c r="AH265" i="5"/>
  <c r="AP265" i="5"/>
  <c r="AI265" i="5"/>
  <c r="AH255" i="5"/>
  <c r="AP255" i="5"/>
  <c r="AI255" i="5"/>
  <c r="AH249" i="5"/>
  <c r="AI249" i="5"/>
  <c r="AP249" i="5"/>
  <c r="AH238" i="5"/>
  <c r="AI238" i="5"/>
  <c r="AP238" i="5"/>
  <c r="AH230" i="5"/>
  <c r="AI230" i="5"/>
  <c r="AP230" i="5"/>
  <c r="AI217" i="5"/>
  <c r="AH217" i="5"/>
  <c r="AP191" i="5"/>
  <c r="AI191" i="5"/>
  <c r="AH191" i="5"/>
  <c r="AH243" i="5"/>
  <c r="AI243" i="5"/>
  <c r="AP243" i="5"/>
  <c r="AI224" i="5"/>
  <c r="AH224" i="5"/>
  <c r="AP224" i="5"/>
  <c r="AH209" i="5"/>
  <c r="AI209" i="5"/>
  <c r="AP209" i="5"/>
  <c r="AH248" i="5"/>
  <c r="AI248" i="5"/>
  <c r="AP248" i="5"/>
  <c r="AI234" i="5"/>
  <c r="AP234" i="5"/>
  <c r="AH234" i="5"/>
  <c r="AI215" i="5"/>
  <c r="AP215" i="5"/>
  <c r="AH215" i="5"/>
  <c r="AH154" i="5"/>
  <c r="AI154" i="5"/>
  <c r="AP154" i="5"/>
  <c r="AH198" i="5"/>
  <c r="AI198" i="5"/>
  <c r="AP198" i="5"/>
  <c r="AH189" i="5"/>
  <c r="AI189" i="5"/>
  <c r="AP189" i="5"/>
  <c r="AH172" i="5"/>
  <c r="AI172" i="5"/>
  <c r="AP172" i="5"/>
  <c r="AI157" i="5"/>
  <c r="AH157" i="5"/>
  <c r="AP157" i="5"/>
  <c r="AI111" i="5"/>
  <c r="AH111" i="5"/>
  <c r="AP111" i="5"/>
  <c r="AI181" i="5"/>
  <c r="AH181" i="5"/>
  <c r="AP181" i="5"/>
  <c r="AI163" i="5"/>
  <c r="AH163" i="5"/>
  <c r="AP163" i="5"/>
  <c r="AH128" i="5"/>
  <c r="AI128" i="5"/>
  <c r="AI183" i="5"/>
  <c r="AH183" i="5"/>
  <c r="AP183" i="5"/>
  <c r="AH173" i="5"/>
  <c r="AI173" i="5"/>
  <c r="AP173" i="5"/>
  <c r="AH150" i="5"/>
  <c r="AP150" i="5"/>
  <c r="AI150" i="5"/>
  <c r="AI129" i="5"/>
  <c r="AH129" i="5"/>
  <c r="AP129" i="5"/>
  <c r="AI84" i="5"/>
  <c r="AH84" i="5"/>
  <c r="AP84" i="5"/>
  <c r="AH138" i="5"/>
  <c r="AP138" i="5"/>
  <c r="AI138" i="5"/>
  <c r="AI122" i="5"/>
  <c r="AH122" i="5"/>
  <c r="AP122" i="5"/>
  <c r="AP109" i="5"/>
  <c r="AH109" i="5"/>
  <c r="AI109" i="5"/>
  <c r="AH156" i="5"/>
  <c r="AI156" i="5"/>
  <c r="AP156" i="5"/>
  <c r="AI126" i="5"/>
  <c r="AH126" i="5"/>
  <c r="AP126" i="5"/>
  <c r="AH71" i="5"/>
  <c r="AI71" i="5"/>
  <c r="AP71" i="5"/>
  <c r="AH136" i="5"/>
  <c r="AI136" i="5"/>
  <c r="AP136" i="5"/>
  <c r="AI115" i="5"/>
  <c r="AP115" i="5"/>
  <c r="AH115" i="5"/>
  <c r="AI83" i="5"/>
  <c r="AH83" i="5"/>
  <c r="AP83" i="5"/>
  <c r="AH88" i="5"/>
  <c r="AI88" i="5"/>
  <c r="AP88" i="5"/>
  <c r="AH75" i="5"/>
  <c r="AI75" i="5"/>
  <c r="AP75" i="5"/>
  <c r="AI102" i="5"/>
  <c r="AH102" i="5"/>
  <c r="AP102" i="5"/>
  <c r="AH87" i="5"/>
  <c r="AI87" i="5"/>
  <c r="AP87" i="5"/>
  <c r="AH90" i="5"/>
  <c r="AI90" i="5"/>
  <c r="AP90" i="5"/>
  <c r="AI77" i="5"/>
  <c r="AH77" i="5"/>
  <c r="AP77" i="5"/>
  <c r="AP52" i="5"/>
  <c r="AH52" i="5"/>
  <c r="AI52" i="5"/>
  <c r="AP22" i="5"/>
  <c r="AI22" i="5"/>
  <c r="AH22" i="5"/>
  <c r="AI63" i="5"/>
  <c r="AH63" i="5"/>
  <c r="AP63" i="5"/>
  <c r="AI20" i="5"/>
  <c r="AH20" i="5"/>
  <c r="AP20" i="5"/>
  <c r="AH62" i="5"/>
  <c r="AI62" i="5"/>
  <c r="AP62" i="5"/>
  <c r="AH64" i="5"/>
  <c r="AI64" i="5"/>
  <c r="AI53" i="5"/>
  <c r="AH53" i="5"/>
  <c r="AP53" i="5"/>
  <c r="AH51" i="5"/>
  <c r="AI51" i="5"/>
  <c r="AP51" i="5"/>
  <c r="AH43" i="5"/>
  <c r="AI43" i="5"/>
  <c r="AP43" i="5"/>
  <c r="AI31" i="5"/>
  <c r="AH31" i="5"/>
  <c r="AP31" i="5"/>
  <c r="AI39" i="5"/>
  <c r="AH39" i="5"/>
  <c r="AP39" i="5"/>
  <c r="AP21" i="5"/>
  <c r="AI21" i="5"/>
  <c r="AH21" i="5"/>
  <c r="AH35" i="5"/>
  <c r="AI35" i="5"/>
  <c r="AP35" i="5"/>
  <c r="B51" i="5"/>
  <c r="AO537" i="5"/>
  <c r="AN537" i="5"/>
  <c r="AN438" i="5"/>
  <c r="AO438" i="5"/>
  <c r="AN547" i="5"/>
  <c r="AO547" i="5"/>
  <c r="AO533" i="5"/>
  <c r="AN533" i="5"/>
  <c r="AN481" i="5"/>
  <c r="AO481" i="5"/>
  <c r="AO550" i="5"/>
  <c r="AN550" i="5"/>
  <c r="AO538" i="5"/>
  <c r="AN538" i="5"/>
  <c r="AO437" i="5"/>
  <c r="AN437" i="5"/>
  <c r="AN557" i="5"/>
  <c r="AO557" i="5"/>
  <c r="AO536" i="5"/>
  <c r="AN536" i="5"/>
  <c r="AN521" i="5"/>
  <c r="AO521" i="5"/>
  <c r="AN456" i="5"/>
  <c r="AO456" i="5"/>
  <c r="AN328" i="5"/>
  <c r="AO328" i="5"/>
  <c r="AO555" i="5"/>
  <c r="AN555" i="5"/>
  <c r="AO530" i="5"/>
  <c r="AN530" i="5"/>
  <c r="AN518" i="5"/>
  <c r="AO518" i="5"/>
  <c r="AO505" i="5"/>
  <c r="AN505" i="5"/>
  <c r="AN499" i="5"/>
  <c r="AO499" i="5"/>
  <c r="AN492" i="5"/>
  <c r="AO492" i="5"/>
  <c r="AN486" i="5"/>
  <c r="AO486" i="5"/>
  <c r="AO473" i="5"/>
  <c r="AN473" i="5"/>
  <c r="AO455" i="5"/>
  <c r="AN455" i="5"/>
  <c r="AO444" i="5"/>
  <c r="AN444" i="5"/>
  <c r="AN432" i="5"/>
  <c r="AO432" i="5"/>
  <c r="AN387" i="5"/>
  <c r="AO387" i="5"/>
  <c r="AN308" i="5"/>
  <c r="AO308" i="5"/>
  <c r="AN512" i="5"/>
  <c r="AO512" i="5"/>
  <c r="AO498" i="5"/>
  <c r="AN498" i="5"/>
  <c r="AO474" i="5"/>
  <c r="AN474" i="5"/>
  <c r="AO465" i="5"/>
  <c r="AN465" i="5"/>
  <c r="AN446" i="5"/>
  <c r="AO446" i="5"/>
  <c r="AN426" i="5"/>
  <c r="AO426" i="5"/>
  <c r="AO394" i="5"/>
  <c r="AN394" i="5"/>
  <c r="AN270" i="5"/>
  <c r="AO270" i="5"/>
  <c r="AO525" i="5"/>
  <c r="AN525" i="5"/>
  <c r="AO496" i="5"/>
  <c r="AN496" i="5"/>
  <c r="AN472" i="5"/>
  <c r="AO472" i="5"/>
  <c r="AO458" i="5"/>
  <c r="AN458" i="5"/>
  <c r="AN422" i="5"/>
  <c r="AO422" i="5"/>
  <c r="AO354" i="5"/>
  <c r="AN354" i="5"/>
  <c r="AO406" i="5"/>
  <c r="AN406" i="5"/>
  <c r="AN388" i="5"/>
  <c r="AO388" i="5"/>
  <c r="AN371" i="5"/>
  <c r="AO371" i="5"/>
  <c r="AO349" i="5"/>
  <c r="AN349" i="5"/>
  <c r="AO340" i="5"/>
  <c r="AN340" i="5"/>
  <c r="AN289" i="5"/>
  <c r="AO289" i="5"/>
  <c r="AO267" i="5"/>
  <c r="AN267" i="5"/>
  <c r="AN419" i="5"/>
  <c r="AO419" i="5"/>
  <c r="AN408" i="5"/>
  <c r="AO408" i="5"/>
  <c r="AO390" i="5"/>
  <c r="AN390" i="5"/>
  <c r="AO380" i="5"/>
  <c r="AN380" i="5"/>
  <c r="AO365" i="5"/>
  <c r="AN365" i="5"/>
  <c r="AN356" i="5"/>
  <c r="AO356" i="5"/>
  <c r="AN304" i="5"/>
  <c r="AO304" i="5"/>
  <c r="AO252" i="5"/>
  <c r="AN252" i="5"/>
  <c r="AO435" i="5"/>
  <c r="AN435" i="5"/>
  <c r="AN420" i="5"/>
  <c r="AO420" i="5"/>
  <c r="AO409" i="5"/>
  <c r="AN409" i="5"/>
  <c r="AN383" i="5"/>
  <c r="AO383" i="5"/>
  <c r="AO367" i="5"/>
  <c r="AN367" i="5"/>
  <c r="AO335" i="5"/>
  <c r="AN335" i="5"/>
  <c r="AO258" i="5"/>
  <c r="AN258" i="5"/>
  <c r="AO358" i="5"/>
  <c r="AN358" i="5"/>
  <c r="AN344" i="5"/>
  <c r="AO344" i="5"/>
  <c r="AN332" i="5"/>
  <c r="AO332" i="5"/>
  <c r="AO322" i="5"/>
  <c r="AN322" i="5"/>
  <c r="AO312" i="5"/>
  <c r="AN312" i="5"/>
  <c r="AN302" i="5"/>
  <c r="AO302" i="5"/>
  <c r="AO283" i="5"/>
  <c r="AN283" i="5"/>
  <c r="AO263" i="5"/>
  <c r="AN263" i="5"/>
  <c r="AO249" i="5"/>
  <c r="AN249" i="5"/>
  <c r="AN227" i="5"/>
  <c r="AO227" i="5"/>
  <c r="AO326" i="5"/>
  <c r="AN326" i="5"/>
  <c r="AO298" i="5"/>
  <c r="AN298" i="5"/>
  <c r="AN278" i="5"/>
  <c r="AO278" i="5"/>
  <c r="AO256" i="5"/>
  <c r="AN256" i="5"/>
  <c r="AN157" i="5"/>
  <c r="AO157" i="5"/>
  <c r="AO313" i="5"/>
  <c r="AN313" i="5"/>
  <c r="AO296" i="5"/>
  <c r="AN296" i="5"/>
  <c r="AN282" i="5"/>
  <c r="AO282" i="5"/>
  <c r="AO274" i="5"/>
  <c r="AN274" i="5"/>
  <c r="AO261" i="5"/>
  <c r="AN261" i="5"/>
  <c r="AO220" i="5"/>
  <c r="AN220" i="5"/>
  <c r="AN240" i="5"/>
  <c r="AO240" i="5"/>
  <c r="AN231" i="5"/>
  <c r="AO231" i="5"/>
  <c r="AN199" i="5"/>
  <c r="AO199" i="5"/>
  <c r="AO161" i="5"/>
  <c r="AN161" i="5"/>
  <c r="AO235" i="5"/>
  <c r="AN235" i="5"/>
  <c r="AN219" i="5"/>
  <c r="AO219" i="5"/>
  <c r="AO210" i="5"/>
  <c r="AN210" i="5"/>
  <c r="AO194" i="5"/>
  <c r="AN194" i="5"/>
  <c r="AN236" i="5"/>
  <c r="AO236" i="5"/>
  <c r="AO221" i="5"/>
  <c r="AN221" i="5"/>
  <c r="AN208" i="5"/>
  <c r="AO208" i="5"/>
  <c r="AN171" i="5"/>
  <c r="AO171" i="5"/>
  <c r="AN118" i="5"/>
  <c r="AO118" i="5"/>
  <c r="AO197" i="5"/>
  <c r="AN197" i="5"/>
  <c r="AO168" i="5"/>
  <c r="AN168" i="5"/>
  <c r="AO152" i="5"/>
  <c r="AN152" i="5"/>
  <c r="AN115" i="5"/>
  <c r="AO115" i="5"/>
  <c r="AN172" i="5"/>
  <c r="AO172" i="5"/>
  <c r="AO159" i="5"/>
  <c r="AN159" i="5"/>
  <c r="AN116" i="5"/>
  <c r="AO116" i="5"/>
  <c r="AO169" i="5"/>
  <c r="AN169" i="5"/>
  <c r="AN132" i="5"/>
  <c r="AO132" i="5"/>
  <c r="AO145" i="5"/>
  <c r="AN145" i="5"/>
  <c r="AN127" i="5"/>
  <c r="AO127" i="5"/>
  <c r="AN107" i="5"/>
  <c r="AO107" i="5"/>
  <c r="AO147" i="5"/>
  <c r="AN147" i="5"/>
  <c r="AO133" i="5"/>
  <c r="AN133" i="5"/>
  <c r="AN123" i="5"/>
  <c r="AO123" i="5"/>
  <c r="AN111" i="5"/>
  <c r="AO111" i="5"/>
  <c r="AN81" i="5"/>
  <c r="AO81" i="5"/>
  <c r="AO131" i="5"/>
  <c r="AN131" i="5"/>
  <c r="AN110" i="5"/>
  <c r="AO110" i="5"/>
  <c r="AN103" i="5"/>
  <c r="AO103" i="5"/>
  <c r="AN105" i="5"/>
  <c r="AO105" i="5"/>
  <c r="AO97" i="5"/>
  <c r="AN97" i="5"/>
  <c r="AO91" i="5"/>
  <c r="AN91" i="5"/>
  <c r="AN83" i="5"/>
  <c r="AO83" i="5"/>
  <c r="AO80" i="5"/>
  <c r="AN80" i="5"/>
  <c r="AN65" i="5"/>
  <c r="AO65" i="5"/>
  <c r="AN23" i="5"/>
  <c r="AO23" i="5"/>
  <c r="AN53" i="5"/>
  <c r="AO53" i="5"/>
  <c r="AO70" i="5"/>
  <c r="AN70" i="5"/>
  <c r="AO61" i="5"/>
  <c r="AN61" i="5"/>
  <c r="AN24" i="5"/>
  <c r="AO24" i="5"/>
  <c r="AN39" i="5"/>
  <c r="AO39" i="5"/>
  <c r="AO68" i="5"/>
  <c r="AN68" i="5"/>
  <c r="AO56" i="5"/>
  <c r="AN56" i="5"/>
  <c r="AO50" i="5"/>
  <c r="AN50" i="5"/>
  <c r="AO38" i="5"/>
  <c r="AN38" i="5"/>
  <c r="AN43" i="5"/>
  <c r="AO43" i="5"/>
  <c r="AO26" i="5"/>
  <c r="AN26" i="5"/>
  <c r="AO40" i="5"/>
  <c r="AN40" i="5"/>
  <c r="AP528" i="5"/>
  <c r="AK531" i="5"/>
  <c r="AL531" i="5"/>
  <c r="AL560" i="5"/>
  <c r="AK560" i="5"/>
  <c r="AL559" i="5"/>
  <c r="AK559" i="5"/>
  <c r="AL261" i="5"/>
  <c r="AK261" i="5"/>
  <c r="AK491" i="5"/>
  <c r="AL491" i="5"/>
  <c r="AL424" i="5"/>
  <c r="AK424" i="5"/>
  <c r="AL266" i="5"/>
  <c r="AK266" i="5"/>
  <c r="AK481" i="5"/>
  <c r="AL481" i="5"/>
  <c r="AK373" i="5"/>
  <c r="AL373" i="5"/>
  <c r="AK495" i="5"/>
  <c r="AL495" i="5"/>
  <c r="AK430" i="5"/>
  <c r="AL430" i="5"/>
  <c r="AK397" i="5"/>
  <c r="AL397" i="5"/>
  <c r="AK400" i="5"/>
  <c r="AL400" i="5"/>
  <c r="AL318" i="5"/>
  <c r="AK318" i="5"/>
  <c r="AL408" i="5"/>
  <c r="AK408" i="5"/>
  <c r="AK350" i="5"/>
  <c r="AL350" i="5"/>
  <c r="AK355" i="5"/>
  <c r="AL355" i="5"/>
  <c r="AK289" i="5"/>
  <c r="AL289" i="5"/>
  <c r="AK332" i="5"/>
  <c r="AL332" i="5"/>
  <c r="AL287" i="5"/>
  <c r="AK287" i="5"/>
  <c r="AK331" i="5"/>
  <c r="AL331" i="5"/>
  <c r="AK284" i="5"/>
  <c r="AL284" i="5"/>
  <c r="AK229" i="5"/>
  <c r="AL229" i="5"/>
  <c r="AK175" i="5"/>
  <c r="AL175" i="5"/>
  <c r="AL244" i="5"/>
  <c r="AK244" i="5"/>
  <c r="AK162" i="5"/>
  <c r="AL162" i="5"/>
  <c r="AK137" i="5"/>
  <c r="AL137" i="5"/>
  <c r="AL168" i="5"/>
  <c r="AK168" i="5"/>
  <c r="AK123" i="5"/>
  <c r="AL123" i="5"/>
  <c r="AK145" i="5"/>
  <c r="AL145" i="5"/>
  <c r="AL146" i="5"/>
  <c r="AK146" i="5"/>
  <c r="AK98" i="5"/>
  <c r="AL98" i="5"/>
  <c r="AK93" i="5"/>
  <c r="AL93" i="5"/>
  <c r="AL76" i="5"/>
  <c r="AK76" i="5"/>
  <c r="AK66" i="5"/>
  <c r="AL66" i="5"/>
  <c r="AL24" i="5"/>
  <c r="AK24" i="5"/>
  <c r="AL37" i="5"/>
  <c r="AK37" i="5"/>
  <c r="AI544" i="5"/>
  <c r="AP544" i="5"/>
  <c r="AH544" i="5"/>
  <c r="AI454" i="5"/>
  <c r="AH454" i="5"/>
  <c r="AP454" i="5"/>
  <c r="AH536" i="5"/>
  <c r="AP536" i="5"/>
  <c r="AI536" i="5"/>
  <c r="AP444" i="5"/>
  <c r="AI444" i="5"/>
  <c r="AH444" i="5"/>
  <c r="AI492" i="5"/>
  <c r="AP492" i="5"/>
  <c r="AH492" i="5"/>
  <c r="AI525" i="5"/>
  <c r="AH525" i="5"/>
  <c r="AP525" i="5"/>
  <c r="AI483" i="5"/>
  <c r="AP483" i="5"/>
  <c r="AH483" i="5"/>
  <c r="AL545" i="5"/>
  <c r="AK545" i="5"/>
  <c r="AL557" i="5"/>
  <c r="AK557" i="5"/>
  <c r="AK478" i="5"/>
  <c r="AL478" i="5"/>
  <c r="AL554" i="5"/>
  <c r="AK554" i="5"/>
  <c r="AL539" i="5"/>
  <c r="AK539" i="5"/>
  <c r="AK522" i="5"/>
  <c r="AL522" i="5"/>
  <c r="AK369" i="5"/>
  <c r="AL369" i="5"/>
  <c r="AL549" i="5"/>
  <c r="AK549" i="5"/>
  <c r="AK452" i="5"/>
  <c r="AL452" i="5"/>
  <c r="AL285" i="5"/>
  <c r="AK285" i="5"/>
  <c r="AL552" i="5"/>
  <c r="AK552" i="5"/>
  <c r="AL540" i="5"/>
  <c r="AK540" i="5"/>
  <c r="AL533" i="5"/>
  <c r="AK533" i="5"/>
  <c r="AL501" i="5"/>
  <c r="AK501" i="5"/>
  <c r="AL485" i="5"/>
  <c r="AK485" i="5"/>
  <c r="AL460" i="5"/>
  <c r="AK460" i="5"/>
  <c r="AK445" i="5"/>
  <c r="AL445" i="5"/>
  <c r="AK433" i="5"/>
  <c r="AL433" i="5"/>
  <c r="AL421" i="5"/>
  <c r="AK421" i="5"/>
  <c r="AK402" i="5"/>
  <c r="AL402" i="5"/>
  <c r="AK339" i="5"/>
  <c r="AL339" i="5"/>
  <c r="AL520" i="5"/>
  <c r="AK520" i="5"/>
  <c r="AL509" i="5"/>
  <c r="AK509" i="5"/>
  <c r="AK499" i="5"/>
  <c r="AL499" i="5"/>
  <c r="AK488" i="5"/>
  <c r="AL488" i="5"/>
  <c r="AK469" i="5"/>
  <c r="AL469" i="5"/>
  <c r="AK454" i="5"/>
  <c r="AL454" i="5"/>
  <c r="AK443" i="5"/>
  <c r="AL443" i="5"/>
  <c r="AK431" i="5"/>
  <c r="AL431" i="5"/>
  <c r="AK361" i="5"/>
  <c r="AL361" i="5"/>
  <c r="AK519" i="5"/>
  <c r="AL519" i="5"/>
  <c r="AK505" i="5"/>
  <c r="AL505" i="5"/>
  <c r="AK484" i="5"/>
  <c r="AL484" i="5"/>
  <c r="AK477" i="5"/>
  <c r="AL477" i="5"/>
  <c r="AK465" i="5"/>
  <c r="AL465" i="5"/>
  <c r="AK444" i="5"/>
  <c r="AL444" i="5"/>
  <c r="AL428" i="5"/>
  <c r="AK428" i="5"/>
  <c r="AL410" i="5"/>
  <c r="AK410" i="5"/>
  <c r="AL403" i="5"/>
  <c r="AK403" i="5"/>
  <c r="AK391" i="5"/>
  <c r="AL391" i="5"/>
  <c r="AL381" i="5"/>
  <c r="AK381" i="5"/>
  <c r="AK362" i="5"/>
  <c r="AL362" i="5"/>
  <c r="AL300" i="5"/>
  <c r="AK300" i="5"/>
  <c r="AK415" i="5"/>
  <c r="AL415" i="5"/>
  <c r="AK395" i="5"/>
  <c r="AL395" i="5"/>
  <c r="AK374" i="5"/>
  <c r="AL374" i="5"/>
  <c r="AK354" i="5"/>
  <c r="AL354" i="5"/>
  <c r="AL341" i="5"/>
  <c r="AK341" i="5"/>
  <c r="AK271" i="5"/>
  <c r="AL271" i="5"/>
  <c r="AK427" i="5"/>
  <c r="AL427" i="5"/>
  <c r="AL413" i="5"/>
  <c r="AK413" i="5"/>
  <c r="AK392" i="5"/>
  <c r="AL392" i="5"/>
  <c r="AK380" i="5"/>
  <c r="AL380" i="5"/>
  <c r="AK370" i="5"/>
  <c r="AL370" i="5"/>
  <c r="AL357" i="5"/>
  <c r="AK357" i="5"/>
  <c r="AK345" i="5"/>
  <c r="AL345" i="5"/>
  <c r="AK313" i="5"/>
  <c r="AL313" i="5"/>
  <c r="AK246" i="5"/>
  <c r="AL246" i="5"/>
  <c r="AK347" i="5"/>
  <c r="AL347" i="5"/>
  <c r="AL328" i="5"/>
  <c r="AK328" i="5"/>
  <c r="AL311" i="5"/>
  <c r="AK311" i="5"/>
  <c r="AL297" i="5"/>
  <c r="AK297" i="5"/>
  <c r="AL282" i="5"/>
  <c r="AK282" i="5"/>
  <c r="AK270" i="5"/>
  <c r="AL270" i="5"/>
  <c r="AL252" i="5"/>
  <c r="AK252" i="5"/>
  <c r="AL213" i="5"/>
  <c r="AK213" i="5"/>
  <c r="AK322" i="5"/>
  <c r="AL322" i="5"/>
  <c r="AL312" i="5"/>
  <c r="AK312" i="5"/>
  <c r="AL295" i="5"/>
  <c r="AK295" i="5"/>
  <c r="AK280" i="5"/>
  <c r="AL280" i="5"/>
  <c r="AK263" i="5"/>
  <c r="AL263" i="5"/>
  <c r="AL251" i="5"/>
  <c r="AK251" i="5"/>
  <c r="AK225" i="5"/>
  <c r="AL225" i="5"/>
  <c r="AK329" i="5"/>
  <c r="AL329" i="5"/>
  <c r="AL310" i="5"/>
  <c r="AK310" i="5"/>
  <c r="AL294" i="5"/>
  <c r="AK294" i="5"/>
  <c r="AK272" i="5"/>
  <c r="AL272" i="5"/>
  <c r="AK253" i="5"/>
  <c r="AL253" i="5"/>
  <c r="AK233" i="5"/>
  <c r="AL233" i="5"/>
  <c r="AP241" i="5"/>
  <c r="AK241" i="5"/>
  <c r="AL241" i="5"/>
  <c r="AK224" i="5"/>
  <c r="AL224" i="5"/>
  <c r="AK216" i="5"/>
  <c r="AL216" i="5"/>
  <c r="AK198" i="5"/>
  <c r="AL198" i="5"/>
  <c r="AK187" i="5"/>
  <c r="AL187" i="5"/>
  <c r="AK169" i="5"/>
  <c r="AL169" i="5"/>
  <c r="AK231" i="5"/>
  <c r="AL231" i="5"/>
  <c r="AL197" i="5"/>
  <c r="AK197" i="5"/>
  <c r="AK240" i="5"/>
  <c r="AL240" i="5"/>
  <c r="AK226" i="5"/>
  <c r="AL226" i="5"/>
  <c r="AK214" i="5"/>
  <c r="AL214" i="5"/>
  <c r="AL195" i="5"/>
  <c r="AK195" i="5"/>
  <c r="AL148" i="5"/>
  <c r="AK148" i="5"/>
  <c r="AL205" i="5"/>
  <c r="AK205" i="5"/>
  <c r="AL188" i="5"/>
  <c r="AK188" i="5"/>
  <c r="AL170" i="5"/>
  <c r="AK170" i="5"/>
  <c r="AK183" i="5"/>
  <c r="AL183" i="5"/>
  <c r="AL156" i="5"/>
  <c r="AK156" i="5"/>
  <c r="AL176" i="5"/>
  <c r="AK176" i="5"/>
  <c r="AL164" i="5"/>
  <c r="AK164" i="5"/>
  <c r="AK155" i="5"/>
  <c r="AL155" i="5"/>
  <c r="AK147" i="5"/>
  <c r="AL147" i="5"/>
  <c r="AK131" i="5"/>
  <c r="AL131" i="5"/>
  <c r="AK114" i="5"/>
  <c r="AL114" i="5"/>
  <c r="AK102" i="5"/>
  <c r="AL102" i="5"/>
  <c r="AK157" i="5"/>
  <c r="AL157" i="5"/>
  <c r="AL141" i="5"/>
  <c r="AK141" i="5"/>
  <c r="AP130" i="5"/>
  <c r="AL130" i="5"/>
  <c r="AK130" i="5"/>
  <c r="AK115" i="5"/>
  <c r="AL115" i="5"/>
  <c r="AL152" i="5"/>
  <c r="AK152" i="5"/>
  <c r="AK135" i="5"/>
  <c r="AL135" i="5"/>
  <c r="AK120" i="5"/>
  <c r="AL120" i="5"/>
  <c r="AK111" i="5"/>
  <c r="AL111" i="5"/>
  <c r="AK107" i="5"/>
  <c r="AL107" i="5"/>
  <c r="AL95" i="5"/>
  <c r="AK95" i="5"/>
  <c r="AK84" i="5"/>
  <c r="AL84" i="5"/>
  <c r="AK99" i="5"/>
  <c r="AL99" i="5"/>
  <c r="AK81" i="5"/>
  <c r="AL81" i="5"/>
  <c r="AK70" i="5"/>
  <c r="AL70" i="5"/>
  <c r="AK83" i="5"/>
  <c r="AL83" i="5"/>
  <c r="AK58" i="5"/>
  <c r="AL58" i="5"/>
  <c r="AK40" i="5"/>
  <c r="AL40" i="5"/>
  <c r="AL65" i="5"/>
  <c r="AK65" i="5"/>
  <c r="AK54" i="5"/>
  <c r="AL54" i="5"/>
  <c r="AL36" i="5"/>
  <c r="AK36" i="5"/>
  <c r="AK59" i="5"/>
  <c r="AL59" i="5"/>
  <c r="AK34" i="5"/>
  <c r="AL34" i="5"/>
  <c r="AK45" i="5"/>
  <c r="AL45" i="5"/>
  <c r="AL32" i="5"/>
  <c r="AK32" i="5"/>
  <c r="AK46" i="5"/>
  <c r="AL46" i="5"/>
  <c r="AK33" i="5"/>
  <c r="AL33" i="5"/>
  <c r="AK48" i="5"/>
  <c r="AL48" i="5"/>
  <c r="AK26" i="5"/>
  <c r="AL26" i="5"/>
  <c r="T28" i="5"/>
  <c r="T29" i="5"/>
  <c r="T38" i="5"/>
  <c r="T44" i="5"/>
  <c r="T46" i="5"/>
  <c r="T21" i="5"/>
  <c r="T24" i="5"/>
  <c r="T26" i="5"/>
  <c r="T27" i="5"/>
  <c r="T31" i="5"/>
  <c r="T32" i="5"/>
  <c r="T39" i="5"/>
  <c r="T42" i="5"/>
  <c r="T45" i="5"/>
  <c r="T22" i="5"/>
  <c r="T34" i="5"/>
  <c r="T36" i="5"/>
  <c r="T40" i="5"/>
  <c r="T43" i="5"/>
  <c r="T47" i="5"/>
  <c r="T48" i="5"/>
  <c r="T49" i="5"/>
  <c r="T41" i="5"/>
  <c r="T52" i="5"/>
  <c r="T53" i="5"/>
  <c r="T54" i="5"/>
  <c r="T64" i="5"/>
  <c r="T70" i="5"/>
  <c r="T20" i="5"/>
  <c r="T23" i="5"/>
  <c r="T30" i="5"/>
  <c r="T33" i="5"/>
  <c r="T50" i="5"/>
  <c r="T51" i="5"/>
  <c r="T56" i="5"/>
  <c r="T59" i="5"/>
  <c r="T62" i="5"/>
  <c r="T65" i="5"/>
  <c r="T67" i="5"/>
  <c r="T35" i="5"/>
  <c r="T55" i="5"/>
  <c r="T58" i="5"/>
  <c r="T63" i="5"/>
  <c r="T66" i="5"/>
  <c r="T68" i="5"/>
  <c r="T71" i="5"/>
  <c r="T76" i="5"/>
  <c r="T80" i="5"/>
  <c r="T74" i="5"/>
  <c r="T77" i="5"/>
  <c r="T57" i="5"/>
  <c r="T61" i="5"/>
  <c r="T73" i="5"/>
  <c r="T78" i="5"/>
  <c r="T89" i="5"/>
  <c r="T92" i="5"/>
  <c r="T25" i="5"/>
  <c r="T81" i="5"/>
  <c r="T82" i="5"/>
  <c r="T94" i="5"/>
  <c r="T96" i="5"/>
  <c r="T97" i="5"/>
  <c r="T98" i="5"/>
  <c r="T69" i="5"/>
  <c r="T95" i="5"/>
  <c r="T102" i="5"/>
  <c r="T105" i="5"/>
  <c r="T107" i="5"/>
  <c r="T60" i="5"/>
  <c r="T72" i="5"/>
  <c r="T83" i="5"/>
  <c r="T85" i="5"/>
  <c r="T88" i="5"/>
  <c r="T90" i="5"/>
  <c r="T91" i="5"/>
  <c r="T101" i="5"/>
  <c r="T108" i="5"/>
  <c r="T110" i="5"/>
  <c r="T37" i="5"/>
  <c r="T87" i="5"/>
  <c r="T93" i="5"/>
  <c r="T113" i="5"/>
  <c r="T121" i="5"/>
  <c r="T126" i="5"/>
  <c r="T127" i="5"/>
  <c r="T132" i="5"/>
  <c r="T136" i="5"/>
  <c r="T139" i="5"/>
  <c r="T141" i="5"/>
  <c r="T147" i="5"/>
  <c r="T155" i="5"/>
  <c r="T84" i="5"/>
  <c r="T99" i="5"/>
  <c r="T103" i="5"/>
  <c r="T106" i="5"/>
  <c r="T109" i="5"/>
  <c r="T112" i="5"/>
  <c r="T116" i="5"/>
  <c r="T117" i="5"/>
  <c r="T123" i="5"/>
  <c r="T124" i="5"/>
  <c r="T129" i="5"/>
  <c r="T131" i="5"/>
  <c r="T137" i="5"/>
  <c r="T142" i="5"/>
  <c r="T148" i="5"/>
  <c r="T151" i="5"/>
  <c r="T156" i="5"/>
  <c r="T75" i="5"/>
  <c r="T104" i="5"/>
  <c r="T114" i="5"/>
  <c r="T115" i="5"/>
  <c r="T119" i="5"/>
  <c r="T122" i="5"/>
  <c r="T130" i="5"/>
  <c r="T138" i="5"/>
  <c r="T143" i="5"/>
  <c r="T145" i="5"/>
  <c r="T146" i="5"/>
  <c r="T152" i="5"/>
  <c r="T125" i="5"/>
  <c r="T128" i="5"/>
  <c r="T134" i="5"/>
  <c r="T149" i="5"/>
  <c r="T165" i="5"/>
  <c r="T167" i="5"/>
  <c r="T171" i="5"/>
  <c r="T173" i="5"/>
  <c r="T177" i="5"/>
  <c r="T178" i="5"/>
  <c r="T181" i="5"/>
  <c r="T187" i="5"/>
  <c r="T86" i="5"/>
  <c r="T111" i="5"/>
  <c r="T118" i="5"/>
  <c r="T133" i="5"/>
  <c r="T140" i="5"/>
  <c r="T163" i="5"/>
  <c r="T169" i="5"/>
  <c r="T170" i="5"/>
  <c r="T182" i="5"/>
  <c r="T184" i="5"/>
  <c r="T79" i="5"/>
  <c r="T100" i="5"/>
  <c r="T154" i="5"/>
  <c r="T158" i="5"/>
  <c r="T161" i="5"/>
  <c r="T172" i="5"/>
  <c r="T175" i="5"/>
  <c r="T179" i="5"/>
  <c r="T183" i="5"/>
  <c r="T185" i="5"/>
  <c r="T186" i="5"/>
  <c r="T189" i="5"/>
  <c r="T190" i="5"/>
  <c r="T194" i="5"/>
  <c r="T197" i="5"/>
  <c r="T198" i="5"/>
  <c r="T201" i="5"/>
  <c r="T204" i="5"/>
  <c r="T206" i="5"/>
  <c r="T164" i="5"/>
  <c r="T188" i="5"/>
  <c r="T196" i="5"/>
  <c r="T200" i="5"/>
  <c r="T202" i="5"/>
  <c r="T203" i="5"/>
  <c r="T205" i="5"/>
  <c r="T208" i="5"/>
  <c r="T209" i="5"/>
  <c r="T211" i="5"/>
  <c r="T215" i="5"/>
  <c r="T218" i="5"/>
  <c r="T220" i="5"/>
  <c r="T223" i="5"/>
  <c r="T224" i="5"/>
  <c r="T227" i="5"/>
  <c r="T234" i="5"/>
  <c r="T239" i="5"/>
  <c r="T245" i="5"/>
  <c r="T120" i="5"/>
  <c r="T144" i="5"/>
  <c r="T150" i="5"/>
  <c r="T159" i="5"/>
  <c r="T166" i="5"/>
  <c r="T193" i="5"/>
  <c r="T199" i="5"/>
  <c r="T212" i="5"/>
  <c r="T216" i="5"/>
  <c r="T217" i="5"/>
  <c r="T222" i="5"/>
  <c r="T229" i="5"/>
  <c r="T232" i="5"/>
  <c r="T238" i="5"/>
  <c r="T242" i="5"/>
  <c r="T243" i="5"/>
  <c r="T157" i="5"/>
  <c r="T168" i="5"/>
  <c r="T174" i="5"/>
  <c r="T180" i="5"/>
  <c r="T191" i="5"/>
  <c r="T192" i="5"/>
  <c r="T207" i="5"/>
  <c r="T210" i="5"/>
  <c r="T213" i="5"/>
  <c r="T219" i="5"/>
  <c r="T221" i="5"/>
  <c r="T225" i="5"/>
  <c r="T230" i="5"/>
  <c r="T233" i="5"/>
  <c r="T235" i="5"/>
  <c r="T236" i="5"/>
  <c r="T240" i="5"/>
  <c r="T153" i="5"/>
  <c r="T176" i="5"/>
  <c r="T241" i="5"/>
  <c r="T248" i="5"/>
  <c r="T249" i="5"/>
  <c r="T252" i="5"/>
  <c r="T254" i="5"/>
  <c r="T255" i="5"/>
  <c r="T257" i="5"/>
  <c r="T260" i="5"/>
  <c r="T263" i="5"/>
  <c r="T265" i="5"/>
  <c r="T270" i="5"/>
  <c r="T273" i="5"/>
  <c r="T274" i="5"/>
  <c r="T277" i="5"/>
  <c r="T278" i="5"/>
  <c r="T279" i="5"/>
  <c r="T282" i="5"/>
  <c r="T289" i="5"/>
  <c r="T295" i="5"/>
  <c r="T301" i="5"/>
  <c r="T306" i="5"/>
  <c r="T308" i="5"/>
  <c r="T314" i="5"/>
  <c r="T318" i="5"/>
  <c r="T322" i="5"/>
  <c r="T327" i="5"/>
  <c r="T332" i="5"/>
  <c r="T334" i="5"/>
  <c r="T135" i="5"/>
  <c r="T237" i="5"/>
  <c r="T244" i="5"/>
  <c r="T250" i="5"/>
  <c r="T251" i="5"/>
  <c r="T258" i="5"/>
  <c r="T266" i="5"/>
  <c r="T276" i="5"/>
  <c r="T284" i="5"/>
  <c r="T288" i="5"/>
  <c r="T291" i="5"/>
  <c r="T292" i="5"/>
  <c r="T299" i="5"/>
  <c r="T302" i="5"/>
  <c r="T311" i="5"/>
  <c r="T313" i="5"/>
  <c r="T316" i="5"/>
  <c r="T323" i="5"/>
  <c r="T325" i="5"/>
  <c r="T328" i="5"/>
  <c r="T331" i="5"/>
  <c r="T160" i="5"/>
  <c r="T226" i="5"/>
  <c r="T231" i="5"/>
  <c r="T246" i="5"/>
  <c r="T253" i="5"/>
  <c r="T256" i="5"/>
  <c r="T259" i="5"/>
  <c r="T261" i="5"/>
  <c r="T264" i="5"/>
  <c r="T268" i="5"/>
  <c r="T269" i="5"/>
  <c r="T271" i="5"/>
  <c r="T281" i="5"/>
  <c r="T285" i="5"/>
  <c r="T290" i="5"/>
  <c r="T293" i="5"/>
  <c r="T296" i="5"/>
  <c r="T298" i="5"/>
  <c r="T300" i="5"/>
  <c r="T303" i="5"/>
  <c r="T305" i="5"/>
  <c r="T307" i="5"/>
  <c r="T310" i="5"/>
  <c r="T320" i="5"/>
  <c r="T321" i="5"/>
  <c r="T326" i="5"/>
  <c r="T330" i="5"/>
  <c r="T335" i="5"/>
  <c r="T343" i="5"/>
  <c r="T349" i="5"/>
  <c r="T354" i="5"/>
  <c r="T356" i="5"/>
  <c r="T262" i="5"/>
  <c r="T267" i="5"/>
  <c r="T280" i="5"/>
  <c r="T283" i="5"/>
  <c r="T286" i="5"/>
  <c r="T309" i="5"/>
  <c r="T312" i="5"/>
  <c r="T315" i="5"/>
  <c r="T329" i="5"/>
  <c r="T337" i="5"/>
  <c r="T342" i="5"/>
  <c r="T345" i="5"/>
  <c r="T350" i="5"/>
  <c r="T359" i="5"/>
  <c r="T362" i="5"/>
  <c r="T364" i="5"/>
  <c r="T366" i="5"/>
  <c r="T367" i="5"/>
  <c r="T378" i="5"/>
  <c r="T381" i="5"/>
  <c r="T387" i="5"/>
  <c r="T390" i="5"/>
  <c r="T393" i="5"/>
  <c r="T400" i="5"/>
  <c r="T403" i="5"/>
  <c r="T405" i="5"/>
  <c r="T410" i="5"/>
  <c r="T415" i="5"/>
  <c r="T420" i="5"/>
  <c r="T421" i="5"/>
  <c r="T424" i="5"/>
  <c r="T429" i="5"/>
  <c r="T433" i="5"/>
  <c r="T436" i="5"/>
  <c r="T437" i="5"/>
  <c r="T214" i="5"/>
  <c r="T247" i="5"/>
  <c r="T297" i="5"/>
  <c r="T317" i="5"/>
  <c r="T341" i="5"/>
  <c r="T369" i="5"/>
  <c r="T371" i="5"/>
  <c r="T372" i="5"/>
  <c r="T375" i="5"/>
  <c r="T376" i="5"/>
  <c r="T380" i="5"/>
  <c r="T385" i="5"/>
  <c r="T386" i="5"/>
  <c r="T389" i="5"/>
  <c r="T391" i="5"/>
  <c r="T396" i="5"/>
  <c r="T407" i="5"/>
  <c r="T409" i="5"/>
  <c r="T418" i="5"/>
  <c r="T162" i="5"/>
  <c r="T195" i="5"/>
  <c r="T228" i="5"/>
  <c r="T272" i="5"/>
  <c r="T275" i="5"/>
  <c r="T294" i="5"/>
  <c r="T319" i="5"/>
  <c r="T336" i="5"/>
  <c r="T340" i="5"/>
  <c r="T348" i="5"/>
  <c r="T353" i="5"/>
  <c r="T355" i="5"/>
  <c r="T361" i="5"/>
  <c r="T363" i="5"/>
  <c r="T365" i="5"/>
  <c r="T373" i="5"/>
  <c r="T379" i="5"/>
  <c r="T382" i="5"/>
  <c r="T383" i="5"/>
  <c r="T388" i="5"/>
  <c r="T392" i="5"/>
  <c r="T399" i="5"/>
  <c r="T402" i="5"/>
  <c r="T404" i="5"/>
  <c r="T408" i="5"/>
  <c r="T411" i="5"/>
  <c r="T414" i="5"/>
  <c r="T417" i="5"/>
  <c r="T287" i="5"/>
  <c r="T324" i="5"/>
  <c r="T357" i="5"/>
  <c r="T370" i="5"/>
  <c r="T384" i="5"/>
  <c r="T428" i="5"/>
  <c r="T430" i="5"/>
  <c r="T432" i="5"/>
  <c r="T441" i="5"/>
  <c r="T443" i="5"/>
  <c r="T447" i="5"/>
  <c r="T448" i="5"/>
  <c r="T451" i="5"/>
  <c r="T458" i="5"/>
  <c r="T460" i="5"/>
  <c r="T466" i="5"/>
  <c r="T472" i="5"/>
  <c r="T478" i="5"/>
  <c r="T481" i="5"/>
  <c r="T491" i="5"/>
  <c r="T494" i="5"/>
  <c r="T499" i="5"/>
  <c r="T505" i="5"/>
  <c r="T507" i="5"/>
  <c r="T508" i="5"/>
  <c r="T513" i="5"/>
  <c r="T515" i="5"/>
  <c r="T516" i="5"/>
  <c r="T525" i="5"/>
  <c r="T532" i="5"/>
  <c r="T533" i="5"/>
  <c r="T537" i="5"/>
  <c r="T339" i="5"/>
  <c r="T347" i="5"/>
  <c r="T351" i="5"/>
  <c r="T427" i="5"/>
  <c r="T431" i="5"/>
  <c r="T438" i="5"/>
  <c r="T442" i="5"/>
  <c r="T453" i="5"/>
  <c r="T454" i="5"/>
  <c r="T456" i="5"/>
  <c r="T459" i="5"/>
  <c r="T462" i="5"/>
  <c r="T464" i="5"/>
  <c r="T468" i="5"/>
  <c r="T471" i="5"/>
  <c r="T474" i="5"/>
  <c r="T475" i="5"/>
  <c r="T480" i="5"/>
  <c r="T483" i="5"/>
  <c r="T485" i="5"/>
  <c r="T496" i="5"/>
  <c r="T498" i="5"/>
  <c r="T500" i="5"/>
  <c r="T501" i="5"/>
  <c r="T503" i="5"/>
  <c r="T504" i="5"/>
  <c r="T511" i="5"/>
  <c r="T512" i="5"/>
  <c r="T517" i="5"/>
  <c r="T519" i="5"/>
  <c r="T521" i="5"/>
  <c r="T522" i="5"/>
  <c r="T333" i="5"/>
  <c r="T358" i="5"/>
  <c r="T360" i="5"/>
  <c r="T368" i="5"/>
  <c r="T374" i="5"/>
  <c r="T377" i="5"/>
  <c r="T395" i="5"/>
  <c r="T398" i="5"/>
  <c r="T401" i="5"/>
  <c r="T413" i="5"/>
  <c r="T416" i="5"/>
  <c r="T422" i="5"/>
  <c r="T425" i="5"/>
  <c r="T434" i="5"/>
  <c r="T435" i="5"/>
  <c r="T439" i="5"/>
  <c r="T446" i="5"/>
  <c r="T452" i="5"/>
  <c r="T455" i="5"/>
  <c r="T457" i="5"/>
  <c r="T461" i="5"/>
  <c r="T463" i="5"/>
  <c r="T467" i="5"/>
  <c r="T470" i="5"/>
  <c r="T473" i="5"/>
  <c r="T477" i="5"/>
  <c r="T482" i="5"/>
  <c r="T486" i="5"/>
  <c r="T487" i="5"/>
  <c r="T489" i="5"/>
  <c r="T492" i="5"/>
  <c r="T493" i="5"/>
  <c r="T495" i="5"/>
  <c r="T506" i="5"/>
  <c r="T510" i="5"/>
  <c r="T526" i="5"/>
  <c r="T531" i="5"/>
  <c r="T538" i="5"/>
  <c r="T556" i="5"/>
  <c r="T557" i="5"/>
  <c r="T560" i="5"/>
  <c r="T304" i="5"/>
  <c r="T338" i="5"/>
  <c r="T344" i="5"/>
  <c r="T346" i="5"/>
  <c r="T352" i="5"/>
  <c r="T444" i="5"/>
  <c r="T465" i="5"/>
  <c r="T484" i="5"/>
  <c r="T529" i="5"/>
  <c r="T534" i="5"/>
  <c r="T536" i="5"/>
  <c r="T539" i="5"/>
  <c r="T540" i="5"/>
  <c r="T542" i="5"/>
  <c r="T545" i="5"/>
  <c r="T546" i="5"/>
  <c r="T548" i="5"/>
  <c r="T550" i="5"/>
  <c r="T554" i="5"/>
  <c r="T541" i="5"/>
  <c r="T544" i="5"/>
  <c r="T394" i="5"/>
  <c r="T406" i="5"/>
  <c r="T412" i="5"/>
  <c r="T426" i="5"/>
  <c r="T450" i="5"/>
  <c r="T490" i="5"/>
  <c r="T497" i="5"/>
  <c r="T514" i="5"/>
  <c r="T518" i="5"/>
  <c r="T524" i="5"/>
  <c r="T527" i="5"/>
  <c r="T543" i="5"/>
  <c r="T551" i="5"/>
  <c r="T552" i="5"/>
  <c r="T553" i="5"/>
  <c r="T555" i="5"/>
  <c r="T419" i="5"/>
  <c r="T440" i="5"/>
  <c r="T449" i="5"/>
  <c r="T528" i="5"/>
  <c r="T530" i="5"/>
  <c r="T535" i="5"/>
  <c r="T547" i="5"/>
  <c r="T549" i="5"/>
  <c r="T558" i="5"/>
  <c r="T559" i="5"/>
  <c r="T397" i="5"/>
  <c r="T423" i="5"/>
  <c r="T445" i="5"/>
  <c r="T469" i="5"/>
  <c r="T476" i="5"/>
  <c r="T479" i="5"/>
  <c r="T488" i="5"/>
  <c r="T502" i="5"/>
  <c r="T509" i="5"/>
  <c r="T520" i="5"/>
  <c r="T523" i="5"/>
  <c r="T19" i="5"/>
  <c r="AP486" i="5"/>
  <c r="AI534" i="5"/>
  <c r="AP534" i="5"/>
  <c r="AH534" i="5"/>
  <c r="AI500" i="5"/>
  <c r="AH500" i="5"/>
  <c r="AP500" i="5"/>
  <c r="AP440" i="5"/>
  <c r="AI440" i="5"/>
  <c r="AH440" i="5"/>
  <c r="AI537" i="5"/>
  <c r="AH537" i="5"/>
  <c r="AP537" i="5"/>
  <c r="AH467" i="5"/>
  <c r="AP467" i="5"/>
  <c r="AI467" i="5"/>
  <c r="AH430" i="5"/>
  <c r="AP430" i="5"/>
  <c r="AI430" i="5"/>
  <c r="AI395" i="5"/>
  <c r="AH395" i="5"/>
  <c r="AP395" i="5"/>
  <c r="AI358" i="5"/>
  <c r="AH358" i="5"/>
  <c r="AP358" i="5"/>
  <c r="AH555" i="5"/>
  <c r="AP555" i="5"/>
  <c r="AI555" i="5"/>
  <c r="AI526" i="5"/>
  <c r="AP526" i="5"/>
  <c r="AH526" i="5"/>
  <c r="AI465" i="5"/>
  <c r="AH465" i="5"/>
  <c r="AP465" i="5"/>
  <c r="AH554" i="5"/>
  <c r="AP554" i="5"/>
  <c r="AI554" i="5"/>
  <c r="AP539" i="5"/>
  <c r="AI539" i="5"/>
  <c r="AH539" i="5"/>
  <c r="AI509" i="5"/>
  <c r="AH509" i="5"/>
  <c r="AP509" i="5"/>
  <c r="AI479" i="5"/>
  <c r="AH479" i="5"/>
  <c r="AP479" i="5"/>
  <c r="AP416" i="5"/>
  <c r="AI416" i="5"/>
  <c r="AH416" i="5"/>
  <c r="AH559" i="5"/>
  <c r="AP559" i="5"/>
  <c r="AI559" i="5"/>
  <c r="AH550" i="5"/>
  <c r="AP550" i="5"/>
  <c r="AI550" i="5"/>
  <c r="AH543" i="5"/>
  <c r="AP543" i="5"/>
  <c r="AI543" i="5"/>
  <c r="AP514" i="5"/>
  <c r="AI514" i="5"/>
  <c r="AH514" i="5"/>
  <c r="AI504" i="5"/>
  <c r="AP504" i="5"/>
  <c r="AH504" i="5"/>
  <c r="AI478" i="5"/>
  <c r="AP478" i="5"/>
  <c r="AH478" i="5"/>
  <c r="AI468" i="5"/>
  <c r="AP468" i="5"/>
  <c r="AH468" i="5"/>
  <c r="AI453" i="5"/>
  <c r="AH453" i="5"/>
  <c r="AP453" i="5"/>
  <c r="AP399" i="5"/>
  <c r="AI399" i="5"/>
  <c r="AH399" i="5"/>
  <c r="AI272" i="5"/>
  <c r="AH272" i="5"/>
  <c r="AP272" i="5"/>
  <c r="AI501" i="5"/>
  <c r="AH501" i="5"/>
  <c r="AP501" i="5"/>
  <c r="AI490" i="5"/>
  <c r="AP490" i="5"/>
  <c r="AH490" i="5"/>
  <c r="AI472" i="5"/>
  <c r="AH472" i="5"/>
  <c r="AP472" i="5"/>
  <c r="AI456" i="5"/>
  <c r="AH456" i="5"/>
  <c r="AP456" i="5"/>
  <c r="AI435" i="5"/>
  <c r="AP435" i="5"/>
  <c r="AH435" i="5"/>
  <c r="AI408" i="5"/>
  <c r="AH408" i="5"/>
  <c r="AP408" i="5"/>
  <c r="AH331" i="5"/>
  <c r="AP331" i="5"/>
  <c r="AI331" i="5"/>
  <c r="AI518" i="5"/>
  <c r="AP518" i="5"/>
  <c r="AH518" i="5"/>
  <c r="AI502" i="5"/>
  <c r="AP502" i="5"/>
  <c r="AH502" i="5"/>
  <c r="AI489" i="5"/>
  <c r="AP489" i="5"/>
  <c r="AH489" i="5"/>
  <c r="AI469" i="5"/>
  <c r="AH469" i="5"/>
  <c r="AP469" i="5"/>
  <c r="AI445" i="5"/>
  <c r="AH445" i="5"/>
  <c r="AP445" i="5"/>
  <c r="AI427" i="5"/>
  <c r="AP427" i="5"/>
  <c r="AH427" i="5"/>
  <c r="AI371" i="5"/>
  <c r="AH371" i="5"/>
  <c r="AP371" i="5"/>
  <c r="AI334" i="5"/>
  <c r="AH334" i="5"/>
  <c r="AP334" i="5"/>
  <c r="AH168" i="5"/>
  <c r="AI168" i="5"/>
  <c r="AP168" i="5"/>
  <c r="AI411" i="5"/>
  <c r="AP411" i="5"/>
  <c r="AH411" i="5"/>
  <c r="AI385" i="5"/>
  <c r="AP385" i="5"/>
  <c r="AH385" i="5"/>
  <c r="AI369" i="5"/>
  <c r="AH369" i="5"/>
  <c r="AP369" i="5"/>
  <c r="AI352" i="5"/>
  <c r="AH352" i="5"/>
  <c r="AP352" i="5"/>
  <c r="AP317" i="5"/>
  <c r="AI317" i="5"/>
  <c r="AH317" i="5"/>
  <c r="AI407" i="5"/>
  <c r="AP407" i="5"/>
  <c r="AH407" i="5"/>
  <c r="AI391" i="5"/>
  <c r="AH391" i="5"/>
  <c r="AP391" i="5"/>
  <c r="AH376" i="5"/>
  <c r="AP376" i="5"/>
  <c r="AI376" i="5"/>
  <c r="AI362" i="5"/>
  <c r="AH362" i="5"/>
  <c r="AP362" i="5"/>
  <c r="AP329" i="5"/>
  <c r="AI329" i="5"/>
  <c r="AH329" i="5"/>
  <c r="AI268" i="5"/>
  <c r="AH268" i="5"/>
  <c r="AP268" i="5"/>
  <c r="AH180" i="5"/>
  <c r="AI180" i="5"/>
  <c r="AP180" i="5"/>
  <c r="AI429" i="5"/>
  <c r="AH429" i="5"/>
  <c r="AP429" i="5"/>
  <c r="AI415" i="5"/>
  <c r="AP415" i="5"/>
  <c r="AH415" i="5"/>
  <c r="AI400" i="5"/>
  <c r="AP400" i="5"/>
  <c r="AH400" i="5"/>
  <c r="AI388" i="5"/>
  <c r="AP388" i="5"/>
  <c r="AH388" i="5"/>
  <c r="AI366" i="5"/>
  <c r="AH366" i="5"/>
  <c r="AP366" i="5"/>
  <c r="AP310" i="5"/>
  <c r="AI310" i="5"/>
  <c r="AH310" i="5"/>
  <c r="AH174" i="5"/>
  <c r="AI174" i="5"/>
  <c r="AP174" i="5"/>
  <c r="AP349" i="5"/>
  <c r="AH349" i="5"/>
  <c r="AI349" i="5"/>
  <c r="AI342" i="5"/>
  <c r="AH342" i="5"/>
  <c r="AP342" i="5"/>
  <c r="AI323" i="5"/>
  <c r="AH323" i="5"/>
  <c r="AP323" i="5"/>
  <c r="AI303" i="5"/>
  <c r="AH303" i="5"/>
  <c r="AP303" i="5"/>
  <c r="AH288" i="5"/>
  <c r="AP288" i="5"/>
  <c r="AI288" i="5"/>
  <c r="AH269" i="5"/>
  <c r="AI269" i="5"/>
  <c r="AP269" i="5"/>
  <c r="AI253" i="5"/>
  <c r="AH253" i="5"/>
  <c r="AP253" i="5"/>
  <c r="AH196" i="5"/>
  <c r="AI196" i="5"/>
  <c r="AP196" i="5"/>
  <c r="AH325" i="5"/>
  <c r="AI325" i="5"/>
  <c r="AP325" i="5"/>
  <c r="AI308" i="5"/>
  <c r="AH308" i="5"/>
  <c r="AP308" i="5"/>
  <c r="AP292" i="5"/>
  <c r="AI292" i="5"/>
  <c r="AH292" i="5"/>
  <c r="AH279" i="5"/>
  <c r="AI279" i="5"/>
  <c r="AI266" i="5"/>
  <c r="AH266" i="5"/>
  <c r="AP266" i="5"/>
  <c r="AH241" i="5"/>
  <c r="AI241" i="5"/>
  <c r="AP203" i="5"/>
  <c r="AH203" i="5"/>
  <c r="AI203" i="5"/>
  <c r="AI320" i="5"/>
  <c r="AH320" i="5"/>
  <c r="AP320" i="5"/>
  <c r="AH309" i="5"/>
  <c r="AP309" i="5"/>
  <c r="AI309" i="5"/>
  <c r="AH293" i="5"/>
  <c r="AP293" i="5"/>
  <c r="AI293" i="5"/>
  <c r="AI277" i="5"/>
  <c r="AH277" i="5"/>
  <c r="AP277" i="5"/>
  <c r="AH263" i="5"/>
  <c r="AP263" i="5"/>
  <c r="AI263" i="5"/>
  <c r="AI254" i="5"/>
  <c r="AH254" i="5"/>
  <c r="AP254" i="5"/>
  <c r="AI228" i="5"/>
  <c r="AH228" i="5"/>
  <c r="AP228" i="5"/>
  <c r="AI236" i="5"/>
  <c r="AH236" i="5"/>
  <c r="AP236" i="5"/>
  <c r="AI225" i="5"/>
  <c r="AH225" i="5"/>
  <c r="AP225" i="5"/>
  <c r="AH213" i="5"/>
  <c r="AP213" i="5"/>
  <c r="AI213" i="5"/>
  <c r="AH188" i="5"/>
  <c r="AI188" i="5"/>
  <c r="AP188" i="5"/>
  <c r="AH242" i="5"/>
  <c r="AI242" i="5"/>
  <c r="AP242" i="5"/>
  <c r="AH220" i="5"/>
  <c r="AI220" i="5"/>
  <c r="AP220" i="5"/>
  <c r="AI207" i="5"/>
  <c r="AH207" i="5"/>
  <c r="AP207" i="5"/>
  <c r="AH247" i="5"/>
  <c r="AI247" i="5"/>
  <c r="AP247" i="5"/>
  <c r="AI227" i="5"/>
  <c r="AH227" i="5"/>
  <c r="AP227" i="5"/>
  <c r="AH208" i="5"/>
  <c r="AI208" i="5"/>
  <c r="AP208" i="5"/>
  <c r="AI206" i="5"/>
  <c r="AH206" i="5"/>
  <c r="AP206" i="5"/>
  <c r="AI197" i="5"/>
  <c r="AH197" i="5"/>
  <c r="AP197" i="5"/>
  <c r="AH186" i="5"/>
  <c r="AI186" i="5"/>
  <c r="AP186" i="5"/>
  <c r="AH167" i="5"/>
  <c r="AI167" i="5"/>
  <c r="AP167" i="5"/>
  <c r="AI155" i="5"/>
  <c r="AH155" i="5"/>
  <c r="AP155" i="5"/>
  <c r="AI95" i="5"/>
  <c r="AH95" i="5"/>
  <c r="AP95" i="5"/>
  <c r="AH170" i="5"/>
  <c r="AI170" i="5"/>
  <c r="AP170" i="5"/>
  <c r="AH161" i="5"/>
  <c r="AI161" i="5"/>
  <c r="AP161" i="5"/>
  <c r="AH125" i="5"/>
  <c r="AI125" i="5"/>
  <c r="AP125" i="5"/>
  <c r="AI179" i="5"/>
  <c r="AH179" i="5"/>
  <c r="AP179" i="5"/>
  <c r="AI171" i="5"/>
  <c r="AH171" i="5"/>
  <c r="AP171" i="5"/>
  <c r="AI147" i="5"/>
  <c r="AH147" i="5"/>
  <c r="AP147" i="5"/>
  <c r="AI123" i="5"/>
  <c r="AH123" i="5"/>
  <c r="AP123" i="5"/>
  <c r="AH152" i="5"/>
  <c r="AI152" i="5"/>
  <c r="AP152" i="5"/>
  <c r="AH137" i="5"/>
  <c r="AI137" i="5"/>
  <c r="AP137" i="5"/>
  <c r="AI120" i="5"/>
  <c r="AH120" i="5"/>
  <c r="AP120" i="5"/>
  <c r="AI106" i="5"/>
  <c r="AH106" i="5"/>
  <c r="AP106" i="5"/>
  <c r="AI151" i="5"/>
  <c r="AH151" i="5"/>
  <c r="AP151" i="5"/>
  <c r="AH124" i="5"/>
  <c r="AI124" i="5"/>
  <c r="AP124" i="5"/>
  <c r="AI145" i="5"/>
  <c r="AP145" i="5"/>
  <c r="AH145" i="5"/>
  <c r="AH132" i="5"/>
  <c r="AP132" i="5"/>
  <c r="AI132" i="5"/>
  <c r="AH114" i="5"/>
  <c r="AI114" i="5"/>
  <c r="AP114" i="5"/>
  <c r="AI108" i="5"/>
  <c r="AH108" i="5"/>
  <c r="AP108" i="5"/>
  <c r="AI85" i="5"/>
  <c r="AH85" i="5"/>
  <c r="AP85" i="5"/>
  <c r="AH107" i="5"/>
  <c r="AI107" i="5"/>
  <c r="AP107" i="5"/>
  <c r="AI98" i="5"/>
  <c r="AH98" i="5"/>
  <c r="AP98" i="5"/>
  <c r="AH74" i="5"/>
  <c r="AI74" i="5"/>
  <c r="AP74" i="5"/>
  <c r="AH86" i="5"/>
  <c r="AP86" i="5"/>
  <c r="AI86" i="5"/>
  <c r="AI76" i="5"/>
  <c r="AP76" i="5"/>
  <c r="AH76" i="5"/>
  <c r="AH73" i="5"/>
  <c r="AI73" i="5"/>
  <c r="AP73" i="5"/>
  <c r="AH80" i="5"/>
  <c r="AP80" i="5"/>
  <c r="AI80" i="5"/>
  <c r="AI59" i="5"/>
  <c r="AH59" i="5"/>
  <c r="AP59" i="5"/>
  <c r="AH68" i="5"/>
  <c r="AI68" i="5"/>
  <c r="AP68" i="5"/>
  <c r="AH60" i="5"/>
  <c r="AI60" i="5"/>
  <c r="AP60" i="5"/>
  <c r="AH61" i="5"/>
  <c r="AI61" i="5"/>
  <c r="AP61" i="5"/>
  <c r="AH50" i="5"/>
  <c r="AI50" i="5"/>
  <c r="AP50" i="5"/>
  <c r="AI49" i="5"/>
  <c r="AH49" i="5"/>
  <c r="AP49" i="5"/>
  <c r="AH40" i="5"/>
  <c r="AI40" i="5"/>
  <c r="AP40" i="5"/>
  <c r="AP27" i="5"/>
  <c r="AI27" i="5"/>
  <c r="AH27" i="5"/>
  <c r="AI32" i="5"/>
  <c r="AP32" i="5"/>
  <c r="AH32" i="5"/>
  <c r="AI46" i="5"/>
  <c r="AP46" i="5"/>
  <c r="AH46" i="5"/>
  <c r="AI33" i="5"/>
  <c r="AH33" i="5"/>
  <c r="AP33" i="5"/>
  <c r="AO483" i="5"/>
  <c r="AN483" i="5"/>
  <c r="AN372" i="5"/>
  <c r="AO372" i="5"/>
  <c r="AO542" i="5"/>
  <c r="AN542" i="5"/>
  <c r="AO528" i="5"/>
  <c r="AN528" i="5"/>
  <c r="AN424" i="5"/>
  <c r="AO424" i="5"/>
  <c r="AN549" i="5"/>
  <c r="AO549" i="5"/>
  <c r="AO524" i="5"/>
  <c r="AN524" i="5"/>
  <c r="AN433" i="5"/>
  <c r="AO433" i="5"/>
  <c r="AO553" i="5"/>
  <c r="AN553" i="5"/>
  <c r="AN534" i="5"/>
  <c r="AO534" i="5"/>
  <c r="AO517" i="5"/>
  <c r="AN517" i="5"/>
  <c r="AN449" i="5"/>
  <c r="AO449" i="5"/>
  <c r="AN297" i="5"/>
  <c r="AO297" i="5"/>
  <c r="AO554" i="5"/>
  <c r="AN554" i="5"/>
  <c r="AO523" i="5"/>
  <c r="AN523" i="5"/>
  <c r="AN510" i="5"/>
  <c r="AO510" i="5"/>
  <c r="AN503" i="5"/>
  <c r="AO503" i="5"/>
  <c r="AN495" i="5"/>
  <c r="AO495" i="5"/>
  <c r="AO489" i="5"/>
  <c r="AN489" i="5"/>
  <c r="AO482" i="5"/>
  <c r="AN482" i="5"/>
  <c r="AO469" i="5"/>
  <c r="AN469" i="5"/>
  <c r="AO454" i="5"/>
  <c r="AN454" i="5"/>
  <c r="AO443" i="5"/>
  <c r="AN443" i="5"/>
  <c r="AN430" i="5"/>
  <c r="AO430" i="5"/>
  <c r="AO381" i="5"/>
  <c r="AN381" i="5"/>
  <c r="AN519" i="5"/>
  <c r="AO519" i="5"/>
  <c r="AN511" i="5"/>
  <c r="AO511" i="5"/>
  <c r="AN484" i="5"/>
  <c r="AO484" i="5"/>
  <c r="AN470" i="5"/>
  <c r="AO470" i="5"/>
  <c r="AO462" i="5"/>
  <c r="AN462" i="5"/>
  <c r="AN439" i="5"/>
  <c r="AO439" i="5"/>
  <c r="AN412" i="5"/>
  <c r="AO412" i="5"/>
  <c r="AO391" i="5"/>
  <c r="AN391" i="5"/>
  <c r="AO532" i="5"/>
  <c r="AN532" i="5"/>
  <c r="AN515" i="5"/>
  <c r="AO515" i="5"/>
  <c r="AO490" i="5"/>
  <c r="AN490" i="5"/>
  <c r="AO471" i="5"/>
  <c r="AN471" i="5"/>
  <c r="AO457" i="5"/>
  <c r="AN457" i="5"/>
  <c r="AN401" i="5"/>
  <c r="AO401" i="5"/>
  <c r="AO311" i="5"/>
  <c r="AN311" i="5"/>
  <c r="AO400" i="5"/>
  <c r="AN400" i="5"/>
  <c r="AN379" i="5"/>
  <c r="AO379" i="5"/>
  <c r="AO366" i="5"/>
  <c r="AN366" i="5"/>
  <c r="AN348" i="5"/>
  <c r="AO348" i="5"/>
  <c r="AN336" i="5"/>
  <c r="AO336" i="5"/>
  <c r="AO286" i="5"/>
  <c r="AN286" i="5"/>
  <c r="AN254" i="5"/>
  <c r="AO254" i="5"/>
  <c r="AN418" i="5"/>
  <c r="AO418" i="5"/>
  <c r="AO402" i="5"/>
  <c r="AN402" i="5"/>
  <c r="AN389" i="5"/>
  <c r="AO389" i="5"/>
  <c r="AN377" i="5"/>
  <c r="AO377" i="5"/>
  <c r="AO363" i="5"/>
  <c r="AN363" i="5"/>
  <c r="AN350" i="5"/>
  <c r="AO350" i="5"/>
  <c r="AN293" i="5"/>
  <c r="AO293" i="5"/>
  <c r="AN250" i="5"/>
  <c r="AO250" i="5"/>
  <c r="AO431" i="5"/>
  <c r="AN431" i="5"/>
  <c r="AO414" i="5"/>
  <c r="AN414" i="5"/>
  <c r="AO404" i="5"/>
  <c r="AN404" i="5"/>
  <c r="AN376" i="5"/>
  <c r="AO376" i="5"/>
  <c r="AO360" i="5"/>
  <c r="AN360" i="5"/>
  <c r="AN319" i="5"/>
  <c r="AO319" i="5"/>
  <c r="AO224" i="5"/>
  <c r="AN224" i="5"/>
  <c r="AO357" i="5"/>
  <c r="AN357" i="5"/>
  <c r="AN343" i="5"/>
  <c r="AO343" i="5"/>
  <c r="AN330" i="5"/>
  <c r="AO330" i="5"/>
  <c r="AN320" i="5"/>
  <c r="AO320" i="5"/>
  <c r="AN310" i="5"/>
  <c r="AO310" i="5"/>
  <c r="AO301" i="5"/>
  <c r="AN301" i="5"/>
  <c r="AO275" i="5"/>
  <c r="AN275" i="5"/>
  <c r="AN257" i="5"/>
  <c r="AO257" i="5"/>
  <c r="AO248" i="5"/>
  <c r="AN248" i="5"/>
  <c r="AO192" i="5"/>
  <c r="AN192" i="5"/>
  <c r="AN321" i="5"/>
  <c r="AO321" i="5"/>
  <c r="AO294" i="5"/>
  <c r="AN294" i="5"/>
  <c r="AN272" i="5"/>
  <c r="AO272" i="5"/>
  <c r="AO253" i="5"/>
  <c r="AN253" i="5"/>
  <c r="AN327" i="5"/>
  <c r="AO327" i="5"/>
  <c r="AO307" i="5"/>
  <c r="AN307" i="5"/>
  <c r="AN291" i="5"/>
  <c r="AO291" i="5"/>
  <c r="AO281" i="5"/>
  <c r="AN281" i="5"/>
  <c r="AO271" i="5"/>
  <c r="AN271" i="5"/>
  <c r="AO259" i="5"/>
  <c r="AN259" i="5"/>
  <c r="AO193" i="5"/>
  <c r="AN193" i="5"/>
  <c r="AO239" i="5"/>
  <c r="AN239" i="5"/>
  <c r="AN215" i="5"/>
  <c r="AO215" i="5"/>
  <c r="AN186" i="5"/>
  <c r="AO186" i="5"/>
  <c r="AO244" i="5"/>
  <c r="AN244" i="5"/>
  <c r="AO228" i="5"/>
  <c r="AN228" i="5"/>
  <c r="AO217" i="5"/>
  <c r="AN217" i="5"/>
  <c r="AN204" i="5"/>
  <c r="AO204" i="5"/>
  <c r="AN182" i="5"/>
  <c r="AO182" i="5"/>
  <c r="AO233" i="5"/>
  <c r="AN233" i="5"/>
  <c r="AO216" i="5"/>
  <c r="AN216" i="5"/>
  <c r="AN205" i="5"/>
  <c r="AO205" i="5"/>
  <c r="AN165" i="5"/>
  <c r="AO165" i="5"/>
  <c r="AO203" i="5"/>
  <c r="AN203" i="5"/>
  <c r="AO187" i="5"/>
  <c r="AN187" i="5"/>
  <c r="AO162" i="5"/>
  <c r="AN162" i="5"/>
  <c r="AN143" i="5"/>
  <c r="AO143" i="5"/>
  <c r="AO185" i="5"/>
  <c r="AN185" i="5"/>
  <c r="AN170" i="5"/>
  <c r="AO170" i="5"/>
  <c r="AO153" i="5"/>
  <c r="AN153" i="5"/>
  <c r="AN181" i="5"/>
  <c r="AO181" i="5"/>
  <c r="AN167" i="5"/>
  <c r="AO167" i="5"/>
  <c r="AO104" i="5"/>
  <c r="AN104" i="5"/>
  <c r="AO142" i="5"/>
  <c r="AN142" i="5"/>
  <c r="AN124" i="5"/>
  <c r="AO124" i="5"/>
  <c r="AO155" i="5"/>
  <c r="AN155" i="5"/>
  <c r="AO146" i="5"/>
  <c r="AN146" i="5"/>
  <c r="AO128" i="5"/>
  <c r="AN128" i="5"/>
  <c r="AO120" i="5"/>
  <c r="AN120" i="5"/>
  <c r="AN106" i="5"/>
  <c r="AO106" i="5"/>
  <c r="AN151" i="5"/>
  <c r="AO151" i="5"/>
  <c r="AO129" i="5"/>
  <c r="AN129" i="5"/>
  <c r="AO99" i="5"/>
  <c r="AN99" i="5"/>
  <c r="AN87" i="5"/>
  <c r="AO87" i="5"/>
  <c r="AN102" i="5"/>
  <c r="AO102" i="5"/>
  <c r="AN96" i="5"/>
  <c r="AO96" i="5"/>
  <c r="AO90" i="5"/>
  <c r="AN90" i="5"/>
  <c r="AO93" i="5"/>
  <c r="AN93" i="5"/>
  <c r="AN77" i="5"/>
  <c r="AO77" i="5"/>
  <c r="AN62" i="5"/>
  <c r="AO62" i="5"/>
  <c r="AO79" i="5"/>
  <c r="AN79" i="5"/>
  <c r="AN49" i="5"/>
  <c r="AO49" i="5"/>
  <c r="AO57" i="5"/>
  <c r="AN57" i="5"/>
  <c r="AO58" i="5"/>
  <c r="AN58" i="5"/>
  <c r="AO63" i="5"/>
  <c r="AN63" i="5"/>
  <c r="AN28" i="5"/>
  <c r="AO28" i="5"/>
  <c r="AO67" i="5"/>
  <c r="AN67" i="5"/>
  <c r="AO42" i="5"/>
  <c r="AN42" i="5"/>
  <c r="AO46" i="5"/>
  <c r="AN46" i="5"/>
  <c r="AN33" i="5"/>
  <c r="AO33" i="5"/>
  <c r="AO37" i="5"/>
  <c r="AN37" i="5"/>
  <c r="AN25" i="5"/>
  <c r="AO25" i="5"/>
  <c r="AO36" i="5"/>
  <c r="AN36" i="5"/>
  <c r="AP343" i="5"/>
  <c r="AK529" i="5"/>
  <c r="AL529" i="5"/>
  <c r="AK498" i="5"/>
  <c r="AL498" i="5"/>
  <c r="AK530" i="5"/>
  <c r="AL530" i="5"/>
  <c r="AK404" i="5"/>
  <c r="AL404" i="5"/>
  <c r="AK536" i="5"/>
  <c r="AL536" i="5"/>
  <c r="AL456" i="5"/>
  <c r="AK456" i="5"/>
  <c r="AL414" i="5"/>
  <c r="AK414" i="5"/>
  <c r="AK503" i="5"/>
  <c r="AL503" i="5"/>
  <c r="AK463" i="5"/>
  <c r="AL463" i="5"/>
  <c r="AL537" i="5"/>
  <c r="AK537" i="5"/>
  <c r="AL480" i="5"/>
  <c r="AK480" i="5"/>
  <c r="AK352" i="5"/>
  <c r="AL352" i="5"/>
  <c r="AL386" i="5"/>
  <c r="AK386" i="5"/>
  <c r="AL259" i="5"/>
  <c r="AK259" i="5"/>
  <c r="AK364" i="5"/>
  <c r="AL364" i="5"/>
  <c r="AK419" i="5"/>
  <c r="AL419" i="5"/>
  <c r="AK377" i="5"/>
  <c r="AL377" i="5"/>
  <c r="AL296" i="5"/>
  <c r="AK296" i="5"/>
  <c r="AL319" i="5"/>
  <c r="AK319" i="5"/>
  <c r="AK260" i="5"/>
  <c r="AL260" i="5"/>
  <c r="AL306" i="5"/>
  <c r="AK306" i="5"/>
  <c r="AK255" i="5"/>
  <c r="AL255" i="5"/>
  <c r="AL302" i="5"/>
  <c r="AK302" i="5"/>
  <c r="AK243" i="5"/>
  <c r="AL243" i="5"/>
  <c r="AK206" i="5"/>
  <c r="AL206" i="5"/>
  <c r="AK237" i="5"/>
  <c r="AL237" i="5"/>
  <c r="AK219" i="5"/>
  <c r="AL219" i="5"/>
  <c r="AK124" i="5"/>
  <c r="AL124" i="5"/>
  <c r="AL178" i="5"/>
  <c r="AK178" i="5"/>
  <c r="AL139" i="5"/>
  <c r="AK139" i="5"/>
  <c r="AL108" i="5"/>
  <c r="AK108" i="5"/>
  <c r="AK122" i="5"/>
  <c r="AL122" i="5"/>
  <c r="AL126" i="5"/>
  <c r="AK126" i="5"/>
  <c r="AK90" i="5"/>
  <c r="AL90" i="5"/>
  <c r="AK82" i="5"/>
  <c r="AL82" i="5"/>
  <c r="AK75" i="5"/>
  <c r="AL75" i="5"/>
  <c r="AK49" i="5"/>
  <c r="AL49" i="5"/>
  <c r="AK39" i="5"/>
  <c r="AL39" i="5"/>
  <c r="AK29" i="5"/>
  <c r="AL29" i="5"/>
  <c r="AI449" i="5"/>
  <c r="AH449" i="5"/>
  <c r="AP449" i="5"/>
  <c r="AI523" i="5"/>
  <c r="AH523" i="5"/>
  <c r="AP523" i="5"/>
  <c r="AI545" i="5"/>
  <c r="AP545" i="5"/>
  <c r="AH545" i="5"/>
  <c r="AI542" i="5"/>
  <c r="AH542" i="5"/>
  <c r="AP542" i="5"/>
  <c r="AI473" i="5"/>
  <c r="AH473" i="5"/>
  <c r="AP473" i="5"/>
  <c r="AI548" i="5"/>
  <c r="AH548" i="5"/>
  <c r="AP548" i="5"/>
  <c r="AI425" i="5"/>
  <c r="AP425" i="5"/>
  <c r="AH425" i="5"/>
  <c r="B25" i="5"/>
  <c r="AK507" i="5"/>
  <c r="AL507" i="5"/>
  <c r="AK515" i="5"/>
  <c r="AL515" i="5"/>
  <c r="AK447" i="5"/>
  <c r="AL447" i="5"/>
  <c r="AL543" i="5"/>
  <c r="AK543" i="5"/>
  <c r="AK497" i="5"/>
  <c r="AL497" i="5"/>
  <c r="AL555" i="5"/>
  <c r="AK555" i="5"/>
  <c r="AK504" i="5"/>
  <c r="AL504" i="5"/>
  <c r="AL475" i="5"/>
  <c r="AK475" i="5"/>
  <c r="AK383" i="5"/>
  <c r="AL383" i="5"/>
  <c r="AL551" i="5"/>
  <c r="AK551" i="5"/>
  <c r="AK535" i="5"/>
  <c r="AL535" i="5"/>
  <c r="AK516" i="5"/>
  <c r="AL516" i="5"/>
  <c r="AL556" i="5"/>
  <c r="AK556" i="5"/>
  <c r="AK532" i="5"/>
  <c r="AL532" i="5"/>
  <c r="AK423" i="5"/>
  <c r="AL423" i="5"/>
  <c r="AP279" i="5"/>
  <c r="AL279" i="5"/>
  <c r="AK279" i="5"/>
  <c r="AL547" i="5"/>
  <c r="AK547" i="5"/>
  <c r="AL538" i="5"/>
  <c r="AK538" i="5"/>
  <c r="AK527" i="5"/>
  <c r="AL527" i="5"/>
  <c r="AL496" i="5"/>
  <c r="AK496" i="5"/>
  <c r="AK483" i="5"/>
  <c r="AL483" i="5"/>
  <c r="AL458" i="5"/>
  <c r="AK458" i="5"/>
  <c r="AK442" i="5"/>
  <c r="AL442" i="5"/>
  <c r="AK425" i="5"/>
  <c r="AL425" i="5"/>
  <c r="AK417" i="5"/>
  <c r="AL417" i="5"/>
  <c r="AK393" i="5"/>
  <c r="AL393" i="5"/>
  <c r="AK335" i="5"/>
  <c r="AL335" i="5"/>
  <c r="AL518" i="5"/>
  <c r="AK518" i="5"/>
  <c r="AK508" i="5"/>
  <c r="AL508" i="5"/>
  <c r="AK494" i="5"/>
  <c r="AL494" i="5"/>
  <c r="AK487" i="5"/>
  <c r="AL487" i="5"/>
  <c r="AK466" i="5"/>
  <c r="AL466" i="5"/>
  <c r="AK451" i="5"/>
  <c r="AL451" i="5"/>
  <c r="AK441" i="5"/>
  <c r="AL441" i="5"/>
  <c r="AL418" i="5"/>
  <c r="AK418" i="5"/>
  <c r="AL288" i="5"/>
  <c r="AK288" i="5"/>
  <c r="AL512" i="5"/>
  <c r="AK512" i="5"/>
  <c r="AK500" i="5"/>
  <c r="AL500" i="5"/>
  <c r="AK482" i="5"/>
  <c r="AL482" i="5"/>
  <c r="AK476" i="5"/>
  <c r="AL476" i="5"/>
  <c r="AK461" i="5"/>
  <c r="AL461" i="5"/>
  <c r="AK440" i="5"/>
  <c r="AL440" i="5"/>
  <c r="AK385" i="5"/>
  <c r="AL385" i="5"/>
  <c r="AK409" i="5"/>
  <c r="AL409" i="5"/>
  <c r="AK401" i="5"/>
  <c r="AL401" i="5"/>
  <c r="AK387" i="5"/>
  <c r="AL387" i="5"/>
  <c r="AK376" i="5"/>
  <c r="AL376" i="5"/>
  <c r="AL343" i="5"/>
  <c r="AK343" i="5"/>
  <c r="AK264" i="5"/>
  <c r="AL264" i="5"/>
  <c r="AK406" i="5"/>
  <c r="AL406" i="5"/>
  <c r="AK394" i="5"/>
  <c r="AL394" i="5"/>
  <c r="AK366" i="5"/>
  <c r="AL366" i="5"/>
  <c r="AL349" i="5"/>
  <c r="AK349" i="5"/>
  <c r="AK336" i="5"/>
  <c r="AL336" i="5"/>
  <c r="AK439" i="5"/>
  <c r="AL439" i="5"/>
  <c r="AK426" i="5"/>
  <c r="AL426" i="5"/>
  <c r="AK412" i="5"/>
  <c r="AL412" i="5"/>
  <c r="AK390" i="5"/>
  <c r="AL390" i="5"/>
  <c r="AK379" i="5"/>
  <c r="AL379" i="5"/>
  <c r="AK365" i="5"/>
  <c r="AL365" i="5"/>
  <c r="AK356" i="5"/>
  <c r="AL356" i="5"/>
  <c r="AK344" i="5"/>
  <c r="AL344" i="5"/>
  <c r="AL307" i="5"/>
  <c r="AK307" i="5"/>
  <c r="AK212" i="5"/>
  <c r="AL212" i="5"/>
  <c r="AK340" i="5"/>
  <c r="AL340" i="5"/>
  <c r="AK325" i="5"/>
  <c r="AL325" i="5"/>
  <c r="AK308" i="5"/>
  <c r="AL308" i="5"/>
  <c r="AL292" i="5"/>
  <c r="AK292" i="5"/>
  <c r="AK277" i="5"/>
  <c r="AL277" i="5"/>
  <c r="AK267" i="5"/>
  <c r="AL267" i="5"/>
  <c r="AK250" i="5"/>
  <c r="AL250" i="5"/>
  <c r="AL190" i="5"/>
  <c r="AK190" i="5"/>
  <c r="AL320" i="5"/>
  <c r="AK320" i="5"/>
  <c r="AL309" i="5"/>
  <c r="AK309" i="5"/>
  <c r="AL293" i="5"/>
  <c r="AK293" i="5"/>
  <c r="AK275" i="5"/>
  <c r="AL275" i="5"/>
  <c r="AL257" i="5"/>
  <c r="AK257" i="5"/>
  <c r="AL249" i="5"/>
  <c r="AK249" i="5"/>
  <c r="AK177" i="5"/>
  <c r="AL177" i="5"/>
  <c r="AK326" i="5"/>
  <c r="AL326" i="5"/>
  <c r="AL305" i="5"/>
  <c r="AK305" i="5"/>
  <c r="AL290" i="5"/>
  <c r="AK290" i="5"/>
  <c r="AK269" i="5"/>
  <c r="AL269" i="5"/>
  <c r="AL247" i="5"/>
  <c r="AK247" i="5"/>
  <c r="AK211" i="5"/>
  <c r="AL211" i="5"/>
  <c r="AK232" i="5"/>
  <c r="AL232" i="5"/>
  <c r="AK223" i="5"/>
  <c r="AL223" i="5"/>
  <c r="AL209" i="5"/>
  <c r="AK209" i="5"/>
  <c r="AP193" i="5"/>
  <c r="AK193" i="5"/>
  <c r="AL193" i="5"/>
  <c r="AK181" i="5"/>
  <c r="AL181" i="5"/>
  <c r="AK239" i="5"/>
  <c r="AL239" i="5"/>
  <c r="AL215" i="5"/>
  <c r="AK215" i="5"/>
  <c r="AK167" i="5"/>
  <c r="AL167" i="5"/>
  <c r="AL238" i="5"/>
  <c r="AK238" i="5"/>
  <c r="AK222" i="5"/>
  <c r="AL222" i="5"/>
  <c r="AL210" i="5"/>
  <c r="AK210" i="5"/>
  <c r="AK194" i="5"/>
  <c r="AL194" i="5"/>
  <c r="AK142" i="5"/>
  <c r="AL142" i="5"/>
  <c r="AK200" i="5"/>
  <c r="AL200" i="5"/>
  <c r="AK184" i="5"/>
  <c r="AL184" i="5"/>
  <c r="AK165" i="5"/>
  <c r="AL165" i="5"/>
  <c r="AK179" i="5"/>
  <c r="AL179" i="5"/>
  <c r="AL186" i="5"/>
  <c r="AK186" i="5"/>
  <c r="AK174" i="5"/>
  <c r="AL174" i="5"/>
  <c r="AK159" i="5"/>
  <c r="AL159" i="5"/>
  <c r="AL154" i="5"/>
  <c r="AK154" i="5"/>
  <c r="AL144" i="5"/>
  <c r="AK144" i="5"/>
  <c r="AL129" i="5"/>
  <c r="AK129" i="5"/>
  <c r="AK110" i="5"/>
  <c r="AL110" i="5"/>
  <c r="AK86" i="5"/>
  <c r="AL86" i="5"/>
  <c r="AK153" i="5"/>
  <c r="AL153" i="5"/>
  <c r="AL136" i="5"/>
  <c r="AK136" i="5"/>
  <c r="AK127" i="5"/>
  <c r="AL127" i="5"/>
  <c r="AK87" i="5"/>
  <c r="AL87" i="5"/>
  <c r="AK149" i="5"/>
  <c r="AL149" i="5"/>
  <c r="AP128" i="5"/>
  <c r="AK128" i="5"/>
  <c r="AL128" i="5"/>
  <c r="AK118" i="5"/>
  <c r="AL118" i="5"/>
  <c r="AK106" i="5"/>
  <c r="AL106" i="5"/>
  <c r="AK100" i="5"/>
  <c r="AL100" i="5"/>
  <c r="AK92" i="5"/>
  <c r="AL92" i="5"/>
  <c r="AK109" i="5"/>
  <c r="AL109" i="5"/>
  <c r="AK94" i="5"/>
  <c r="AL94" i="5"/>
  <c r="AK78" i="5"/>
  <c r="AL78" i="5"/>
  <c r="AK67" i="5"/>
  <c r="AL67" i="5"/>
  <c r="AK74" i="5"/>
  <c r="AL74" i="5"/>
  <c r="AK77" i="5"/>
  <c r="AL77" i="5"/>
  <c r="AK79" i="5"/>
  <c r="AL79" i="5"/>
  <c r="AL62" i="5"/>
  <c r="AK62" i="5"/>
  <c r="AK50" i="5"/>
  <c r="AL50" i="5"/>
  <c r="AK27" i="5"/>
  <c r="AL27" i="5"/>
  <c r="AK55" i="5"/>
  <c r="AL55" i="5"/>
  <c r="AK69" i="5"/>
  <c r="AL69" i="5"/>
  <c r="AK42" i="5"/>
  <c r="AL42" i="5"/>
  <c r="AL28" i="5"/>
  <c r="AK28" i="5"/>
  <c r="AK44" i="5"/>
  <c r="AL44" i="5"/>
  <c r="AK30" i="5"/>
  <c r="AL30" i="5"/>
  <c r="AK43" i="5"/>
  <c r="AL43" i="5"/>
  <c r="AL25" i="5"/>
  <c r="AK25" i="5"/>
  <c r="AH19" i="5"/>
  <c r="AI19" i="5"/>
  <c r="AP19" i="5"/>
  <c r="AI527" i="5"/>
  <c r="AH527" i="5"/>
  <c r="AP527" i="5"/>
  <c r="AI470" i="5"/>
  <c r="AH470" i="5"/>
  <c r="AP470" i="5"/>
  <c r="AH560" i="5"/>
  <c r="AI560" i="5"/>
  <c r="AP560" i="5"/>
  <c r="AI529" i="5"/>
  <c r="AH529" i="5"/>
  <c r="AP529" i="5"/>
  <c r="AI461" i="5"/>
  <c r="AH461" i="5"/>
  <c r="AP461" i="5"/>
  <c r="AP428" i="5"/>
  <c r="AI428" i="5"/>
  <c r="AH428" i="5"/>
  <c r="AI389" i="5"/>
  <c r="AP389" i="5"/>
  <c r="AH389" i="5"/>
  <c r="AI540" i="5"/>
  <c r="AH540" i="5"/>
  <c r="AP540" i="5"/>
  <c r="AH552" i="5"/>
  <c r="AI552" i="5"/>
  <c r="AP552" i="5"/>
  <c r="AI519" i="5"/>
  <c r="AH519" i="5"/>
  <c r="AP519" i="5"/>
  <c r="AI455" i="5"/>
  <c r="AH455" i="5"/>
  <c r="AP455" i="5"/>
  <c r="AP547" i="5"/>
  <c r="AI547" i="5"/>
  <c r="AH547" i="5"/>
  <c r="AI535" i="5"/>
  <c r="AH535" i="5"/>
  <c r="AP535" i="5"/>
  <c r="AH506" i="5"/>
  <c r="AP506" i="5"/>
  <c r="AI506" i="5"/>
  <c r="AI476" i="5"/>
  <c r="AP476" i="5"/>
  <c r="AH476" i="5"/>
  <c r="AI392" i="5"/>
  <c r="AP392" i="5"/>
  <c r="AH392" i="5"/>
  <c r="AH557" i="5"/>
  <c r="AI557" i="5"/>
  <c r="AP557" i="5"/>
  <c r="AI549" i="5"/>
  <c r="AH549" i="5"/>
  <c r="AP549" i="5"/>
  <c r="AI531" i="5"/>
  <c r="AH531" i="5"/>
  <c r="AP531" i="5"/>
  <c r="AI512" i="5"/>
  <c r="AH512" i="5"/>
  <c r="AP512" i="5"/>
  <c r="AI498" i="5"/>
  <c r="AP498" i="5"/>
  <c r="AH498" i="5"/>
  <c r="AI477" i="5"/>
  <c r="AH477" i="5"/>
  <c r="AP477" i="5"/>
  <c r="AI462" i="5"/>
  <c r="AH462" i="5"/>
  <c r="AP462" i="5"/>
  <c r="AH452" i="5"/>
  <c r="AP452" i="5"/>
  <c r="AI452" i="5"/>
  <c r="AI363" i="5"/>
  <c r="AH363" i="5"/>
  <c r="AP363" i="5"/>
  <c r="AI517" i="5"/>
  <c r="AH517" i="5"/>
  <c r="AP517" i="5"/>
  <c r="AI497" i="5"/>
  <c r="AH497" i="5"/>
  <c r="AP497" i="5"/>
  <c r="AI485" i="5"/>
  <c r="AH485" i="5"/>
  <c r="AP485" i="5"/>
  <c r="AI464" i="5"/>
  <c r="AP464" i="5"/>
  <c r="AH464" i="5"/>
  <c r="AP448" i="5"/>
  <c r="AI448" i="5"/>
  <c r="AH448" i="5"/>
  <c r="AP434" i="5"/>
  <c r="AI434" i="5"/>
  <c r="AH434" i="5"/>
  <c r="AI384" i="5"/>
  <c r="AP384" i="5"/>
  <c r="AH384" i="5"/>
  <c r="AP294" i="5"/>
  <c r="AI294" i="5"/>
  <c r="AH294" i="5"/>
  <c r="AI513" i="5"/>
  <c r="AH513" i="5"/>
  <c r="AP513" i="5"/>
  <c r="AH499" i="5"/>
  <c r="AP499" i="5"/>
  <c r="AI499" i="5"/>
  <c r="AH488" i="5"/>
  <c r="AP488" i="5"/>
  <c r="AI488" i="5"/>
  <c r="AI466" i="5"/>
  <c r="AP466" i="5"/>
  <c r="AH466" i="5"/>
  <c r="AP443" i="5"/>
  <c r="AI443" i="5"/>
  <c r="AH443" i="5"/>
  <c r="AI419" i="5"/>
  <c r="AP419" i="5"/>
  <c r="AH419" i="5"/>
  <c r="AI350" i="5"/>
  <c r="AH350" i="5"/>
  <c r="AP350" i="5"/>
  <c r="AH305" i="5"/>
  <c r="AP305" i="5"/>
  <c r="AI305" i="5"/>
  <c r="AP418" i="5"/>
  <c r="AI418" i="5"/>
  <c r="AH418" i="5"/>
  <c r="AI404" i="5"/>
  <c r="AH404" i="5"/>
  <c r="AP404" i="5"/>
  <c r="AI383" i="5"/>
  <c r="AP383" i="5"/>
  <c r="AH383" i="5"/>
  <c r="AP361" i="5"/>
  <c r="AI361" i="5"/>
  <c r="AH361" i="5"/>
  <c r="AI351" i="5"/>
  <c r="AP351" i="5"/>
  <c r="AH351" i="5"/>
  <c r="AH202" i="5"/>
  <c r="AI202" i="5"/>
  <c r="AP202" i="5"/>
  <c r="AI405" i="5"/>
  <c r="AP405" i="5"/>
  <c r="AH405" i="5"/>
  <c r="AI387" i="5"/>
  <c r="AP387" i="5"/>
  <c r="AH387" i="5"/>
  <c r="AI372" i="5"/>
  <c r="AH372" i="5"/>
  <c r="AP372" i="5"/>
  <c r="AI355" i="5"/>
  <c r="AH355" i="5"/>
  <c r="AP355" i="5"/>
  <c r="AI326" i="5"/>
  <c r="AH326" i="5"/>
  <c r="AP326" i="5"/>
  <c r="AH267" i="5"/>
  <c r="AI267" i="5"/>
  <c r="AP267" i="5"/>
  <c r="AI437" i="5"/>
  <c r="AP437" i="5"/>
  <c r="AH437" i="5"/>
  <c r="AI424" i="5"/>
  <c r="AH424" i="5"/>
  <c r="AP424" i="5"/>
  <c r="AI406" i="5"/>
  <c r="AH406" i="5"/>
  <c r="AP406" i="5"/>
  <c r="AI398" i="5"/>
  <c r="AH398" i="5"/>
  <c r="AP398" i="5"/>
  <c r="AI382" i="5"/>
  <c r="AH382" i="5"/>
  <c r="AP382" i="5"/>
  <c r="AI364" i="5"/>
  <c r="AP364" i="5"/>
  <c r="AH364" i="5"/>
  <c r="AH290" i="5"/>
  <c r="AP290" i="5"/>
  <c r="AI290" i="5"/>
  <c r="AI359" i="5"/>
  <c r="AP359" i="5"/>
  <c r="AH359" i="5"/>
  <c r="AI348" i="5"/>
  <c r="AH348" i="5"/>
  <c r="AP348" i="5"/>
  <c r="AI338" i="5"/>
  <c r="AH338" i="5"/>
  <c r="AP338" i="5"/>
  <c r="AH318" i="5"/>
  <c r="AP318" i="5"/>
  <c r="AI318" i="5"/>
  <c r="AP300" i="5"/>
  <c r="AH300" i="5"/>
  <c r="AI300" i="5"/>
  <c r="AP285" i="5"/>
  <c r="AI285" i="5"/>
  <c r="AH285" i="5"/>
  <c r="AI264" i="5"/>
  <c r="AH264" i="5"/>
  <c r="AP264" i="5"/>
  <c r="AH244" i="5"/>
  <c r="AI244" i="5"/>
  <c r="AP244" i="5"/>
  <c r="AH117" i="5"/>
  <c r="AI117" i="5"/>
  <c r="AP319" i="5"/>
  <c r="AI319" i="5"/>
  <c r="AH319" i="5"/>
  <c r="AP304" i="5"/>
  <c r="AI304" i="5"/>
  <c r="AH304" i="5"/>
  <c r="AH289" i="5"/>
  <c r="AP289" i="5"/>
  <c r="AI289" i="5"/>
  <c r="AH278" i="5"/>
  <c r="AI278" i="5"/>
  <c r="AP278" i="5"/>
  <c r="AP258" i="5"/>
  <c r="AH258" i="5"/>
  <c r="AI258" i="5"/>
  <c r="AP219" i="5"/>
  <c r="AH219" i="5"/>
  <c r="AI219" i="5"/>
  <c r="AI332" i="5"/>
  <c r="AP332" i="5"/>
  <c r="AH332" i="5"/>
  <c r="AP315" i="5"/>
  <c r="AH315" i="5"/>
  <c r="AI315" i="5"/>
  <c r="AH306" i="5"/>
  <c r="AP306" i="5"/>
  <c r="AI306" i="5"/>
  <c r="AP287" i="5"/>
  <c r="AH287" i="5"/>
  <c r="AI287" i="5"/>
  <c r="AH274" i="5"/>
  <c r="AI274" i="5"/>
  <c r="AP274" i="5"/>
  <c r="AI260" i="5"/>
  <c r="AH260" i="5"/>
  <c r="AP260" i="5"/>
  <c r="AH252" i="5"/>
  <c r="AI252" i="5"/>
  <c r="AP252" i="5"/>
  <c r="AH214" i="5"/>
  <c r="AI214" i="5"/>
  <c r="AP214" i="5"/>
  <c r="AH235" i="5"/>
  <c r="AI235" i="5"/>
  <c r="AP235" i="5"/>
  <c r="AI222" i="5"/>
  <c r="AH222" i="5"/>
  <c r="AP222" i="5"/>
  <c r="AH212" i="5"/>
  <c r="AI212" i="5"/>
  <c r="AP212" i="5"/>
  <c r="AH166" i="5"/>
  <c r="AI166" i="5"/>
  <c r="AP166" i="5"/>
  <c r="AI232" i="5"/>
  <c r="AH232" i="5"/>
  <c r="AP232" i="5"/>
  <c r="AI216" i="5"/>
  <c r="AH216" i="5"/>
  <c r="AP216" i="5"/>
  <c r="AH192" i="5"/>
  <c r="AI192" i="5"/>
  <c r="AP192" i="5"/>
  <c r="AH245" i="5"/>
  <c r="AI245" i="5"/>
  <c r="AP245" i="5"/>
  <c r="AH223" i="5"/>
  <c r="AP223" i="5"/>
  <c r="AI223" i="5"/>
  <c r="AI193" i="5"/>
  <c r="AH193" i="5"/>
  <c r="AH201" i="5"/>
  <c r="AP201" i="5"/>
  <c r="AI201" i="5"/>
  <c r="AH194" i="5"/>
  <c r="AI194" i="5"/>
  <c r="AP194" i="5"/>
  <c r="AH185" i="5"/>
  <c r="AI185" i="5"/>
  <c r="AP185" i="5"/>
  <c r="AH162" i="5"/>
  <c r="AI162" i="5"/>
  <c r="AP162" i="5"/>
  <c r="AP140" i="5"/>
  <c r="AH140" i="5"/>
  <c r="AI140" i="5"/>
  <c r="AH184" i="5"/>
  <c r="AI184" i="5"/>
  <c r="AP184" i="5"/>
  <c r="AI169" i="5"/>
  <c r="AH169" i="5"/>
  <c r="AP169" i="5"/>
  <c r="AI149" i="5"/>
  <c r="AH149" i="5"/>
  <c r="AP149" i="5"/>
  <c r="AH112" i="5"/>
  <c r="AI112" i="5"/>
  <c r="AP112" i="5"/>
  <c r="AH178" i="5"/>
  <c r="AI178" i="5"/>
  <c r="AP178" i="5"/>
  <c r="AH158" i="5"/>
  <c r="AP158" i="5"/>
  <c r="AI158" i="5"/>
  <c r="AH144" i="5"/>
  <c r="AP144" i="5"/>
  <c r="AI144" i="5"/>
  <c r="AI116" i="5"/>
  <c r="AH116" i="5"/>
  <c r="AP116" i="5"/>
  <c r="AH146" i="5"/>
  <c r="AI146" i="5"/>
  <c r="AP146" i="5"/>
  <c r="AH134" i="5"/>
  <c r="AP134" i="5"/>
  <c r="AI134" i="5"/>
  <c r="AH119" i="5"/>
  <c r="AI119" i="5"/>
  <c r="AP99" i="5"/>
  <c r="AH99" i="5"/>
  <c r="AI99" i="5"/>
  <c r="AH148" i="5"/>
  <c r="AI148" i="5"/>
  <c r="AP148" i="5"/>
  <c r="AI104" i="5"/>
  <c r="AH104" i="5"/>
  <c r="AP104" i="5"/>
  <c r="AH143" i="5"/>
  <c r="AI143" i="5"/>
  <c r="AP143" i="5"/>
  <c r="AH127" i="5"/>
  <c r="AI127" i="5"/>
  <c r="AI113" i="5"/>
  <c r="AH113" i="5"/>
  <c r="AP113" i="5"/>
  <c r="AI101" i="5"/>
  <c r="AH101" i="5"/>
  <c r="AP101" i="5"/>
  <c r="AI82" i="5"/>
  <c r="AP82" i="5"/>
  <c r="AH82" i="5"/>
  <c r="AI105" i="5"/>
  <c r="AH105" i="5"/>
  <c r="AP105" i="5"/>
  <c r="AH97" i="5"/>
  <c r="AI97" i="5"/>
  <c r="AP97" i="5"/>
  <c r="AI94" i="5"/>
  <c r="AH94" i="5"/>
  <c r="AP94" i="5"/>
  <c r="AI81" i="5"/>
  <c r="AH81" i="5"/>
  <c r="AP81" i="5"/>
  <c r="AH72" i="5"/>
  <c r="AI72" i="5"/>
  <c r="AP72" i="5"/>
  <c r="AI70" i="5"/>
  <c r="AP70" i="5"/>
  <c r="AH70" i="5"/>
  <c r="AI26" i="5"/>
  <c r="AH26" i="5"/>
  <c r="AP26" i="5"/>
  <c r="AH58" i="5"/>
  <c r="AP58" i="5"/>
  <c r="AI58" i="5"/>
  <c r="AH67" i="5"/>
  <c r="AI67" i="5"/>
  <c r="AP67" i="5"/>
  <c r="AH56" i="5"/>
  <c r="AI56" i="5"/>
  <c r="AP56" i="5"/>
  <c r="AI57" i="5"/>
  <c r="AH57" i="5"/>
  <c r="AP57" i="5"/>
  <c r="AH37" i="5"/>
  <c r="AI37" i="5"/>
  <c r="AP37" i="5"/>
  <c r="AH48" i="5"/>
  <c r="AP48" i="5"/>
  <c r="AI48" i="5"/>
  <c r="AH36" i="5"/>
  <c r="AI36" i="5"/>
  <c r="AP36" i="5"/>
  <c r="AI45" i="5"/>
  <c r="AH45" i="5"/>
  <c r="AP45" i="5"/>
  <c r="AP28" i="5"/>
  <c r="AI28" i="5"/>
  <c r="AH28" i="5"/>
  <c r="AP44" i="5"/>
  <c r="AH44" i="5"/>
  <c r="AI44" i="5"/>
  <c r="AI30" i="5"/>
  <c r="AH30" i="5"/>
  <c r="AP30" i="5"/>
  <c r="AN19" i="5"/>
  <c r="AO19" i="5"/>
  <c r="AN464" i="5"/>
  <c r="AO464" i="5"/>
  <c r="AN559" i="5"/>
  <c r="AO559" i="5"/>
  <c r="AN541" i="5"/>
  <c r="AO541" i="5"/>
  <c r="AO501" i="5"/>
  <c r="AN501" i="5"/>
  <c r="AO407" i="5"/>
  <c r="AN407" i="5"/>
  <c r="AO544" i="5"/>
  <c r="AN544" i="5"/>
  <c r="AO448" i="5"/>
  <c r="AN448" i="5"/>
  <c r="AO558" i="5"/>
  <c r="AN558" i="5"/>
  <c r="AN548" i="5"/>
  <c r="AO548" i="5"/>
  <c r="AO529" i="5"/>
  <c r="AN529" i="5"/>
  <c r="AO513" i="5"/>
  <c r="AN513" i="5"/>
  <c r="AN425" i="5"/>
  <c r="AO425" i="5"/>
  <c r="AO229" i="5"/>
  <c r="AN229" i="5"/>
  <c r="AN545" i="5"/>
  <c r="AO545" i="5"/>
  <c r="AN522" i="5"/>
  <c r="AO522" i="5"/>
  <c r="AN509" i="5"/>
  <c r="AO509" i="5"/>
  <c r="AN502" i="5"/>
  <c r="AO502" i="5"/>
  <c r="AO494" i="5"/>
  <c r="AN494" i="5"/>
  <c r="AN488" i="5"/>
  <c r="AO488" i="5"/>
  <c r="AN479" i="5"/>
  <c r="AO479" i="5"/>
  <c r="AN466" i="5"/>
  <c r="AO466" i="5"/>
  <c r="AO453" i="5"/>
  <c r="AN453" i="5"/>
  <c r="AN441" i="5"/>
  <c r="AO441" i="5"/>
  <c r="AO405" i="5"/>
  <c r="AN405" i="5"/>
  <c r="AO353" i="5"/>
  <c r="AN353" i="5"/>
  <c r="AO516" i="5"/>
  <c r="AN516" i="5"/>
  <c r="AO507" i="5"/>
  <c r="AN507" i="5"/>
  <c r="AO480" i="5"/>
  <c r="AN480" i="5"/>
  <c r="AN468" i="5"/>
  <c r="AO468" i="5"/>
  <c r="AO461" i="5"/>
  <c r="AN461" i="5"/>
  <c r="AO429" i="5"/>
  <c r="AN429" i="5"/>
  <c r="AN403" i="5"/>
  <c r="AO403" i="5"/>
  <c r="AO382" i="5"/>
  <c r="AN382" i="5"/>
  <c r="AO531" i="5"/>
  <c r="AN531" i="5"/>
  <c r="AN504" i="5"/>
  <c r="AO504" i="5"/>
  <c r="AO478" i="5"/>
  <c r="AN478" i="5"/>
  <c r="AN460" i="5"/>
  <c r="AO460" i="5"/>
  <c r="AN452" i="5"/>
  <c r="AO452" i="5"/>
  <c r="AN368" i="5"/>
  <c r="AO368" i="5"/>
  <c r="AN416" i="5"/>
  <c r="AO416" i="5"/>
  <c r="AN398" i="5"/>
  <c r="AO398" i="5"/>
  <c r="AN378" i="5"/>
  <c r="AO378" i="5"/>
  <c r="AN364" i="5"/>
  <c r="AO364" i="5"/>
  <c r="AO342" i="5"/>
  <c r="AN342" i="5"/>
  <c r="AN333" i="5"/>
  <c r="AO333" i="5"/>
  <c r="AO280" i="5"/>
  <c r="AN280" i="5"/>
  <c r="AN245" i="5"/>
  <c r="AO245" i="5"/>
  <c r="AO417" i="5"/>
  <c r="AN417" i="5"/>
  <c r="AO399" i="5"/>
  <c r="AN399" i="5"/>
  <c r="AN386" i="5"/>
  <c r="AO386" i="5"/>
  <c r="AN375" i="5"/>
  <c r="AO375" i="5"/>
  <c r="AO361" i="5"/>
  <c r="AN361" i="5"/>
  <c r="AN345" i="5"/>
  <c r="AO345" i="5"/>
  <c r="AO277" i="5"/>
  <c r="AN277" i="5"/>
  <c r="AN440" i="5"/>
  <c r="AO440" i="5"/>
  <c r="AN428" i="5"/>
  <c r="AO428" i="5"/>
  <c r="AN411" i="5"/>
  <c r="AO411" i="5"/>
  <c r="AO393" i="5"/>
  <c r="AN393" i="5"/>
  <c r="AN373" i="5"/>
  <c r="AO373" i="5"/>
  <c r="AO352" i="5"/>
  <c r="AN352" i="5"/>
  <c r="AO316" i="5"/>
  <c r="AN316" i="5"/>
  <c r="AO218" i="5"/>
  <c r="AN218" i="5"/>
  <c r="AN351" i="5"/>
  <c r="AO351" i="5"/>
  <c r="AN339" i="5"/>
  <c r="AO339" i="5"/>
  <c r="AO329" i="5"/>
  <c r="AN329" i="5"/>
  <c r="AN315" i="5"/>
  <c r="AO315" i="5"/>
  <c r="AN309" i="5"/>
  <c r="AO309" i="5"/>
  <c r="AO295" i="5"/>
  <c r="AN295" i="5"/>
  <c r="AN268" i="5"/>
  <c r="AO268" i="5"/>
  <c r="AO255" i="5"/>
  <c r="AN255" i="5"/>
  <c r="AO241" i="5"/>
  <c r="AN241" i="5"/>
  <c r="AN188" i="5"/>
  <c r="AO188" i="5"/>
  <c r="AN317" i="5"/>
  <c r="AO317" i="5"/>
  <c r="AO290" i="5"/>
  <c r="AN290" i="5"/>
  <c r="AO269" i="5"/>
  <c r="AN269" i="5"/>
  <c r="AO247" i="5"/>
  <c r="AN247" i="5"/>
  <c r="AN323" i="5"/>
  <c r="AO323" i="5"/>
  <c r="AO303" i="5"/>
  <c r="AN303" i="5"/>
  <c r="AN288" i="5"/>
  <c r="AO288" i="5"/>
  <c r="AO279" i="5"/>
  <c r="AN279" i="5"/>
  <c r="AN266" i="5"/>
  <c r="AO266" i="5"/>
  <c r="AO246" i="5"/>
  <c r="AN246" i="5"/>
  <c r="AN191" i="5"/>
  <c r="AO191" i="5"/>
  <c r="AO237" i="5"/>
  <c r="AN237" i="5"/>
  <c r="AN202" i="5"/>
  <c r="AO202" i="5"/>
  <c r="AO184" i="5"/>
  <c r="AN184" i="5"/>
  <c r="AO242" i="5"/>
  <c r="AN242" i="5"/>
  <c r="AN226" i="5"/>
  <c r="AO226" i="5"/>
  <c r="AN214" i="5"/>
  <c r="AO214" i="5"/>
  <c r="AO196" i="5"/>
  <c r="AN196" i="5"/>
  <c r="AO179" i="5"/>
  <c r="AN179" i="5"/>
  <c r="AO230" i="5"/>
  <c r="AN230" i="5"/>
  <c r="AN213" i="5"/>
  <c r="AO213" i="5"/>
  <c r="AO190" i="5"/>
  <c r="AN190" i="5"/>
  <c r="AO136" i="5"/>
  <c r="AN136" i="5"/>
  <c r="AO201" i="5"/>
  <c r="AN201" i="5"/>
  <c r="AN183" i="5"/>
  <c r="AO183" i="5"/>
  <c r="AN158" i="5"/>
  <c r="AO158" i="5"/>
  <c r="AO134" i="5"/>
  <c r="AN134" i="5"/>
  <c r="AN180" i="5"/>
  <c r="AO180" i="5"/>
  <c r="AN166" i="5"/>
  <c r="AO166" i="5"/>
  <c r="AN150" i="5"/>
  <c r="AO150" i="5"/>
  <c r="AO177" i="5"/>
  <c r="AN177" i="5"/>
  <c r="AO163" i="5"/>
  <c r="AN163" i="5"/>
  <c r="AO101" i="5"/>
  <c r="AN101" i="5"/>
  <c r="AO139" i="5"/>
  <c r="AN139" i="5"/>
  <c r="AN119" i="5"/>
  <c r="AO119" i="5"/>
  <c r="AN154" i="5"/>
  <c r="AO154" i="5"/>
  <c r="AN138" i="5"/>
  <c r="AO138" i="5"/>
  <c r="AN126" i="5"/>
  <c r="AO126" i="5"/>
  <c r="AN117" i="5"/>
  <c r="AO117" i="5"/>
  <c r="AN100" i="5"/>
  <c r="AO100" i="5"/>
  <c r="AO144" i="5"/>
  <c r="AN144" i="5"/>
  <c r="AN121" i="5"/>
  <c r="AO121" i="5"/>
  <c r="AN94" i="5"/>
  <c r="AO94" i="5"/>
  <c r="AO86" i="5"/>
  <c r="AN86" i="5"/>
  <c r="AO74" i="5"/>
  <c r="AN74" i="5"/>
  <c r="AO95" i="5"/>
  <c r="AN95" i="5"/>
  <c r="AO89" i="5"/>
  <c r="AN89" i="5"/>
  <c r="AO84" i="5"/>
  <c r="AN84" i="5"/>
  <c r="AO76" i="5"/>
  <c r="AN76" i="5"/>
  <c r="AN59" i="5"/>
  <c r="AO59" i="5"/>
  <c r="AN75" i="5"/>
  <c r="AO75" i="5"/>
  <c r="AO78" i="5"/>
  <c r="AN78" i="5"/>
  <c r="AO54" i="5"/>
  <c r="AN54" i="5"/>
  <c r="AN55" i="5"/>
  <c r="AO55" i="5"/>
  <c r="AN52" i="5"/>
  <c r="AO52" i="5"/>
  <c r="AO21" i="5"/>
  <c r="AN21" i="5"/>
  <c r="AO64" i="5"/>
  <c r="AN64" i="5"/>
  <c r="AO35" i="5"/>
  <c r="AN35" i="5"/>
  <c r="AO44" i="5"/>
  <c r="AN44" i="5"/>
  <c r="AO30" i="5"/>
  <c r="AN30" i="5"/>
  <c r="AN31" i="5"/>
  <c r="AO31" i="5"/>
  <c r="AN22" i="5"/>
  <c r="AO22" i="5"/>
  <c r="AN34" i="5"/>
  <c r="AO34" i="5"/>
  <c r="AP127" i="5"/>
  <c r="B26" i="5"/>
  <c r="B13" i="5"/>
  <c r="B21" i="3"/>
  <c r="B22" i="3" s="1"/>
  <c r="B11" i="2"/>
  <c r="H15" i="1" s="1"/>
  <c r="B18" i="2"/>
  <c r="B40" i="2" s="1"/>
  <c r="B17" i="2"/>
  <c r="B269" i="2" l="1"/>
  <c r="B184" i="2"/>
  <c r="AM134" i="4"/>
  <c r="AM118" i="4"/>
  <c r="AM70" i="4"/>
  <c r="AM54" i="4"/>
  <c r="AM141" i="4"/>
  <c r="AM125" i="4"/>
  <c r="AM77" i="4"/>
  <c r="AM61" i="4"/>
  <c r="AM143" i="4"/>
  <c r="AM127" i="4"/>
  <c r="AM79" i="4"/>
  <c r="AM63" i="4"/>
  <c r="AM148" i="4"/>
  <c r="AM116" i="4"/>
  <c r="AM84" i="4"/>
  <c r="AM52" i="4"/>
  <c r="AM20" i="4"/>
  <c r="AM27" i="4"/>
  <c r="AM155" i="4"/>
  <c r="AM139" i="4"/>
  <c r="AM123" i="4"/>
  <c r="AM107" i="4"/>
  <c r="AM91" i="4"/>
  <c r="AM75" i="4"/>
  <c r="AM59" i="4"/>
  <c r="AM43" i="4"/>
  <c r="AM10" i="4"/>
  <c r="AM144" i="4"/>
  <c r="AM128" i="4"/>
  <c r="AM112" i="4"/>
  <c r="AM96" i="4"/>
  <c r="AM80" i="4"/>
  <c r="AM64" i="4"/>
  <c r="AM48" i="4"/>
  <c r="AM12" i="4"/>
  <c r="AM146" i="4"/>
  <c r="AM130" i="4"/>
  <c r="AM114" i="4"/>
  <c r="AM98" i="4"/>
  <c r="AM82" i="4"/>
  <c r="AM66" i="4"/>
  <c r="AM50" i="4"/>
  <c r="AM24" i="4"/>
  <c r="AM153" i="4"/>
  <c r="AM137" i="4"/>
  <c r="AM121" i="4"/>
  <c r="AM105" i="4"/>
  <c r="AM89" i="4"/>
  <c r="AM73" i="4"/>
  <c r="AM57" i="4"/>
  <c r="AM34" i="4"/>
  <c r="AM28" i="4"/>
  <c r="AM37" i="4"/>
  <c r="AM29" i="4"/>
  <c r="AM21" i="4"/>
  <c r="AM102" i="4"/>
  <c r="AM40" i="4"/>
  <c r="AM109" i="4"/>
  <c r="AM45" i="4"/>
  <c r="AM111" i="4"/>
  <c r="AM47" i="4"/>
  <c r="AM132" i="4"/>
  <c r="AM68" i="4"/>
  <c r="AM35" i="4"/>
  <c r="AM19" i="4"/>
  <c r="AM7" i="4"/>
  <c r="AM13" i="4"/>
  <c r="AM147" i="4"/>
  <c r="AM131" i="4"/>
  <c r="AM115" i="4"/>
  <c r="AM99" i="4"/>
  <c r="AM83" i="4"/>
  <c r="AM67" i="4"/>
  <c r="AM51" i="4"/>
  <c r="AM26" i="4"/>
  <c r="AM152" i="4"/>
  <c r="AM136" i="4"/>
  <c r="AM120" i="4"/>
  <c r="AM104" i="4"/>
  <c r="AM88" i="4"/>
  <c r="AM72" i="4"/>
  <c r="AM56" i="4"/>
  <c r="AM32" i="4"/>
  <c r="AM154" i="4"/>
  <c r="AM138" i="4"/>
  <c r="AM122" i="4"/>
  <c r="AM106" i="4"/>
  <c r="AM90" i="4"/>
  <c r="AM74" i="4"/>
  <c r="AM58" i="4"/>
  <c r="AM42" i="4"/>
  <c r="AM11" i="4"/>
  <c r="AM145" i="4"/>
  <c r="AM129" i="4"/>
  <c r="AM113" i="4"/>
  <c r="AM97" i="4"/>
  <c r="AM81" i="4"/>
  <c r="AM65" i="4"/>
  <c r="AM49" i="4"/>
  <c r="AM16" i="4"/>
  <c r="AM41" i="4"/>
  <c r="AM33" i="4"/>
  <c r="AM25" i="4"/>
  <c r="AM17" i="4"/>
  <c r="AM150" i="4"/>
  <c r="AM86" i="4"/>
  <c r="AM157" i="4"/>
  <c r="AM93" i="4"/>
  <c r="AM9" i="4"/>
  <c r="AM95" i="4"/>
  <c r="AM14" i="4"/>
  <c r="AM100" i="4"/>
  <c r="AM30" i="4"/>
  <c r="AM8" i="4"/>
  <c r="AM142" i="4"/>
  <c r="AM126" i="4"/>
  <c r="AM110" i="4"/>
  <c r="AM94" i="4"/>
  <c r="AM78" i="4"/>
  <c r="AM62" i="4"/>
  <c r="AM46" i="4"/>
  <c r="AM22" i="4"/>
  <c r="AM149" i="4"/>
  <c r="AM133" i="4"/>
  <c r="AM117" i="4"/>
  <c r="AM101" i="4"/>
  <c r="AM85" i="4"/>
  <c r="AM69" i="4"/>
  <c r="AM53" i="4"/>
  <c r="AM18" i="4"/>
  <c r="AM151" i="4"/>
  <c r="AM135" i="4"/>
  <c r="AM119" i="4"/>
  <c r="AM103" i="4"/>
  <c r="AM87" i="4"/>
  <c r="AM71" i="4"/>
  <c r="AM55" i="4"/>
  <c r="AM38" i="4"/>
  <c r="AM156" i="4"/>
  <c r="AM140" i="4"/>
  <c r="AM124" i="4"/>
  <c r="AM108" i="4"/>
  <c r="AM92" i="4"/>
  <c r="AM76" i="4"/>
  <c r="AM60" i="4"/>
  <c r="AM44" i="4"/>
  <c r="AM36" i="4"/>
  <c r="AM39" i="4"/>
  <c r="AM31" i="4"/>
  <c r="AM23" i="4"/>
  <c r="AM15" i="4"/>
  <c r="B53" i="10"/>
  <c r="B55" i="10" s="1"/>
  <c r="Z263" i="10" s="1"/>
  <c r="B228" i="2"/>
  <c r="B267" i="2"/>
  <c r="AH13" i="10"/>
  <c r="AI13" i="10"/>
  <c r="AL12" i="10"/>
  <c r="AK12" i="10"/>
  <c r="AK13" i="10"/>
  <c r="AL13" i="10"/>
  <c r="AR12" i="10"/>
  <c r="AQ12" i="10"/>
  <c r="AR13" i="10"/>
  <c r="AQ13" i="10"/>
  <c r="AI12" i="10"/>
  <c r="AH12" i="10"/>
  <c r="AO13" i="10"/>
  <c r="AN13" i="10"/>
  <c r="AS13" i="10"/>
  <c r="AN12" i="10"/>
  <c r="AO12" i="10"/>
  <c r="AS12" i="10"/>
  <c r="AM10" i="10"/>
  <c r="AJ10" i="10"/>
  <c r="AG10" i="10"/>
  <c r="T10" i="10"/>
  <c r="AP10" i="10"/>
  <c r="V7" i="10"/>
  <c r="U7" i="10"/>
  <c r="B17" i="10"/>
  <c r="B45" i="10" s="1"/>
  <c r="B271" i="2"/>
  <c r="U13" i="10"/>
  <c r="V13" i="10"/>
  <c r="V12" i="10"/>
  <c r="U12" i="10"/>
  <c r="V8" i="10"/>
  <c r="U8" i="10"/>
  <c r="U436" i="10"/>
  <c r="V436" i="10"/>
  <c r="V256" i="10"/>
  <c r="U256" i="10"/>
  <c r="V69" i="10"/>
  <c r="U69" i="10"/>
  <c r="V40" i="10"/>
  <c r="U40" i="10"/>
  <c r="V405" i="10"/>
  <c r="U405" i="10"/>
  <c r="U353" i="10"/>
  <c r="V353" i="10"/>
  <c r="U169" i="10"/>
  <c r="V169" i="10"/>
  <c r="V150" i="10"/>
  <c r="U150" i="10"/>
  <c r="U45" i="10"/>
  <c r="V45" i="10"/>
  <c r="U282" i="10"/>
  <c r="V282" i="10"/>
  <c r="U480" i="10"/>
  <c r="V480" i="10"/>
  <c r="U290" i="10"/>
  <c r="V290" i="10"/>
  <c r="V128" i="10"/>
  <c r="U128" i="10"/>
  <c r="V68" i="10"/>
  <c r="U68" i="10"/>
  <c r="V130" i="10"/>
  <c r="U130" i="10"/>
  <c r="U305" i="10"/>
  <c r="V305" i="10"/>
  <c r="V513" i="10"/>
  <c r="U513" i="10"/>
  <c r="U350" i="10"/>
  <c r="V350" i="10"/>
  <c r="U262" i="10"/>
  <c r="V262" i="10"/>
  <c r="V300" i="10"/>
  <c r="U300" i="10"/>
  <c r="V126" i="10"/>
  <c r="U126" i="10"/>
  <c r="U83" i="10"/>
  <c r="V83" i="10"/>
  <c r="V203" i="10"/>
  <c r="U203" i="10"/>
  <c r="V121" i="10"/>
  <c r="U121" i="10"/>
  <c r="V183" i="10"/>
  <c r="U183" i="10"/>
  <c r="U253" i="10"/>
  <c r="V253" i="10"/>
  <c r="U277" i="10"/>
  <c r="V277" i="10"/>
  <c r="V312" i="10"/>
  <c r="U312" i="10"/>
  <c r="U119" i="10"/>
  <c r="V119" i="10"/>
  <c r="V211" i="10"/>
  <c r="U211" i="10"/>
  <c r="V323" i="10"/>
  <c r="U323" i="10"/>
  <c r="V371" i="10"/>
  <c r="U371" i="10"/>
  <c r="U406" i="10"/>
  <c r="V406" i="10"/>
  <c r="U382" i="10"/>
  <c r="V382" i="10"/>
  <c r="V466" i="10"/>
  <c r="U466" i="10"/>
  <c r="V508" i="10"/>
  <c r="U508" i="10"/>
  <c r="V541" i="10"/>
  <c r="U541" i="10"/>
  <c r="AT454" i="10"/>
  <c r="AU454" i="10"/>
  <c r="AT199" i="10"/>
  <c r="AU199" i="10"/>
  <c r="AU250" i="10"/>
  <c r="AT250" i="10"/>
  <c r="AU148" i="10"/>
  <c r="AT148" i="10"/>
  <c r="AU214" i="10"/>
  <c r="AT214" i="10"/>
  <c r="AU475" i="10"/>
  <c r="AT475" i="10"/>
  <c r="AU409" i="10"/>
  <c r="AT409" i="10"/>
  <c r="AT416" i="10"/>
  <c r="AU416" i="10"/>
  <c r="AU469" i="10"/>
  <c r="AT469" i="10"/>
  <c r="AU134" i="10"/>
  <c r="AT134" i="10"/>
  <c r="AT378" i="10"/>
  <c r="AU378" i="10"/>
  <c r="AT227" i="10"/>
  <c r="AU227" i="10"/>
  <c r="AT255" i="10"/>
  <c r="AU255" i="10"/>
  <c r="AU160" i="10"/>
  <c r="AT160" i="10"/>
  <c r="AU546" i="10"/>
  <c r="AT546" i="10"/>
  <c r="AU190" i="10"/>
  <c r="AT190" i="10"/>
  <c r="AU460" i="10"/>
  <c r="AT460" i="10"/>
  <c r="AT549" i="10"/>
  <c r="AU549" i="10"/>
  <c r="AU485" i="10"/>
  <c r="AT485" i="10"/>
  <c r="AT239" i="10"/>
  <c r="AU239" i="10"/>
  <c r="AU274" i="10"/>
  <c r="AT274" i="10"/>
  <c r="AU58" i="10"/>
  <c r="AT58" i="10"/>
  <c r="AU189" i="10"/>
  <c r="AT189" i="10"/>
  <c r="AU483" i="10"/>
  <c r="AT483" i="10"/>
  <c r="AU353" i="10"/>
  <c r="AT353" i="10"/>
  <c r="AT478" i="10"/>
  <c r="AU478" i="10"/>
  <c r="AU450" i="10"/>
  <c r="AT450" i="10"/>
  <c r="AU350" i="10"/>
  <c r="AT350" i="10"/>
  <c r="AT224" i="10"/>
  <c r="AU224" i="10"/>
  <c r="AT514" i="10"/>
  <c r="AU514" i="10"/>
  <c r="AU142" i="10"/>
  <c r="AT142" i="10"/>
  <c r="AU456" i="10"/>
  <c r="AT456" i="10"/>
  <c r="AU535" i="10"/>
  <c r="AT535" i="10"/>
  <c r="AU497" i="10"/>
  <c r="AT497" i="10"/>
  <c r="V505" i="10"/>
  <c r="U505" i="10"/>
  <c r="V419" i="10"/>
  <c r="U419" i="10"/>
  <c r="V393" i="10"/>
  <c r="U393" i="10"/>
  <c r="V132" i="10"/>
  <c r="U132" i="10"/>
  <c r="V100" i="10"/>
  <c r="U100" i="10"/>
  <c r="V280" i="10"/>
  <c r="U280" i="10"/>
  <c r="V248" i="10"/>
  <c r="U248" i="10"/>
  <c r="V39" i="10"/>
  <c r="U39" i="10"/>
  <c r="V196" i="10"/>
  <c r="U196" i="10"/>
  <c r="V166" i="10"/>
  <c r="U166" i="10"/>
  <c r="V106" i="10"/>
  <c r="U106" i="10"/>
  <c r="V49" i="10"/>
  <c r="U49" i="10"/>
  <c r="U559" i="10"/>
  <c r="V559" i="10"/>
  <c r="U515" i="10"/>
  <c r="V515" i="10"/>
  <c r="V516" i="10"/>
  <c r="U516" i="10"/>
  <c r="U494" i="10"/>
  <c r="V494" i="10"/>
  <c r="V415" i="10"/>
  <c r="U415" i="10"/>
  <c r="V389" i="10"/>
  <c r="U389" i="10"/>
  <c r="U338" i="10"/>
  <c r="V338" i="10"/>
  <c r="V465" i="10"/>
  <c r="U465" i="10"/>
  <c r="U345" i="10"/>
  <c r="V345" i="10"/>
  <c r="U313" i="10"/>
  <c r="V313" i="10"/>
  <c r="U254" i="10"/>
  <c r="V254" i="10"/>
  <c r="V387" i="10"/>
  <c r="U387" i="10"/>
  <c r="V152" i="10"/>
  <c r="U152" i="10"/>
  <c r="V180" i="10"/>
  <c r="U180" i="10"/>
  <c r="V210" i="10"/>
  <c r="U210" i="10"/>
  <c r="V31" i="10"/>
  <c r="U31" i="10"/>
  <c r="V134" i="10"/>
  <c r="U134" i="10"/>
  <c r="U57" i="10"/>
  <c r="V57" i="10"/>
  <c r="U38" i="10"/>
  <c r="V38" i="10"/>
  <c r="V21" i="10"/>
  <c r="U21" i="10"/>
  <c r="V522" i="10"/>
  <c r="U522" i="10"/>
  <c r="V444" i="10"/>
  <c r="U444" i="10"/>
  <c r="U250" i="10"/>
  <c r="V250" i="10"/>
  <c r="U558" i="10"/>
  <c r="V558" i="10"/>
  <c r="V528" i="10"/>
  <c r="U528" i="10"/>
  <c r="V489" i="10"/>
  <c r="U489" i="10"/>
  <c r="U476" i="10"/>
  <c r="V476" i="10"/>
  <c r="V483" i="10"/>
  <c r="U483" i="10"/>
  <c r="V411" i="10"/>
  <c r="U411" i="10"/>
  <c r="V401" i="10"/>
  <c r="U401" i="10"/>
  <c r="U274" i="10"/>
  <c r="V274" i="10"/>
  <c r="U221" i="10"/>
  <c r="V221" i="10"/>
  <c r="U165" i="10"/>
  <c r="V165" i="10"/>
  <c r="V120" i="10"/>
  <c r="U120" i="10"/>
  <c r="V168" i="10"/>
  <c r="U168" i="10"/>
  <c r="V268" i="10"/>
  <c r="U268" i="10"/>
  <c r="V222" i="10"/>
  <c r="U222" i="10"/>
  <c r="U58" i="10"/>
  <c r="V58" i="10"/>
  <c r="V208" i="10"/>
  <c r="U208" i="10"/>
  <c r="V170" i="10"/>
  <c r="U170" i="10"/>
  <c r="V114" i="10"/>
  <c r="U114" i="10"/>
  <c r="V70" i="10"/>
  <c r="U70" i="10"/>
  <c r="V546" i="10"/>
  <c r="U546" i="10"/>
  <c r="V363" i="10"/>
  <c r="U363" i="10"/>
  <c r="U213" i="10"/>
  <c r="V213" i="10"/>
  <c r="V548" i="10"/>
  <c r="U548" i="10"/>
  <c r="U510" i="10"/>
  <c r="V510" i="10"/>
  <c r="U506" i="10"/>
  <c r="V506" i="10"/>
  <c r="U460" i="10"/>
  <c r="V460" i="10"/>
  <c r="U432" i="10"/>
  <c r="V432" i="10"/>
  <c r="V407" i="10"/>
  <c r="U407" i="10"/>
  <c r="V413" i="10"/>
  <c r="U413" i="10"/>
  <c r="U342" i="10"/>
  <c r="V342" i="10"/>
  <c r="U310" i="10"/>
  <c r="V310" i="10"/>
  <c r="U341" i="10"/>
  <c r="V341" i="10"/>
  <c r="U309" i="10"/>
  <c r="V309" i="10"/>
  <c r="U246" i="10"/>
  <c r="V246" i="10"/>
  <c r="U193" i="10"/>
  <c r="V193" i="10"/>
  <c r="V202" i="10"/>
  <c r="U202" i="10"/>
  <c r="V234" i="10"/>
  <c r="U234" i="10"/>
  <c r="V61" i="10"/>
  <c r="U61" i="10"/>
  <c r="V204" i="10"/>
  <c r="U204" i="10"/>
  <c r="V110" i="10"/>
  <c r="U110" i="10"/>
  <c r="V37" i="10"/>
  <c r="U37" i="10"/>
  <c r="V24" i="10"/>
  <c r="U24" i="10"/>
  <c r="V44" i="10"/>
  <c r="U44" i="10"/>
  <c r="U67" i="10"/>
  <c r="V67" i="10"/>
  <c r="U87" i="10"/>
  <c r="V87" i="10"/>
  <c r="V53" i="10"/>
  <c r="U53" i="10"/>
  <c r="U63" i="10"/>
  <c r="V63" i="10"/>
  <c r="V51" i="10"/>
  <c r="U51" i="10"/>
  <c r="U77" i="10"/>
  <c r="V77" i="10"/>
  <c r="U93" i="10"/>
  <c r="V93" i="10"/>
  <c r="V109" i="10"/>
  <c r="U109" i="10"/>
  <c r="V125" i="10"/>
  <c r="U125" i="10"/>
  <c r="V141" i="10"/>
  <c r="U141" i="10"/>
  <c r="V157" i="10"/>
  <c r="U157" i="10"/>
  <c r="V171" i="10"/>
  <c r="U171" i="10"/>
  <c r="V187" i="10"/>
  <c r="U187" i="10"/>
  <c r="V220" i="10"/>
  <c r="U220" i="10"/>
  <c r="V236" i="10"/>
  <c r="U236" i="10"/>
  <c r="U247" i="10"/>
  <c r="V247" i="10"/>
  <c r="U255" i="10"/>
  <c r="V255" i="10"/>
  <c r="U263" i="10"/>
  <c r="V263" i="10"/>
  <c r="U271" i="10"/>
  <c r="V271" i="10"/>
  <c r="U279" i="10"/>
  <c r="V279" i="10"/>
  <c r="U287" i="10"/>
  <c r="V287" i="10"/>
  <c r="U295" i="10"/>
  <c r="V295" i="10"/>
  <c r="V316" i="10"/>
  <c r="U316" i="10"/>
  <c r="V332" i="10"/>
  <c r="U332" i="10"/>
  <c r="V348" i="10"/>
  <c r="U348" i="10"/>
  <c r="U107" i="10"/>
  <c r="V107" i="10"/>
  <c r="U123" i="10"/>
  <c r="V123" i="10"/>
  <c r="U139" i="10"/>
  <c r="V139" i="10"/>
  <c r="U155" i="10"/>
  <c r="V155" i="10"/>
  <c r="V215" i="10"/>
  <c r="U215" i="10"/>
  <c r="V231" i="10"/>
  <c r="U231" i="10"/>
  <c r="U372" i="10"/>
  <c r="V372" i="10"/>
  <c r="V311" i="10"/>
  <c r="U311" i="10"/>
  <c r="V327" i="10"/>
  <c r="U327" i="10"/>
  <c r="V343" i="10"/>
  <c r="U343" i="10"/>
  <c r="V359" i="10"/>
  <c r="U359" i="10"/>
  <c r="U368" i="10"/>
  <c r="V368" i="10"/>
  <c r="V307" i="10"/>
  <c r="U307" i="10"/>
  <c r="V375" i="10"/>
  <c r="U375" i="10"/>
  <c r="U394" i="10"/>
  <c r="V394" i="10"/>
  <c r="U410" i="10"/>
  <c r="V410" i="10"/>
  <c r="U426" i="10"/>
  <c r="V426" i="10"/>
  <c r="V447" i="10"/>
  <c r="U447" i="10"/>
  <c r="V370" i="10"/>
  <c r="U370" i="10"/>
  <c r="U388" i="10"/>
  <c r="V388" i="10"/>
  <c r="U404" i="10"/>
  <c r="V404" i="10"/>
  <c r="U420" i="10"/>
  <c r="V420" i="10"/>
  <c r="V454" i="10"/>
  <c r="U454" i="10"/>
  <c r="U441" i="10"/>
  <c r="V441" i="10"/>
  <c r="V474" i="10"/>
  <c r="U474" i="10"/>
  <c r="V442" i="10"/>
  <c r="U442" i="10"/>
  <c r="U498" i="10"/>
  <c r="V498" i="10"/>
  <c r="U496" i="10"/>
  <c r="V496" i="10"/>
  <c r="V512" i="10"/>
  <c r="U512" i="10"/>
  <c r="V529" i="10"/>
  <c r="U529" i="10"/>
  <c r="U527" i="10"/>
  <c r="V527" i="10"/>
  <c r="V549" i="10"/>
  <c r="U549" i="10"/>
  <c r="V552" i="10"/>
  <c r="U552" i="10"/>
  <c r="AU559" i="10"/>
  <c r="AT559" i="10"/>
  <c r="AT560" i="10"/>
  <c r="AU560" i="10"/>
  <c r="AU507" i="10"/>
  <c r="AT507" i="10"/>
  <c r="AT470" i="10"/>
  <c r="AU470" i="10"/>
  <c r="AU477" i="10"/>
  <c r="AT477" i="10"/>
  <c r="AT382" i="10"/>
  <c r="AU382" i="10"/>
  <c r="AU427" i="10"/>
  <c r="AT427" i="10"/>
  <c r="AT327" i="10"/>
  <c r="AU327" i="10"/>
  <c r="AT231" i="10"/>
  <c r="AU231" i="10"/>
  <c r="AU330" i="10"/>
  <c r="AT330" i="10"/>
  <c r="AU266" i="10"/>
  <c r="AT266" i="10"/>
  <c r="AT259" i="10"/>
  <c r="AU259" i="10"/>
  <c r="AT161" i="10"/>
  <c r="AU161" i="10"/>
  <c r="AT188" i="10"/>
  <c r="AU188" i="10"/>
  <c r="AU43" i="10"/>
  <c r="AT43" i="10"/>
  <c r="AU100" i="10"/>
  <c r="AT100" i="10"/>
  <c r="AU54" i="10"/>
  <c r="AT54" i="10"/>
  <c r="AU170" i="10"/>
  <c r="AT170" i="10"/>
  <c r="AU308" i="10"/>
  <c r="AT308" i="10"/>
  <c r="AU532" i="10"/>
  <c r="AT532" i="10"/>
  <c r="AU37" i="10"/>
  <c r="AT37" i="10"/>
  <c r="AU234" i="10"/>
  <c r="AT234" i="10"/>
  <c r="AT197" i="10"/>
  <c r="AU197" i="10"/>
  <c r="AU491" i="10"/>
  <c r="AT491" i="10"/>
  <c r="AU513" i="10"/>
  <c r="AT513" i="10"/>
  <c r="AU547" i="10"/>
  <c r="AT547" i="10"/>
  <c r="AU74" i="10"/>
  <c r="AT74" i="10"/>
  <c r="AU182" i="10"/>
  <c r="AT182" i="10"/>
  <c r="AU70" i="10"/>
  <c r="AT70" i="10"/>
  <c r="AU242" i="10"/>
  <c r="AT242" i="10"/>
  <c r="AU401" i="10"/>
  <c r="AT401" i="10"/>
  <c r="AT552" i="10"/>
  <c r="AU552" i="10"/>
  <c r="AT512" i="10"/>
  <c r="AU512" i="10"/>
  <c r="AT496" i="10"/>
  <c r="AU496" i="10"/>
  <c r="AU442" i="10"/>
  <c r="AT442" i="10"/>
  <c r="AT371" i="10"/>
  <c r="AU371" i="10"/>
  <c r="AT339" i="10"/>
  <c r="AU339" i="10"/>
  <c r="AT243" i="10"/>
  <c r="AU243" i="10"/>
  <c r="AU342" i="10"/>
  <c r="AT342" i="10"/>
  <c r="AU278" i="10"/>
  <c r="AT278" i="10"/>
  <c r="AT216" i="10"/>
  <c r="AU216" i="10"/>
  <c r="AT271" i="10"/>
  <c r="AU271" i="10"/>
  <c r="AT60" i="10"/>
  <c r="AU60" i="10"/>
  <c r="AT65" i="10"/>
  <c r="AU65" i="10"/>
  <c r="AU112" i="10"/>
  <c r="AT112" i="10"/>
  <c r="AU61" i="10"/>
  <c r="AT61" i="10"/>
  <c r="AU209" i="10"/>
  <c r="AT209" i="10"/>
  <c r="AU368" i="10"/>
  <c r="AT368" i="10"/>
  <c r="AT420" i="10"/>
  <c r="AU420" i="10"/>
  <c r="AU476" i="10"/>
  <c r="AT476" i="10"/>
  <c r="AT204" i="10"/>
  <c r="AU204" i="10"/>
  <c r="AT125" i="10"/>
  <c r="AU125" i="10"/>
  <c r="AU173" i="10"/>
  <c r="AT173" i="10"/>
  <c r="AU32" i="10"/>
  <c r="AT32" i="10"/>
  <c r="AT201" i="10"/>
  <c r="AU201" i="10"/>
  <c r="AU365" i="10"/>
  <c r="AT365" i="10"/>
  <c r="AU452" i="10"/>
  <c r="AT452" i="10"/>
  <c r="AU45" i="10"/>
  <c r="AT45" i="10"/>
  <c r="AT89" i="10"/>
  <c r="AU89" i="10"/>
  <c r="AU165" i="10"/>
  <c r="AT165" i="10"/>
  <c r="AU313" i="10"/>
  <c r="AT313" i="10"/>
  <c r="AT525" i="10"/>
  <c r="AU525" i="10"/>
  <c r="AT482" i="10"/>
  <c r="AU482" i="10"/>
  <c r="AU449" i="10"/>
  <c r="AT449" i="10"/>
  <c r="AT428" i="10"/>
  <c r="AU428" i="10"/>
  <c r="AT386" i="10"/>
  <c r="AU386" i="10"/>
  <c r="AT383" i="10"/>
  <c r="AU383" i="10"/>
  <c r="AT351" i="10"/>
  <c r="AU351" i="10"/>
  <c r="AT303" i="10"/>
  <c r="AU303" i="10"/>
  <c r="AU354" i="10"/>
  <c r="AT354" i="10"/>
  <c r="AT175" i="10"/>
  <c r="AU175" i="10"/>
  <c r="AT75" i="10"/>
  <c r="AU75" i="10"/>
  <c r="AU290" i="10"/>
  <c r="AT290" i="10"/>
  <c r="AT228" i="10"/>
  <c r="AU228" i="10"/>
  <c r="AT283" i="10"/>
  <c r="AU283" i="10"/>
  <c r="AU124" i="10"/>
  <c r="AT124" i="10"/>
  <c r="AU185" i="10"/>
  <c r="AT185" i="10"/>
  <c r="AU372" i="10"/>
  <c r="AT372" i="10"/>
  <c r="AU389" i="10"/>
  <c r="AT389" i="10"/>
  <c r="AU509" i="10"/>
  <c r="AT509" i="10"/>
  <c r="AT301" i="10"/>
  <c r="AU301" i="10"/>
  <c r="AU126" i="10"/>
  <c r="AT126" i="10"/>
  <c r="AT113" i="10"/>
  <c r="AU113" i="10"/>
  <c r="AU341" i="10"/>
  <c r="AT341" i="10"/>
  <c r="AU465" i="10"/>
  <c r="AT465" i="10"/>
  <c r="AT422" i="10"/>
  <c r="AU422" i="10"/>
  <c r="AU527" i="10"/>
  <c r="AT527" i="10"/>
  <c r="AT265" i="10"/>
  <c r="AU265" i="10"/>
  <c r="AT205" i="10"/>
  <c r="AU205" i="10"/>
  <c r="AU69" i="10"/>
  <c r="AT69" i="10"/>
  <c r="AU177" i="10"/>
  <c r="AT177" i="10"/>
  <c r="AU380" i="10"/>
  <c r="AT380" i="10"/>
  <c r="AU413" i="10"/>
  <c r="AT413" i="10"/>
  <c r="AU34" i="10"/>
  <c r="AT34" i="10"/>
  <c r="AU139" i="10"/>
  <c r="AT139" i="10"/>
  <c r="AT297" i="10"/>
  <c r="AU297" i="10"/>
  <c r="AU320" i="10"/>
  <c r="AT320" i="10"/>
  <c r="AU461" i="10"/>
  <c r="AT461" i="10"/>
  <c r="AT533" i="10"/>
  <c r="AU533" i="10"/>
  <c r="AU495" i="10"/>
  <c r="AT495" i="10"/>
  <c r="AT467" i="10"/>
  <c r="AU467" i="10"/>
  <c r="AT398" i="10"/>
  <c r="AU398" i="10"/>
  <c r="AU399" i="10"/>
  <c r="AT399" i="10"/>
  <c r="AT362" i="10"/>
  <c r="AU362" i="10"/>
  <c r="AT187" i="10"/>
  <c r="AU187" i="10"/>
  <c r="AT87" i="10"/>
  <c r="AU87" i="10"/>
  <c r="AT240" i="10"/>
  <c r="AU240" i="10"/>
  <c r="AT295" i="10"/>
  <c r="AU295" i="10"/>
  <c r="AT26" i="10"/>
  <c r="AU26" i="10"/>
  <c r="AT172" i="10"/>
  <c r="AU172" i="10"/>
  <c r="AU76" i="10"/>
  <c r="AT76" i="10"/>
  <c r="AU136" i="10"/>
  <c r="AT136" i="10"/>
  <c r="AT44" i="10"/>
  <c r="AU44" i="10"/>
  <c r="AU88" i="10"/>
  <c r="AT88" i="10"/>
  <c r="AU154" i="10"/>
  <c r="AT154" i="10"/>
  <c r="AU288" i="10"/>
  <c r="AT288" i="10"/>
  <c r="AT451" i="10"/>
  <c r="AU451" i="10"/>
  <c r="AT494" i="10"/>
  <c r="AU494" i="10"/>
  <c r="AT261" i="10"/>
  <c r="AU261" i="10"/>
  <c r="AU329" i="10"/>
  <c r="AT329" i="10"/>
  <c r="AU78" i="10"/>
  <c r="AT78" i="10"/>
  <c r="AT101" i="10"/>
  <c r="AU101" i="10"/>
  <c r="AU317" i="10"/>
  <c r="AT317" i="10"/>
  <c r="AU193" i="10"/>
  <c r="AT193" i="10"/>
  <c r="AU22" i="10"/>
  <c r="AT22" i="10"/>
  <c r="AT200" i="10"/>
  <c r="AU200" i="10"/>
  <c r="AU226" i="10"/>
  <c r="AT226" i="10"/>
  <c r="AU385" i="10"/>
  <c r="AT385" i="10"/>
  <c r="V409" i="10"/>
  <c r="U409" i="10"/>
  <c r="V288" i="10"/>
  <c r="U288" i="10"/>
  <c r="V174" i="10"/>
  <c r="U174" i="10"/>
  <c r="V532" i="10"/>
  <c r="U532" i="10"/>
  <c r="V440" i="10"/>
  <c r="U440" i="10"/>
  <c r="U314" i="10"/>
  <c r="V314" i="10"/>
  <c r="U209" i="10"/>
  <c r="V209" i="10"/>
  <c r="U66" i="10"/>
  <c r="V66" i="10"/>
  <c r="V86" i="10"/>
  <c r="U86" i="10"/>
  <c r="U554" i="10"/>
  <c r="V554" i="10"/>
  <c r="V497" i="10"/>
  <c r="U497" i="10"/>
  <c r="V417" i="10"/>
  <c r="U417" i="10"/>
  <c r="V184" i="10"/>
  <c r="U184" i="10"/>
  <c r="V238" i="10"/>
  <c r="U238" i="10"/>
  <c r="V82" i="10"/>
  <c r="U82" i="10"/>
  <c r="V555" i="10"/>
  <c r="U555" i="10"/>
  <c r="V487" i="10"/>
  <c r="U487" i="10"/>
  <c r="V429" i="10"/>
  <c r="U429" i="10"/>
  <c r="U317" i="10"/>
  <c r="V317" i="10"/>
  <c r="V144" i="10"/>
  <c r="U144" i="10"/>
  <c r="V78" i="10"/>
  <c r="U78" i="10"/>
  <c r="V207" i="10"/>
  <c r="U207" i="10"/>
  <c r="U73" i="10"/>
  <c r="V73" i="10"/>
  <c r="V105" i="10"/>
  <c r="U105" i="10"/>
  <c r="V167" i="10"/>
  <c r="U167" i="10"/>
  <c r="U245" i="10"/>
  <c r="V245" i="10"/>
  <c r="U269" i="10"/>
  <c r="V269" i="10"/>
  <c r="V328" i="10"/>
  <c r="U328" i="10"/>
  <c r="U135" i="10"/>
  <c r="V135" i="10"/>
  <c r="V227" i="10"/>
  <c r="U227" i="10"/>
  <c r="V339" i="10"/>
  <c r="U339" i="10"/>
  <c r="U437" i="10"/>
  <c r="V437" i="10"/>
  <c r="U422" i="10"/>
  <c r="V422" i="10"/>
  <c r="U400" i="10"/>
  <c r="V400" i="10"/>
  <c r="U453" i="10"/>
  <c r="V453" i="10"/>
  <c r="U492" i="10"/>
  <c r="V492" i="10"/>
  <c r="V545" i="10"/>
  <c r="U545" i="10"/>
  <c r="AT410" i="10"/>
  <c r="AU410" i="10"/>
  <c r="AU363" i="10"/>
  <c r="AT363" i="10"/>
  <c r="AU314" i="10"/>
  <c r="AT314" i="10"/>
  <c r="AU96" i="10"/>
  <c r="AT96" i="10"/>
  <c r="AU106" i="10"/>
  <c r="AT106" i="10"/>
  <c r="AT439" i="10"/>
  <c r="AU439" i="10"/>
  <c r="AU328" i="10"/>
  <c r="AT328" i="10"/>
  <c r="AU464" i="10"/>
  <c r="AT464" i="10"/>
  <c r="AT93" i="10"/>
  <c r="AU93" i="10"/>
  <c r="AU38" i="10"/>
  <c r="AT38" i="10"/>
  <c r="AT466" i="10"/>
  <c r="AU466" i="10"/>
  <c r="AU432" i="10"/>
  <c r="AT432" i="10"/>
  <c r="AU127" i="10"/>
  <c r="AT127" i="10"/>
  <c r="AT29" i="10"/>
  <c r="AU29" i="10"/>
  <c r="AU324" i="10"/>
  <c r="AT324" i="10"/>
  <c r="AU213" i="10"/>
  <c r="AT213" i="10"/>
  <c r="AU90" i="10"/>
  <c r="AT90" i="10"/>
  <c r="AU86" i="10"/>
  <c r="AT86" i="10"/>
  <c r="AU438" i="10"/>
  <c r="AT438" i="10"/>
  <c r="AT212" i="10"/>
  <c r="AU212" i="10"/>
  <c r="AT63" i="10"/>
  <c r="AU63" i="10"/>
  <c r="AU515" i="10"/>
  <c r="AT515" i="10"/>
  <c r="AU166" i="10"/>
  <c r="AT166" i="10"/>
  <c r="AU210" i="10"/>
  <c r="AT210" i="10"/>
  <c r="AT518" i="10"/>
  <c r="AU518" i="10"/>
  <c r="AT379" i="10"/>
  <c r="AU379" i="10"/>
  <c r="AT67" i="10"/>
  <c r="AU67" i="10"/>
  <c r="AU120" i="10"/>
  <c r="AT120" i="10"/>
  <c r="AT388" i="10"/>
  <c r="AU388" i="10"/>
  <c r="AU64" i="10"/>
  <c r="AT64" i="10"/>
  <c r="AU349" i="10"/>
  <c r="AT349" i="10"/>
  <c r="AT281" i="10"/>
  <c r="AU281" i="10"/>
  <c r="AT208" i="10"/>
  <c r="AU208" i="10"/>
  <c r="AT245" i="10"/>
  <c r="AU245" i="10"/>
  <c r="V491" i="10"/>
  <c r="U491" i="10"/>
  <c r="V403" i="10"/>
  <c r="U403" i="10"/>
  <c r="U229" i="10"/>
  <c r="V229" i="10"/>
  <c r="V124" i="10"/>
  <c r="U124" i="10"/>
  <c r="V192" i="10"/>
  <c r="U192" i="10"/>
  <c r="V272" i="10"/>
  <c r="U272" i="10"/>
  <c r="V230" i="10"/>
  <c r="U230" i="10"/>
  <c r="V33" i="10"/>
  <c r="U33" i="10"/>
  <c r="V190" i="10"/>
  <c r="U190" i="10"/>
  <c r="V154" i="10"/>
  <c r="U154" i="10"/>
  <c r="V90" i="10"/>
  <c r="U90" i="10"/>
  <c r="V42" i="10"/>
  <c r="U42" i="10"/>
  <c r="V536" i="10"/>
  <c r="U536" i="10"/>
  <c r="V507" i="10"/>
  <c r="U507" i="10"/>
  <c r="V503" i="10"/>
  <c r="U503" i="10"/>
  <c r="U468" i="10"/>
  <c r="V468" i="10"/>
  <c r="V399" i="10"/>
  <c r="U399" i="10"/>
  <c r="V367" i="10"/>
  <c r="U367" i="10"/>
  <c r="U330" i="10"/>
  <c r="V330" i="10"/>
  <c r="U435" i="10"/>
  <c r="V435" i="10"/>
  <c r="U337" i="10"/>
  <c r="V337" i="10"/>
  <c r="U302" i="10"/>
  <c r="V302" i="10"/>
  <c r="U241" i="10"/>
  <c r="V241" i="10"/>
  <c r="V381" i="10"/>
  <c r="U381" i="10"/>
  <c r="V136" i="10"/>
  <c r="U136" i="10"/>
  <c r="V164" i="10"/>
  <c r="U164" i="10"/>
  <c r="V96" i="10"/>
  <c r="U96" i="10"/>
  <c r="U35" i="10"/>
  <c r="V35" i="10"/>
  <c r="V118" i="10"/>
  <c r="U118" i="10"/>
  <c r="U54" i="10"/>
  <c r="V54" i="10"/>
  <c r="V200" i="10"/>
  <c r="U200" i="10"/>
  <c r="V551" i="10"/>
  <c r="U551" i="10"/>
  <c r="V473" i="10"/>
  <c r="U473" i="10"/>
  <c r="V469" i="10"/>
  <c r="U469" i="10"/>
  <c r="U173" i="10"/>
  <c r="V173" i="10"/>
  <c r="U540" i="10"/>
  <c r="V540" i="10"/>
  <c r="V511" i="10"/>
  <c r="U511" i="10"/>
  <c r="V481" i="10"/>
  <c r="U481" i="10"/>
  <c r="U472" i="10"/>
  <c r="V472" i="10"/>
  <c r="V452" i="10"/>
  <c r="U452" i="10"/>
  <c r="V395" i="10"/>
  <c r="U395" i="10"/>
  <c r="V385" i="10"/>
  <c r="U385" i="10"/>
  <c r="U258" i="10"/>
  <c r="V258" i="10"/>
  <c r="U205" i="10"/>
  <c r="V205" i="10"/>
  <c r="V156" i="10"/>
  <c r="U156" i="10"/>
  <c r="V112" i="10"/>
  <c r="U112" i="10"/>
  <c r="V292" i="10"/>
  <c r="U292" i="10"/>
  <c r="V260" i="10"/>
  <c r="U260" i="10"/>
  <c r="V92" i="10"/>
  <c r="U92" i="10"/>
  <c r="U48" i="10"/>
  <c r="V48" i="10"/>
  <c r="V194" i="10"/>
  <c r="U194" i="10"/>
  <c r="V162" i="10"/>
  <c r="U162" i="10"/>
  <c r="U25" i="10"/>
  <c r="V25" i="10"/>
  <c r="V47" i="10"/>
  <c r="U47" i="10"/>
  <c r="V538" i="10"/>
  <c r="U538" i="10"/>
  <c r="U298" i="10"/>
  <c r="V298" i="10"/>
  <c r="U189" i="10"/>
  <c r="V189" i="10"/>
  <c r="U544" i="10"/>
  <c r="V544" i="10"/>
  <c r="V501" i="10"/>
  <c r="U501" i="10"/>
  <c r="V499" i="10"/>
  <c r="U499" i="10"/>
  <c r="V467" i="10"/>
  <c r="U467" i="10"/>
  <c r="V448" i="10"/>
  <c r="U448" i="10"/>
  <c r="V391" i="10"/>
  <c r="U391" i="10"/>
  <c r="V397" i="10"/>
  <c r="U397" i="10"/>
  <c r="U334" i="10"/>
  <c r="V334" i="10"/>
  <c r="V361" i="10"/>
  <c r="U361" i="10"/>
  <c r="U333" i="10"/>
  <c r="V333" i="10"/>
  <c r="U294" i="10"/>
  <c r="V294" i="10"/>
  <c r="U233" i="10"/>
  <c r="V233" i="10"/>
  <c r="U177" i="10"/>
  <c r="V177" i="10"/>
  <c r="V188" i="10"/>
  <c r="U188" i="10"/>
  <c r="V218" i="10"/>
  <c r="U218" i="10"/>
  <c r="V41" i="10"/>
  <c r="U41" i="10"/>
  <c r="V158" i="10"/>
  <c r="U158" i="10"/>
  <c r="U52" i="10"/>
  <c r="V52" i="10"/>
  <c r="V32" i="10"/>
  <c r="U32" i="10"/>
  <c r="U26" i="10"/>
  <c r="V26" i="10"/>
  <c r="V46" i="10"/>
  <c r="U46" i="10"/>
  <c r="U75" i="10"/>
  <c r="V75" i="10"/>
  <c r="U91" i="10"/>
  <c r="V91" i="10"/>
  <c r="V59" i="10"/>
  <c r="U59" i="10"/>
  <c r="U65" i="10"/>
  <c r="V65" i="10"/>
  <c r="V199" i="10"/>
  <c r="U199" i="10"/>
  <c r="U81" i="10"/>
  <c r="V81" i="10"/>
  <c r="U97" i="10"/>
  <c r="V97" i="10"/>
  <c r="V113" i="10"/>
  <c r="U113" i="10"/>
  <c r="V129" i="10"/>
  <c r="U129" i="10"/>
  <c r="V145" i="10"/>
  <c r="U145" i="10"/>
  <c r="V161" i="10"/>
  <c r="U161" i="10"/>
  <c r="V175" i="10"/>
  <c r="U175" i="10"/>
  <c r="V191" i="10"/>
  <c r="U191" i="10"/>
  <c r="V224" i="10"/>
  <c r="U224" i="10"/>
  <c r="V240" i="10"/>
  <c r="U240" i="10"/>
  <c r="U249" i="10"/>
  <c r="V249" i="10"/>
  <c r="U257" i="10"/>
  <c r="V257" i="10"/>
  <c r="U265" i="10"/>
  <c r="V265" i="10"/>
  <c r="U273" i="10"/>
  <c r="V273" i="10"/>
  <c r="U281" i="10"/>
  <c r="V281" i="10"/>
  <c r="U289" i="10"/>
  <c r="V289" i="10"/>
  <c r="U297" i="10"/>
  <c r="V297" i="10"/>
  <c r="V320" i="10"/>
  <c r="U320" i="10"/>
  <c r="V336" i="10"/>
  <c r="U336" i="10"/>
  <c r="V352" i="10"/>
  <c r="U352" i="10"/>
  <c r="U111" i="10"/>
  <c r="V111" i="10"/>
  <c r="U127" i="10"/>
  <c r="V127" i="10"/>
  <c r="U143" i="10"/>
  <c r="V143" i="10"/>
  <c r="U159" i="10"/>
  <c r="V159" i="10"/>
  <c r="V219" i="10"/>
  <c r="U219" i="10"/>
  <c r="V235" i="10"/>
  <c r="U235" i="10"/>
  <c r="U380" i="10"/>
  <c r="V380" i="10"/>
  <c r="V315" i="10"/>
  <c r="U315" i="10"/>
  <c r="V331" i="10"/>
  <c r="U331" i="10"/>
  <c r="V347" i="10"/>
  <c r="U347" i="10"/>
  <c r="U384" i="10"/>
  <c r="V384" i="10"/>
  <c r="U376" i="10"/>
  <c r="V376" i="10"/>
  <c r="U362" i="10"/>
  <c r="V362" i="10"/>
  <c r="V379" i="10"/>
  <c r="U379" i="10"/>
  <c r="U398" i="10"/>
  <c r="V398" i="10"/>
  <c r="U414" i="10"/>
  <c r="V414" i="10"/>
  <c r="U430" i="10"/>
  <c r="V430" i="10"/>
  <c r="V451" i="10"/>
  <c r="U451" i="10"/>
  <c r="U374" i="10"/>
  <c r="V374" i="10"/>
  <c r="U392" i="10"/>
  <c r="V392" i="10"/>
  <c r="U408" i="10"/>
  <c r="V408" i="10"/>
  <c r="U424" i="10"/>
  <c r="V424" i="10"/>
  <c r="V458" i="10"/>
  <c r="U458" i="10"/>
  <c r="U445" i="10"/>
  <c r="V445" i="10"/>
  <c r="V478" i="10"/>
  <c r="U478" i="10"/>
  <c r="V446" i="10"/>
  <c r="U446" i="10"/>
  <c r="U523" i="10"/>
  <c r="V523" i="10"/>
  <c r="U500" i="10"/>
  <c r="V500" i="10"/>
  <c r="V517" i="10"/>
  <c r="U517" i="10"/>
  <c r="V531" i="10"/>
  <c r="U531" i="10"/>
  <c r="U533" i="10"/>
  <c r="V533" i="10"/>
  <c r="V553" i="10"/>
  <c r="U553" i="10"/>
  <c r="V556" i="10"/>
  <c r="U556" i="10"/>
  <c r="AT517" i="10"/>
  <c r="AU517" i="10"/>
  <c r="AT474" i="10"/>
  <c r="AU474" i="10"/>
  <c r="AU441" i="10"/>
  <c r="AT441" i="10"/>
  <c r="AU446" i="10"/>
  <c r="AT446" i="10"/>
  <c r="AT375" i="10"/>
  <c r="AU375" i="10"/>
  <c r="AT343" i="10"/>
  <c r="AU343" i="10"/>
  <c r="AT299" i="10"/>
  <c r="AU299" i="10"/>
  <c r="AU346" i="10"/>
  <c r="AT346" i="10"/>
  <c r="AT167" i="10"/>
  <c r="AU167" i="10"/>
  <c r="AU282" i="10"/>
  <c r="AT282" i="10"/>
  <c r="AT220" i="10"/>
  <c r="AU220" i="10"/>
  <c r="AT275" i="10"/>
  <c r="AU275" i="10"/>
  <c r="AU116" i="10"/>
  <c r="AT116" i="10"/>
  <c r="AT196" i="10"/>
  <c r="AU196" i="10"/>
  <c r="AU300" i="10"/>
  <c r="AT300" i="10"/>
  <c r="AU360" i="10"/>
  <c r="AT360" i="10"/>
  <c r="AT404" i="10"/>
  <c r="AU404" i="10"/>
  <c r="AU421" i="10"/>
  <c r="AT421" i="10"/>
  <c r="AU522" i="10"/>
  <c r="AT522" i="10"/>
  <c r="AU534" i="10"/>
  <c r="AT534" i="10"/>
  <c r="AU158" i="10"/>
  <c r="AT158" i="10"/>
  <c r="AT121" i="10"/>
  <c r="AU121" i="10"/>
  <c r="AU357" i="10"/>
  <c r="AT357" i="10"/>
  <c r="AT293" i="10"/>
  <c r="AU293" i="10"/>
  <c r="AU345" i="10"/>
  <c r="AT345" i="10"/>
  <c r="AU27" i="10"/>
  <c r="AT27" i="10"/>
  <c r="AU71" i="10"/>
  <c r="AT71" i="10"/>
  <c r="AU304" i="10"/>
  <c r="AT304" i="10"/>
  <c r="AU364" i="10"/>
  <c r="AT364" i="10"/>
  <c r="AT412" i="10"/>
  <c r="AU412" i="10"/>
  <c r="AT73" i="10"/>
  <c r="AU73" i="10"/>
  <c r="AU352" i="10"/>
  <c r="AT352" i="10"/>
  <c r="AU472" i="10"/>
  <c r="AT472" i="10"/>
  <c r="AT529" i="10"/>
  <c r="AU529" i="10"/>
  <c r="AU453" i="10"/>
  <c r="AT453" i="10"/>
  <c r="AT459" i="10"/>
  <c r="AU459" i="10"/>
  <c r="AT390" i="10"/>
  <c r="AU390" i="10"/>
  <c r="AU391" i="10"/>
  <c r="AT391" i="10"/>
  <c r="AT355" i="10"/>
  <c r="AU355" i="10"/>
  <c r="AU358" i="10"/>
  <c r="AT358" i="10"/>
  <c r="AT179" i="10"/>
  <c r="AU179" i="10"/>
  <c r="AT95" i="10"/>
  <c r="AU95" i="10"/>
  <c r="AT79" i="10"/>
  <c r="AU79" i="10"/>
  <c r="AU294" i="10"/>
  <c r="AT294" i="10"/>
  <c r="AT232" i="10"/>
  <c r="AU232" i="10"/>
  <c r="AT287" i="10"/>
  <c r="AU287" i="10"/>
  <c r="AU128" i="10"/>
  <c r="AT128" i="10"/>
  <c r="AU41" i="10"/>
  <c r="AT41" i="10"/>
  <c r="AU169" i="10"/>
  <c r="AT169" i="10"/>
  <c r="AU501" i="10"/>
  <c r="AT501" i="10"/>
  <c r="AT289" i="10"/>
  <c r="AU289" i="10"/>
  <c r="AU28" i="10"/>
  <c r="AT28" i="10"/>
  <c r="AU110" i="10"/>
  <c r="AT110" i="10"/>
  <c r="AT109" i="10"/>
  <c r="AU109" i="10"/>
  <c r="AU333" i="10"/>
  <c r="AT333" i="10"/>
  <c r="AU479" i="10"/>
  <c r="AT479" i="10"/>
  <c r="AU516" i="10"/>
  <c r="AT516" i="10"/>
  <c r="AU457" i="10"/>
  <c r="AT457" i="10"/>
  <c r="AT557" i="10"/>
  <c r="AU557" i="10"/>
  <c r="AU292" i="10"/>
  <c r="AT292" i="10"/>
  <c r="AU397" i="10"/>
  <c r="AT397" i="10"/>
  <c r="AU21" i="10"/>
  <c r="AT21" i="10"/>
  <c r="AT285" i="10"/>
  <c r="AU285" i="10"/>
  <c r="AU237" i="10"/>
  <c r="AT237" i="10"/>
  <c r="AU551" i="10"/>
  <c r="AT551" i="10"/>
  <c r="AU548" i="10"/>
  <c r="AT548" i="10"/>
  <c r="AU511" i="10"/>
  <c r="AT511" i="10"/>
  <c r="AT402" i="10"/>
  <c r="AU402" i="10"/>
  <c r="AU403" i="10"/>
  <c r="AT403" i="10"/>
  <c r="AT366" i="10"/>
  <c r="AU366" i="10"/>
  <c r="AT191" i="10"/>
  <c r="AU191" i="10"/>
  <c r="AT91" i="10"/>
  <c r="AU91" i="10"/>
  <c r="AU244" i="10"/>
  <c r="AT244" i="10"/>
  <c r="AT137" i="10"/>
  <c r="AU137" i="10"/>
  <c r="AT176" i="10"/>
  <c r="AU176" i="10"/>
  <c r="AU80" i="10"/>
  <c r="AT80" i="10"/>
  <c r="AU140" i="10"/>
  <c r="AT140" i="10"/>
  <c r="AU59" i="10"/>
  <c r="AT59" i="10"/>
  <c r="AT46" i="10"/>
  <c r="AU46" i="10"/>
  <c r="AT168" i="10"/>
  <c r="AU168" i="10"/>
  <c r="AU23" i="10"/>
  <c r="AT23" i="10"/>
  <c r="AU138" i="10"/>
  <c r="AT138" i="10"/>
  <c r="AU280" i="10"/>
  <c r="AT280" i="10"/>
  <c r="AT447" i="10"/>
  <c r="AU447" i="10"/>
  <c r="AU468" i="10"/>
  <c r="AT468" i="10"/>
  <c r="AU52" i="10"/>
  <c r="AT52" i="10"/>
  <c r="AT56" i="10"/>
  <c r="AU56" i="10"/>
  <c r="AT97" i="10"/>
  <c r="AU97" i="10"/>
  <c r="AU309" i="10"/>
  <c r="AT309" i="10"/>
  <c r="AU498" i="10"/>
  <c r="AT498" i="10"/>
  <c r="AU35" i="10"/>
  <c r="AT35" i="10"/>
  <c r="AU222" i="10"/>
  <c r="AT222" i="10"/>
  <c r="AU268" i="10"/>
  <c r="AT268" i="10"/>
  <c r="AU487" i="10"/>
  <c r="AT487" i="10"/>
  <c r="AT553" i="10"/>
  <c r="AU553" i="10"/>
  <c r="AT257" i="10"/>
  <c r="AU257" i="10"/>
  <c r="AU540" i="10"/>
  <c r="AT540" i="10"/>
  <c r="AU528" i="10"/>
  <c r="AT528" i="10"/>
  <c r="AT458" i="10"/>
  <c r="AU458" i="10"/>
  <c r="AT414" i="10"/>
  <c r="AU414" i="10"/>
  <c r="AT370" i="10"/>
  <c r="AU370" i="10"/>
  <c r="AU415" i="10"/>
  <c r="AT415" i="10"/>
  <c r="AT315" i="10"/>
  <c r="AU315" i="10"/>
  <c r="AU367" i="10"/>
  <c r="AT367" i="10"/>
  <c r="AT219" i="10"/>
  <c r="AU219" i="10"/>
  <c r="AT203" i="10"/>
  <c r="AU203" i="10"/>
  <c r="AU302" i="10"/>
  <c r="AT302" i="10"/>
  <c r="AU318" i="10"/>
  <c r="AT318" i="10"/>
  <c r="AU119" i="10"/>
  <c r="AT119" i="10"/>
  <c r="AU103" i="10"/>
  <c r="AT103" i="10"/>
  <c r="AU254" i="10"/>
  <c r="AT254" i="10"/>
  <c r="AT247" i="10"/>
  <c r="AU247" i="10"/>
  <c r="AT149" i="10"/>
  <c r="AU149" i="10"/>
  <c r="AU206" i="10"/>
  <c r="AT206" i="10"/>
  <c r="AT164" i="10"/>
  <c r="AU164" i="10"/>
  <c r="AU152" i="10"/>
  <c r="AT152" i="10"/>
  <c r="AT55" i="10"/>
  <c r="AU55" i="10"/>
  <c r="AU19" i="10"/>
  <c r="AT19" i="10"/>
  <c r="AU98" i="10"/>
  <c r="AT98" i="10"/>
  <c r="AU194" i="10"/>
  <c r="AT194" i="10"/>
  <c r="AT85" i="10"/>
  <c r="AU85" i="10"/>
  <c r="AU256" i="10"/>
  <c r="AT256" i="10"/>
  <c r="AU373" i="10"/>
  <c r="AT373" i="10"/>
  <c r="AU356" i="10"/>
  <c r="AT356" i="10"/>
  <c r="AU147" i="10"/>
  <c r="AT147" i="10"/>
  <c r="AU312" i="10"/>
  <c r="AT312" i="10"/>
  <c r="AT392" i="10"/>
  <c r="AU392" i="10"/>
  <c r="AU393" i="10"/>
  <c r="AT393" i="10"/>
  <c r="AU506" i="10"/>
  <c r="AT506" i="10"/>
  <c r="AU519" i="10"/>
  <c r="AT519" i="10"/>
  <c r="AT400" i="10"/>
  <c r="AU400" i="10"/>
  <c r="AU471" i="10"/>
  <c r="AT471" i="10"/>
  <c r="AU130" i="10"/>
  <c r="AT130" i="10"/>
  <c r="AU238" i="10"/>
  <c r="AT238" i="10"/>
  <c r="AU276" i="10"/>
  <c r="AT276" i="10"/>
  <c r="AT396" i="10"/>
  <c r="AU396" i="10"/>
  <c r="AU429" i="10"/>
  <c r="AT429" i="10"/>
  <c r="AU155" i="10"/>
  <c r="AT155" i="10"/>
  <c r="AU305" i="10"/>
  <c r="AT305" i="10"/>
  <c r="AU336" i="10"/>
  <c r="AT336" i="10"/>
  <c r="AU502" i="10"/>
  <c r="AT502" i="10"/>
  <c r="AT537" i="10"/>
  <c r="AU537" i="10"/>
  <c r="V509" i="10"/>
  <c r="U509" i="10"/>
  <c r="V373" i="10"/>
  <c r="U373" i="10"/>
  <c r="V108" i="10"/>
  <c r="U108" i="10"/>
  <c r="V84" i="10"/>
  <c r="U84" i="10"/>
  <c r="V122" i="10"/>
  <c r="U122" i="10"/>
  <c r="V56" i="10"/>
  <c r="U56" i="10"/>
  <c r="V530" i="10"/>
  <c r="U530" i="10"/>
  <c r="V477" i="10"/>
  <c r="U477" i="10"/>
  <c r="U346" i="10"/>
  <c r="V346" i="10"/>
  <c r="U321" i="10"/>
  <c r="V321" i="10"/>
  <c r="U270" i="10"/>
  <c r="V270" i="10"/>
  <c r="V198" i="10"/>
  <c r="U198" i="10"/>
  <c r="V226" i="10"/>
  <c r="U226" i="10"/>
  <c r="V71" i="10"/>
  <c r="U71" i="10"/>
  <c r="V518" i="10"/>
  <c r="U518" i="10"/>
  <c r="V475" i="10"/>
  <c r="U475" i="10"/>
  <c r="V542" i="10"/>
  <c r="U542" i="10"/>
  <c r="V463" i="10"/>
  <c r="U463" i="10"/>
  <c r="V427" i="10"/>
  <c r="U427" i="10"/>
  <c r="U237" i="10"/>
  <c r="V237" i="10"/>
  <c r="U181" i="10"/>
  <c r="V181" i="10"/>
  <c r="V276" i="10"/>
  <c r="U276" i="10"/>
  <c r="V19" i="10"/>
  <c r="U19" i="10"/>
  <c r="V178" i="10"/>
  <c r="U178" i="10"/>
  <c r="V27" i="10"/>
  <c r="U27" i="10"/>
  <c r="V434" i="10"/>
  <c r="U434" i="10"/>
  <c r="U514" i="10"/>
  <c r="V514" i="10"/>
  <c r="V479" i="10"/>
  <c r="U479" i="10"/>
  <c r="V423" i="10"/>
  <c r="U423" i="10"/>
  <c r="U318" i="10"/>
  <c r="V318" i="10"/>
  <c r="U349" i="10"/>
  <c r="V349" i="10"/>
  <c r="U201" i="10"/>
  <c r="V201" i="10"/>
  <c r="V72" i="10"/>
  <c r="U72" i="10"/>
  <c r="U64" i="10"/>
  <c r="V64" i="10"/>
  <c r="V20" i="10"/>
  <c r="U20" i="10"/>
  <c r="V36" i="10"/>
  <c r="U36" i="10"/>
  <c r="U99" i="10"/>
  <c r="V99" i="10"/>
  <c r="U60" i="10"/>
  <c r="V60" i="10"/>
  <c r="U89" i="10"/>
  <c r="V89" i="10"/>
  <c r="V137" i="10"/>
  <c r="U137" i="10"/>
  <c r="V153" i="10"/>
  <c r="U153" i="10"/>
  <c r="V216" i="10"/>
  <c r="U216" i="10"/>
  <c r="V232" i="10"/>
  <c r="U232" i="10"/>
  <c r="U261" i="10"/>
  <c r="V261" i="10"/>
  <c r="U285" i="10"/>
  <c r="V285" i="10"/>
  <c r="U293" i="10"/>
  <c r="V293" i="10"/>
  <c r="V344" i="10"/>
  <c r="U344" i="10"/>
  <c r="U103" i="10"/>
  <c r="V103" i="10"/>
  <c r="U151" i="10"/>
  <c r="V151" i="10"/>
  <c r="V243" i="10"/>
  <c r="U243" i="10"/>
  <c r="U303" i="10"/>
  <c r="V303" i="10"/>
  <c r="V355" i="10"/>
  <c r="U355" i="10"/>
  <c r="U364" i="10"/>
  <c r="V364" i="10"/>
  <c r="U390" i="10"/>
  <c r="V390" i="10"/>
  <c r="V443" i="10"/>
  <c r="U443" i="10"/>
  <c r="V470" i="10"/>
  <c r="U470" i="10"/>
  <c r="U416" i="10"/>
  <c r="V416" i="10"/>
  <c r="V438" i="10"/>
  <c r="U438" i="10"/>
  <c r="U486" i="10"/>
  <c r="V486" i="10"/>
  <c r="V493" i="10"/>
  <c r="U493" i="10"/>
  <c r="V525" i="10"/>
  <c r="U525" i="10"/>
  <c r="V557" i="10"/>
  <c r="U557" i="10"/>
  <c r="AU524" i="10"/>
  <c r="AT524" i="10"/>
  <c r="AU411" i="10"/>
  <c r="AT411" i="10"/>
  <c r="AT311" i="10"/>
  <c r="AU311" i="10"/>
  <c r="AT215" i="10"/>
  <c r="AU215" i="10"/>
  <c r="AU115" i="10"/>
  <c r="AT115" i="10"/>
  <c r="AT145" i="10"/>
  <c r="AU145" i="10"/>
  <c r="AT36" i="10"/>
  <c r="AU36" i="10"/>
  <c r="AT53" i="10"/>
  <c r="AU53" i="10"/>
  <c r="AU33" i="10"/>
  <c r="AT33" i="10"/>
  <c r="AU264" i="10"/>
  <c r="AT264" i="10"/>
  <c r="AT47" i="10"/>
  <c r="AU47" i="10"/>
  <c r="AT408" i="10"/>
  <c r="AU408" i="10"/>
  <c r="AT539" i="10"/>
  <c r="AU539" i="10"/>
  <c r="AU146" i="10"/>
  <c r="AT146" i="10"/>
  <c r="AU252" i="10"/>
  <c r="AT252" i="10"/>
  <c r="AU526" i="10"/>
  <c r="AT526" i="10"/>
  <c r="AT249" i="10"/>
  <c r="AU249" i="10"/>
  <c r="AT556" i="10"/>
  <c r="AU556" i="10"/>
  <c r="AU473" i="10"/>
  <c r="AT473" i="10"/>
  <c r="AU423" i="10"/>
  <c r="AT423" i="10"/>
  <c r="AT323" i="10"/>
  <c r="AU323" i="10"/>
  <c r="AU326" i="10"/>
  <c r="AT326" i="10"/>
  <c r="AU262" i="10"/>
  <c r="AT262" i="10"/>
  <c r="AT157" i="10"/>
  <c r="AU157" i="10"/>
  <c r="AT184" i="10"/>
  <c r="AU184" i="10"/>
  <c r="AU178" i="10"/>
  <c r="AT178" i="10"/>
  <c r="AT435" i="10"/>
  <c r="AU435" i="10"/>
  <c r="AU381" i="10"/>
  <c r="AT381" i="10"/>
  <c r="AU135" i="10"/>
  <c r="AT135" i="10"/>
  <c r="AU316" i="10"/>
  <c r="AT316" i="10"/>
  <c r="AU417" i="10"/>
  <c r="AT417" i="10"/>
  <c r="AT508" i="10"/>
  <c r="AU508" i="10"/>
  <c r="AT492" i="10"/>
  <c r="AU492" i="10"/>
  <c r="AT335" i="10"/>
  <c r="AU335" i="10"/>
  <c r="AU338" i="10"/>
  <c r="AT338" i="10"/>
  <c r="AT267" i="10"/>
  <c r="AU267" i="10"/>
  <c r="AU108" i="10"/>
  <c r="AT108" i="10"/>
  <c r="AU225" i="10"/>
  <c r="AT225" i="10"/>
  <c r="AT129" i="10"/>
  <c r="AU129" i="10"/>
  <c r="AU520" i="10"/>
  <c r="AT520" i="10"/>
  <c r="AU217" i="10"/>
  <c r="AT217" i="10"/>
  <c r="AU181" i="10"/>
  <c r="AT181" i="10"/>
  <c r="AT521" i="10"/>
  <c r="AU521" i="10"/>
  <c r="AU445" i="10"/>
  <c r="AT445" i="10"/>
  <c r="AT455" i="10"/>
  <c r="AU455" i="10"/>
  <c r="AT347" i="10"/>
  <c r="AU347" i="10"/>
  <c r="AT171" i="10"/>
  <c r="AU171" i="10"/>
  <c r="AU286" i="10"/>
  <c r="AT286" i="10"/>
  <c r="AT279" i="10"/>
  <c r="AU279" i="10"/>
  <c r="AU405" i="10"/>
  <c r="AT405" i="10"/>
  <c r="AU530" i="10"/>
  <c r="AT530" i="10"/>
  <c r="AT117" i="10"/>
  <c r="AU117" i="10"/>
  <c r="AT426" i="10"/>
  <c r="AU426" i="10"/>
  <c r="AU321" i="10"/>
  <c r="AT321" i="10"/>
  <c r="AU40" i="10"/>
  <c r="AT40" i="10"/>
  <c r="AU348" i="10"/>
  <c r="AT348" i="10"/>
  <c r="AU118" i="10"/>
  <c r="AT118" i="10"/>
  <c r="U539" i="10"/>
  <c r="V539" i="10"/>
  <c r="V455" i="10"/>
  <c r="U455" i="10"/>
  <c r="V425" i="10"/>
  <c r="U425" i="10"/>
  <c r="U197" i="10"/>
  <c r="V197" i="10"/>
  <c r="V116" i="10"/>
  <c r="U116" i="10"/>
  <c r="V296" i="10"/>
  <c r="U296" i="10"/>
  <c r="V264" i="10"/>
  <c r="U264" i="10"/>
  <c r="V214" i="10"/>
  <c r="U214" i="10"/>
  <c r="U22" i="10"/>
  <c r="V22" i="10"/>
  <c r="V182" i="10"/>
  <c r="U182" i="10"/>
  <c r="V138" i="10"/>
  <c r="U138" i="10"/>
  <c r="V74" i="10"/>
  <c r="U74" i="10"/>
  <c r="V30" i="10"/>
  <c r="U30" i="10"/>
  <c r="V524" i="10"/>
  <c r="U524" i="10"/>
  <c r="V534" i="10"/>
  <c r="U534" i="10"/>
  <c r="U495" i="10"/>
  <c r="V495" i="10"/>
  <c r="V459" i="10"/>
  <c r="U459" i="10"/>
  <c r="V421" i="10"/>
  <c r="U421" i="10"/>
  <c r="U354" i="10"/>
  <c r="V354" i="10"/>
  <c r="U322" i="10"/>
  <c r="V322" i="10"/>
  <c r="V369" i="10"/>
  <c r="U369" i="10"/>
  <c r="U329" i="10"/>
  <c r="V329" i="10"/>
  <c r="U286" i="10"/>
  <c r="V286" i="10"/>
  <c r="U225" i="10"/>
  <c r="V225" i="10"/>
  <c r="U185" i="10"/>
  <c r="V185" i="10"/>
  <c r="V206" i="10"/>
  <c r="U206" i="10"/>
  <c r="V242" i="10"/>
  <c r="U242" i="10"/>
  <c r="V80" i="10"/>
  <c r="U80" i="10"/>
  <c r="U28" i="10"/>
  <c r="V28" i="10"/>
  <c r="V102" i="10"/>
  <c r="U102" i="10"/>
  <c r="U50" i="10"/>
  <c r="V50" i="10"/>
  <c r="U62" i="10"/>
  <c r="V62" i="10"/>
  <c r="U519" i="10"/>
  <c r="V519" i="10"/>
  <c r="U490" i="10"/>
  <c r="V490" i="10"/>
  <c r="V365" i="10"/>
  <c r="U365" i="10"/>
  <c r="V176" i="10"/>
  <c r="U176" i="10"/>
  <c r="V550" i="10"/>
  <c r="U550" i="10"/>
  <c r="V526" i="10"/>
  <c r="U526" i="10"/>
  <c r="U484" i="10"/>
  <c r="V484" i="10"/>
  <c r="U464" i="10"/>
  <c r="V464" i="10"/>
  <c r="V431" i="10"/>
  <c r="U431" i="10"/>
  <c r="V471" i="10"/>
  <c r="U471" i="10"/>
  <c r="V306" i="10"/>
  <c r="U306" i="10"/>
  <c r="V377" i="10"/>
  <c r="U377" i="10"/>
  <c r="V304" i="10"/>
  <c r="U304" i="10"/>
  <c r="V140" i="10"/>
  <c r="U140" i="10"/>
  <c r="V104" i="10"/>
  <c r="U104" i="10"/>
  <c r="V284" i="10"/>
  <c r="U284" i="10"/>
  <c r="V252" i="10"/>
  <c r="U252" i="10"/>
  <c r="V76" i="10"/>
  <c r="U76" i="10"/>
  <c r="U43" i="10"/>
  <c r="V43" i="10"/>
  <c r="V186" i="10"/>
  <c r="U186" i="10"/>
  <c r="V146" i="10"/>
  <c r="U146" i="10"/>
  <c r="V98" i="10"/>
  <c r="U98" i="10"/>
  <c r="V34" i="10"/>
  <c r="U34" i="10"/>
  <c r="U456" i="10"/>
  <c r="V456" i="10"/>
  <c r="U266" i="10"/>
  <c r="V266" i="10"/>
  <c r="V148" i="10"/>
  <c r="U148" i="10"/>
  <c r="U543" i="10"/>
  <c r="V543" i="10"/>
  <c r="V520" i="10"/>
  <c r="U520" i="10"/>
  <c r="V485" i="10"/>
  <c r="U485" i="10"/>
  <c r="U502" i="10"/>
  <c r="V502" i="10"/>
  <c r="V457" i="10"/>
  <c r="U457" i="10"/>
  <c r="V461" i="10"/>
  <c r="U461" i="10"/>
  <c r="U358" i="10"/>
  <c r="V358" i="10"/>
  <c r="U326" i="10"/>
  <c r="V326" i="10"/>
  <c r="U357" i="10"/>
  <c r="V357" i="10"/>
  <c r="U325" i="10"/>
  <c r="V325" i="10"/>
  <c r="U278" i="10"/>
  <c r="V278" i="10"/>
  <c r="U217" i="10"/>
  <c r="V217" i="10"/>
  <c r="V160" i="10"/>
  <c r="U160" i="10"/>
  <c r="V172" i="10"/>
  <c r="U172" i="10"/>
  <c r="V88" i="10"/>
  <c r="U88" i="10"/>
  <c r="V23" i="10"/>
  <c r="U23" i="10"/>
  <c r="V142" i="10"/>
  <c r="U142" i="10"/>
  <c r="V94" i="10"/>
  <c r="U94" i="10"/>
  <c r="V29" i="10"/>
  <c r="U29" i="10"/>
  <c r="V55" i="10"/>
  <c r="U55" i="10"/>
  <c r="U79" i="10"/>
  <c r="V79" i="10"/>
  <c r="U95" i="10"/>
  <c r="V95" i="10"/>
  <c r="V195" i="10"/>
  <c r="U195" i="10"/>
  <c r="U85" i="10"/>
  <c r="V85" i="10"/>
  <c r="V101" i="10"/>
  <c r="U101" i="10"/>
  <c r="V117" i="10"/>
  <c r="U117" i="10"/>
  <c r="V133" i="10"/>
  <c r="U133" i="10"/>
  <c r="V149" i="10"/>
  <c r="U149" i="10"/>
  <c r="U301" i="10"/>
  <c r="V301" i="10"/>
  <c r="V179" i="10"/>
  <c r="U179" i="10"/>
  <c r="V212" i="10"/>
  <c r="U212" i="10"/>
  <c r="V228" i="10"/>
  <c r="U228" i="10"/>
  <c r="V244" i="10"/>
  <c r="U244" i="10"/>
  <c r="U251" i="10"/>
  <c r="V251" i="10"/>
  <c r="U259" i="10"/>
  <c r="V259" i="10"/>
  <c r="U267" i="10"/>
  <c r="V267" i="10"/>
  <c r="U275" i="10"/>
  <c r="V275" i="10"/>
  <c r="U283" i="10"/>
  <c r="V283" i="10"/>
  <c r="U291" i="10"/>
  <c r="V291" i="10"/>
  <c r="V308" i="10"/>
  <c r="U308" i="10"/>
  <c r="V324" i="10"/>
  <c r="U324" i="10"/>
  <c r="V340" i="10"/>
  <c r="U340" i="10"/>
  <c r="V356" i="10"/>
  <c r="U356" i="10"/>
  <c r="U115" i="10"/>
  <c r="V115" i="10"/>
  <c r="U131" i="10"/>
  <c r="V131" i="10"/>
  <c r="U147" i="10"/>
  <c r="V147" i="10"/>
  <c r="U163" i="10"/>
  <c r="V163" i="10"/>
  <c r="V223" i="10"/>
  <c r="U223" i="10"/>
  <c r="V239" i="10"/>
  <c r="U239" i="10"/>
  <c r="U299" i="10"/>
  <c r="V299" i="10"/>
  <c r="V319" i="10"/>
  <c r="U319" i="10"/>
  <c r="V335" i="10"/>
  <c r="U335" i="10"/>
  <c r="V351" i="10"/>
  <c r="U351" i="10"/>
  <c r="U360" i="10"/>
  <c r="V360" i="10"/>
  <c r="U433" i="10"/>
  <c r="V433" i="10"/>
  <c r="U366" i="10"/>
  <c r="V366" i="10"/>
  <c r="V383" i="10"/>
  <c r="U383" i="10"/>
  <c r="U402" i="10"/>
  <c r="V402" i="10"/>
  <c r="U418" i="10"/>
  <c r="V418" i="10"/>
  <c r="V439" i="10"/>
  <c r="U439" i="10"/>
  <c r="U386" i="10"/>
  <c r="V386" i="10"/>
  <c r="V378" i="10"/>
  <c r="U378" i="10"/>
  <c r="U396" i="10"/>
  <c r="V396" i="10"/>
  <c r="U412" i="10"/>
  <c r="V412" i="10"/>
  <c r="U428" i="10"/>
  <c r="V428" i="10"/>
  <c r="V462" i="10"/>
  <c r="U462" i="10"/>
  <c r="U449" i="10"/>
  <c r="V449" i="10"/>
  <c r="V482" i="10"/>
  <c r="U482" i="10"/>
  <c r="V450" i="10"/>
  <c r="U450" i="10"/>
  <c r="U488" i="10"/>
  <c r="V488" i="10"/>
  <c r="V504" i="10"/>
  <c r="U504" i="10"/>
  <c r="V521" i="10"/>
  <c r="U521" i="10"/>
  <c r="U535" i="10"/>
  <c r="V535" i="10"/>
  <c r="V537" i="10"/>
  <c r="U537" i="10"/>
  <c r="U547" i="10"/>
  <c r="V547" i="10"/>
  <c r="V560" i="10"/>
  <c r="U560" i="10"/>
  <c r="AT541" i="10"/>
  <c r="AU541" i="10"/>
  <c r="AU536" i="10"/>
  <c r="AT536" i="10"/>
  <c r="AT500" i="10"/>
  <c r="AU500" i="10"/>
  <c r="AT463" i="10"/>
  <c r="AU463" i="10"/>
  <c r="AT394" i="10"/>
  <c r="AU394" i="10"/>
  <c r="AU395" i="10"/>
  <c r="AT395" i="10"/>
  <c r="AT433" i="10"/>
  <c r="AU433" i="10"/>
  <c r="AT359" i="10"/>
  <c r="AU359" i="10"/>
  <c r="AT183" i="10"/>
  <c r="AU183" i="10"/>
  <c r="AU99" i="10"/>
  <c r="AT99" i="10"/>
  <c r="AT83" i="10"/>
  <c r="AU83" i="10"/>
  <c r="AU298" i="10"/>
  <c r="AT298" i="10"/>
  <c r="AT236" i="10"/>
  <c r="AU236" i="10"/>
  <c r="AT291" i="10"/>
  <c r="AU291" i="10"/>
  <c r="AT24" i="10"/>
  <c r="AU24" i="10"/>
  <c r="AU68" i="10"/>
  <c r="AT68" i="10"/>
  <c r="AU72" i="10"/>
  <c r="AT72" i="10"/>
  <c r="AU132" i="10"/>
  <c r="AT132" i="10"/>
  <c r="AU198" i="10"/>
  <c r="AT198" i="10"/>
  <c r="AU84" i="10"/>
  <c r="AT84" i="10"/>
  <c r="AU296" i="10"/>
  <c r="AT296" i="10"/>
  <c r="AU505" i="10"/>
  <c r="AT505" i="10"/>
  <c r="AT273" i="10"/>
  <c r="AU273" i="10"/>
  <c r="AU337" i="10"/>
  <c r="AT337" i="10"/>
  <c r="AU94" i="10"/>
  <c r="AT94" i="10"/>
  <c r="AU163" i="10"/>
  <c r="AT163" i="10"/>
  <c r="AT105" i="10"/>
  <c r="AU105" i="10"/>
  <c r="AU325" i="10"/>
  <c r="AT325" i="10"/>
  <c r="AU448" i="10"/>
  <c r="AT448" i="10"/>
  <c r="AU284" i="10"/>
  <c r="AT284" i="10"/>
  <c r="AU377" i="10"/>
  <c r="AT377" i="10"/>
  <c r="AU484" i="10"/>
  <c r="AT484" i="10"/>
  <c r="AU554" i="10"/>
  <c r="AT554" i="10"/>
  <c r="AT277" i="10"/>
  <c r="AU277" i="10"/>
  <c r="AU221" i="10"/>
  <c r="AT221" i="10"/>
  <c r="AU233" i="10"/>
  <c r="AT233" i="10"/>
  <c r="AT531" i="10"/>
  <c r="AU531" i="10"/>
  <c r="AU503" i="10"/>
  <c r="AT503" i="10"/>
  <c r="AT504" i="10"/>
  <c r="AU504" i="10"/>
  <c r="AU489" i="10"/>
  <c r="AT489" i="10"/>
  <c r="AU434" i="10"/>
  <c r="AT434" i="10"/>
  <c r="AT406" i="10"/>
  <c r="AU406" i="10"/>
  <c r="AU407" i="10"/>
  <c r="AT407" i="10"/>
  <c r="AT307" i="10"/>
  <c r="AU307" i="10"/>
  <c r="AT211" i="10"/>
  <c r="AU211" i="10"/>
  <c r="AT195" i="10"/>
  <c r="AU195" i="10"/>
  <c r="AU310" i="10"/>
  <c r="AT310" i="10"/>
  <c r="AU111" i="10"/>
  <c r="AT111" i="10"/>
  <c r="AU246" i="10"/>
  <c r="AT246" i="10"/>
  <c r="AT141" i="10"/>
  <c r="AU141" i="10"/>
  <c r="AU92" i="10"/>
  <c r="AT92" i="10"/>
  <c r="AU144" i="10"/>
  <c r="AT144" i="10"/>
  <c r="AT51" i="10"/>
  <c r="AU51" i="10"/>
  <c r="AT192" i="10"/>
  <c r="AU192" i="10"/>
  <c r="AU31" i="10"/>
  <c r="AT31" i="10"/>
  <c r="AT25" i="10"/>
  <c r="AU25" i="10"/>
  <c r="AU122" i="10"/>
  <c r="AT122" i="10"/>
  <c r="AU143" i="10"/>
  <c r="AT143" i="10"/>
  <c r="AU230" i="10"/>
  <c r="AT230" i="10"/>
  <c r="AU272" i="10"/>
  <c r="AT272" i="10"/>
  <c r="AT431" i="10"/>
  <c r="AU431" i="10"/>
  <c r="AT443" i="10"/>
  <c r="AU443" i="10"/>
  <c r="AU523" i="10"/>
  <c r="AT523" i="10"/>
  <c r="AU50" i="10"/>
  <c r="AT50" i="10"/>
  <c r="AU49" i="10"/>
  <c r="AT49" i="10"/>
  <c r="AT81" i="10"/>
  <c r="AU81" i="10"/>
  <c r="AU344" i="10"/>
  <c r="AT344" i="10"/>
  <c r="AU369" i="10"/>
  <c r="AT369" i="10"/>
  <c r="AT424" i="10"/>
  <c r="AU424" i="10"/>
  <c r="AU425" i="10"/>
  <c r="AT425" i="10"/>
  <c r="AU486" i="10"/>
  <c r="AT486" i="10"/>
  <c r="AU542" i="10"/>
  <c r="AT542" i="10"/>
  <c r="AU361" i="10"/>
  <c r="AT361" i="10"/>
  <c r="AU493" i="10"/>
  <c r="AT493" i="10"/>
  <c r="AU162" i="10"/>
  <c r="AT162" i="10"/>
  <c r="AT133" i="10"/>
  <c r="AU133" i="10"/>
  <c r="AU260" i="10"/>
  <c r="AT260" i="10"/>
  <c r="AT543" i="10"/>
  <c r="AU543" i="10"/>
  <c r="AU150" i="10"/>
  <c r="AT150" i="10"/>
  <c r="AT253" i="10"/>
  <c r="AU253" i="10"/>
  <c r="AT77" i="10"/>
  <c r="AU77" i="10"/>
  <c r="AU555" i="10"/>
  <c r="AT555" i="10"/>
  <c r="AU499" i="10"/>
  <c r="AT499" i="10"/>
  <c r="AT462" i="10"/>
  <c r="AU462" i="10"/>
  <c r="AT418" i="10"/>
  <c r="AU418" i="10"/>
  <c r="AT374" i="10"/>
  <c r="AU374" i="10"/>
  <c r="AU419" i="10"/>
  <c r="AT419" i="10"/>
  <c r="AU437" i="10"/>
  <c r="AT437" i="10"/>
  <c r="AT319" i="10"/>
  <c r="AU319" i="10"/>
  <c r="AU306" i="10"/>
  <c r="AT306" i="10"/>
  <c r="AT223" i="10"/>
  <c r="AU223" i="10"/>
  <c r="AT207" i="10"/>
  <c r="AU207" i="10"/>
  <c r="AU322" i="10"/>
  <c r="AT322" i="10"/>
  <c r="AU123" i="10"/>
  <c r="AT123" i="10"/>
  <c r="AU107" i="10"/>
  <c r="AT107" i="10"/>
  <c r="AU258" i="10"/>
  <c r="AT258" i="10"/>
  <c r="AT251" i="10"/>
  <c r="AU251" i="10"/>
  <c r="AT153" i="10"/>
  <c r="AU153" i="10"/>
  <c r="AT20" i="10"/>
  <c r="AU20" i="10"/>
  <c r="AT180" i="10"/>
  <c r="AU180" i="10"/>
  <c r="AU156" i="10"/>
  <c r="AT156" i="10"/>
  <c r="AU82" i="10"/>
  <c r="AT82" i="10"/>
  <c r="AU186" i="10"/>
  <c r="AT186" i="10"/>
  <c r="AU159" i="10"/>
  <c r="AT159" i="10"/>
  <c r="AU248" i="10"/>
  <c r="AT248" i="10"/>
  <c r="AU340" i="10"/>
  <c r="AT340" i="10"/>
  <c r="AT430" i="10"/>
  <c r="AU430" i="10"/>
  <c r="AU550" i="10"/>
  <c r="AT550" i="10"/>
  <c r="AU510" i="10"/>
  <c r="AT510" i="10"/>
  <c r="AU57" i="10"/>
  <c r="AT57" i="10"/>
  <c r="AU131" i="10"/>
  <c r="AT131" i="10"/>
  <c r="AU229" i="10"/>
  <c r="AT229" i="10"/>
  <c r="AU376" i="10"/>
  <c r="AT376" i="10"/>
  <c r="AU480" i="10"/>
  <c r="AT480" i="10"/>
  <c r="AT384" i="10"/>
  <c r="AU384" i="10"/>
  <c r="AU440" i="10"/>
  <c r="AT440" i="10"/>
  <c r="AU114" i="10"/>
  <c r="AT114" i="10"/>
  <c r="AU62" i="10"/>
  <c r="AT62" i="10"/>
  <c r="AU151" i="10"/>
  <c r="AT151" i="10"/>
  <c r="AU332" i="10"/>
  <c r="AT332" i="10"/>
  <c r="AT66" i="10"/>
  <c r="AU66" i="10"/>
  <c r="AU102" i="10"/>
  <c r="AT102" i="10"/>
  <c r="AT545" i="10"/>
  <c r="AU545" i="10"/>
  <c r="AU544" i="10"/>
  <c r="AT544" i="10"/>
  <c r="AT488" i="10"/>
  <c r="AU488" i="10"/>
  <c r="AU481" i="10"/>
  <c r="AT481" i="10"/>
  <c r="AU436" i="10"/>
  <c r="AT436" i="10"/>
  <c r="AT331" i="10"/>
  <c r="AU331" i="10"/>
  <c r="AT235" i="10"/>
  <c r="AU235" i="10"/>
  <c r="AU334" i="10"/>
  <c r="AT334" i="10"/>
  <c r="AU270" i="10"/>
  <c r="AT270" i="10"/>
  <c r="AT263" i="10"/>
  <c r="AU263" i="10"/>
  <c r="AU202" i="10"/>
  <c r="AT202" i="10"/>
  <c r="AU48" i="10"/>
  <c r="AT48" i="10"/>
  <c r="AU104" i="10"/>
  <c r="AT104" i="10"/>
  <c r="AU39" i="10"/>
  <c r="AT39" i="10"/>
  <c r="AU241" i="10"/>
  <c r="AT241" i="10"/>
  <c r="AU444" i="10"/>
  <c r="AT444" i="10"/>
  <c r="AU538" i="10"/>
  <c r="AT538" i="10"/>
  <c r="AU30" i="10"/>
  <c r="AT30" i="10"/>
  <c r="AU218" i="10"/>
  <c r="AT218" i="10"/>
  <c r="AU387" i="10"/>
  <c r="AT387" i="10"/>
  <c r="AU42" i="10"/>
  <c r="AT42" i="10"/>
  <c r="AU174" i="10"/>
  <c r="AT174" i="10"/>
  <c r="AU490" i="10"/>
  <c r="AT490" i="10"/>
  <c r="AU558" i="10"/>
  <c r="AT558" i="10"/>
  <c r="AT269" i="10"/>
  <c r="AU269" i="10"/>
  <c r="B230" i="2"/>
  <c r="F232" i="2"/>
  <c r="E230" i="2"/>
  <c r="B178" i="2"/>
  <c r="B186" i="2"/>
  <c r="B17" i="5"/>
  <c r="B45" i="5" s="1"/>
  <c r="B46" i="5" s="1"/>
  <c r="B180" i="2"/>
  <c r="B52" i="5"/>
  <c r="B53" i="5" s="1"/>
  <c r="B55" i="5" s="1"/>
  <c r="H18" i="1"/>
  <c r="H19" i="1"/>
  <c r="B80" i="2"/>
  <c r="B88" i="2"/>
  <c r="B84" i="2"/>
  <c r="B75" i="2"/>
  <c r="H23" i="1" s="1"/>
  <c r="U7" i="5"/>
  <c r="B113" i="2"/>
  <c r="B195" i="2"/>
  <c r="AR7" i="5"/>
  <c r="AQ7" i="5"/>
  <c r="B291" i="2"/>
  <c r="S17" i="4"/>
  <c r="AW17" i="4" s="1"/>
  <c r="S22" i="4"/>
  <c r="AW22" i="4" s="1"/>
  <c r="S25" i="4"/>
  <c r="AW25" i="4" s="1"/>
  <c r="S30" i="4"/>
  <c r="AW30" i="4" s="1"/>
  <c r="S33" i="4"/>
  <c r="AW33" i="4" s="1"/>
  <c r="S38" i="4"/>
  <c r="AW38" i="4" s="1"/>
  <c r="S41" i="4"/>
  <c r="AW41" i="4" s="1"/>
  <c r="S43" i="4"/>
  <c r="AW43" i="4" s="1"/>
  <c r="S45" i="4"/>
  <c r="AW45" i="4" s="1"/>
  <c r="S47" i="4"/>
  <c r="AW47" i="4" s="1"/>
  <c r="S49" i="4"/>
  <c r="AW49" i="4" s="1"/>
  <c r="S51" i="4"/>
  <c r="AW51" i="4" s="1"/>
  <c r="S53" i="4"/>
  <c r="AW53" i="4" s="1"/>
  <c r="S55" i="4"/>
  <c r="AW55" i="4" s="1"/>
  <c r="S57" i="4"/>
  <c r="AW57" i="4" s="1"/>
  <c r="S59" i="4"/>
  <c r="AW59" i="4" s="1"/>
  <c r="S61" i="4"/>
  <c r="AW61" i="4" s="1"/>
  <c r="S63" i="4"/>
  <c r="AW63" i="4" s="1"/>
  <c r="S65" i="4"/>
  <c r="AW65" i="4" s="1"/>
  <c r="S67" i="4"/>
  <c r="AW67" i="4" s="1"/>
  <c r="S69" i="4"/>
  <c r="AW69" i="4" s="1"/>
  <c r="S71" i="4"/>
  <c r="AW71" i="4" s="1"/>
  <c r="S73" i="4"/>
  <c r="AW73" i="4" s="1"/>
  <c r="S75" i="4"/>
  <c r="AW75" i="4" s="1"/>
  <c r="S77" i="4"/>
  <c r="AW77" i="4" s="1"/>
  <c r="S79" i="4"/>
  <c r="AW79" i="4" s="1"/>
  <c r="S81" i="4"/>
  <c r="AW81" i="4" s="1"/>
  <c r="S83" i="4"/>
  <c r="AW83" i="4" s="1"/>
  <c r="S85" i="4"/>
  <c r="AW85" i="4" s="1"/>
  <c r="S87" i="4"/>
  <c r="AW87" i="4" s="1"/>
  <c r="S89" i="4"/>
  <c r="AW89" i="4" s="1"/>
  <c r="S91" i="4"/>
  <c r="AW91" i="4" s="1"/>
  <c r="S93" i="4"/>
  <c r="AW93" i="4" s="1"/>
  <c r="S95" i="4"/>
  <c r="AW95" i="4" s="1"/>
  <c r="S97" i="4"/>
  <c r="AW97" i="4" s="1"/>
  <c r="S99" i="4"/>
  <c r="AW99" i="4" s="1"/>
  <c r="S101" i="4"/>
  <c r="AW101" i="4" s="1"/>
  <c r="S103" i="4"/>
  <c r="AW103" i="4" s="1"/>
  <c r="S105" i="4"/>
  <c r="AW105" i="4" s="1"/>
  <c r="S107" i="4"/>
  <c r="AW107" i="4" s="1"/>
  <c r="S109" i="4"/>
  <c r="AW109" i="4" s="1"/>
  <c r="S111" i="4"/>
  <c r="AW111" i="4" s="1"/>
  <c r="S113" i="4"/>
  <c r="AW113" i="4" s="1"/>
  <c r="S115" i="4"/>
  <c r="AW115" i="4" s="1"/>
  <c r="S117" i="4"/>
  <c r="AW117" i="4" s="1"/>
  <c r="S119" i="4"/>
  <c r="AW119" i="4" s="1"/>
  <c r="S121" i="4"/>
  <c r="AW121" i="4" s="1"/>
  <c r="S123" i="4"/>
  <c r="AW123" i="4" s="1"/>
  <c r="S125" i="4"/>
  <c r="AW125" i="4" s="1"/>
  <c r="S127" i="4"/>
  <c r="AW127" i="4" s="1"/>
  <c r="S129" i="4"/>
  <c r="AW129" i="4" s="1"/>
  <c r="S131" i="4"/>
  <c r="AW131" i="4" s="1"/>
  <c r="S133" i="4"/>
  <c r="AW133" i="4" s="1"/>
  <c r="S135" i="4"/>
  <c r="AW135" i="4" s="1"/>
  <c r="S137" i="4"/>
  <c r="AW137" i="4" s="1"/>
  <c r="S139" i="4"/>
  <c r="AW139" i="4" s="1"/>
  <c r="S141" i="4"/>
  <c r="AW141" i="4" s="1"/>
  <c r="S143" i="4"/>
  <c r="AW143" i="4" s="1"/>
  <c r="S145" i="4"/>
  <c r="AW145" i="4" s="1"/>
  <c r="S147" i="4"/>
  <c r="AW147" i="4" s="1"/>
  <c r="S149" i="4"/>
  <c r="AW149" i="4" s="1"/>
  <c r="S151" i="4"/>
  <c r="AW151" i="4" s="1"/>
  <c r="S153" i="4"/>
  <c r="AW153" i="4" s="1"/>
  <c r="S155" i="4"/>
  <c r="AW155" i="4" s="1"/>
  <c r="S157" i="4"/>
  <c r="AW157" i="4" s="1"/>
  <c r="S9" i="4"/>
  <c r="AW9" i="4" s="1"/>
  <c r="S11" i="4"/>
  <c r="AW11" i="4" s="1"/>
  <c r="S13" i="4"/>
  <c r="AW13" i="4" s="1"/>
  <c r="S19" i="4"/>
  <c r="AW19" i="4" s="1"/>
  <c r="S23" i="4"/>
  <c r="AW23" i="4" s="1"/>
  <c r="S26" i="4"/>
  <c r="AW26" i="4" s="1"/>
  <c r="S37" i="4"/>
  <c r="AW37" i="4" s="1"/>
  <c r="S40" i="4"/>
  <c r="AW40" i="4" s="1"/>
  <c r="S46" i="4"/>
  <c r="AW46" i="4" s="1"/>
  <c r="S54" i="4"/>
  <c r="AW54" i="4" s="1"/>
  <c r="S62" i="4"/>
  <c r="AW62" i="4" s="1"/>
  <c r="S70" i="4"/>
  <c r="AW70" i="4" s="1"/>
  <c r="S78" i="4"/>
  <c r="AW78" i="4" s="1"/>
  <c r="S86" i="4"/>
  <c r="AW86" i="4" s="1"/>
  <c r="S94" i="4"/>
  <c r="AW94" i="4" s="1"/>
  <c r="S102" i="4"/>
  <c r="AW102" i="4" s="1"/>
  <c r="S110" i="4"/>
  <c r="AW110" i="4" s="1"/>
  <c r="S118" i="4"/>
  <c r="AW118" i="4" s="1"/>
  <c r="S126" i="4"/>
  <c r="AW126" i="4" s="1"/>
  <c r="S134" i="4"/>
  <c r="AW134" i="4" s="1"/>
  <c r="S142" i="4"/>
  <c r="AW142" i="4" s="1"/>
  <c r="S150" i="4"/>
  <c r="AW150" i="4" s="1"/>
  <c r="S8" i="4"/>
  <c r="S16" i="4"/>
  <c r="AW16" i="4" s="1"/>
  <c r="S20" i="4"/>
  <c r="AW20" i="4" s="1"/>
  <c r="S27" i="4"/>
  <c r="AW27" i="4" s="1"/>
  <c r="S31" i="4"/>
  <c r="AW31" i="4" s="1"/>
  <c r="S34" i="4"/>
  <c r="AW34" i="4" s="1"/>
  <c r="S44" i="4"/>
  <c r="AW44" i="4" s="1"/>
  <c r="S52" i="4"/>
  <c r="AW52" i="4" s="1"/>
  <c r="S60" i="4"/>
  <c r="AW60" i="4" s="1"/>
  <c r="S68" i="4"/>
  <c r="AW68" i="4" s="1"/>
  <c r="S76" i="4"/>
  <c r="AW76" i="4" s="1"/>
  <c r="S84" i="4"/>
  <c r="AW84" i="4" s="1"/>
  <c r="S92" i="4"/>
  <c r="AW92" i="4" s="1"/>
  <c r="S100" i="4"/>
  <c r="AW100" i="4" s="1"/>
  <c r="S108" i="4"/>
  <c r="AW108" i="4" s="1"/>
  <c r="S116" i="4"/>
  <c r="AW116" i="4" s="1"/>
  <c r="S124" i="4"/>
  <c r="AW124" i="4" s="1"/>
  <c r="S132" i="4"/>
  <c r="AW132" i="4" s="1"/>
  <c r="S140" i="4"/>
  <c r="AW140" i="4" s="1"/>
  <c r="S148" i="4"/>
  <c r="AW148" i="4" s="1"/>
  <c r="S156" i="4"/>
  <c r="AW156" i="4" s="1"/>
  <c r="S14" i="4"/>
  <c r="AW14" i="4" s="1"/>
  <c r="S21" i="4"/>
  <c r="AW21" i="4" s="1"/>
  <c r="S24" i="4"/>
  <c r="AW24" i="4" s="1"/>
  <c r="S28" i="4"/>
  <c r="AW28" i="4" s="1"/>
  <c r="S35" i="4"/>
  <c r="AW35" i="4" s="1"/>
  <c r="S39" i="4"/>
  <c r="AW39" i="4" s="1"/>
  <c r="S42" i="4"/>
  <c r="AW42" i="4" s="1"/>
  <c r="S50" i="4"/>
  <c r="AW50" i="4" s="1"/>
  <c r="S58" i="4"/>
  <c r="AW58" i="4" s="1"/>
  <c r="S66" i="4"/>
  <c r="AW66" i="4" s="1"/>
  <c r="S74" i="4"/>
  <c r="AW74" i="4" s="1"/>
  <c r="S82" i="4"/>
  <c r="AW82" i="4" s="1"/>
  <c r="S90" i="4"/>
  <c r="AW90" i="4" s="1"/>
  <c r="S98" i="4"/>
  <c r="AW98" i="4" s="1"/>
  <c r="S106" i="4"/>
  <c r="AW106" i="4" s="1"/>
  <c r="S114" i="4"/>
  <c r="AW114" i="4" s="1"/>
  <c r="S122" i="4"/>
  <c r="AW122" i="4" s="1"/>
  <c r="S130" i="4"/>
  <c r="AW130" i="4" s="1"/>
  <c r="S138" i="4"/>
  <c r="AW138" i="4" s="1"/>
  <c r="S146" i="4"/>
  <c r="AW146" i="4" s="1"/>
  <c r="S154" i="4"/>
  <c r="AW154" i="4" s="1"/>
  <c r="S12" i="4"/>
  <c r="AW12" i="4" s="1"/>
  <c r="S15" i="4"/>
  <c r="AW15" i="4" s="1"/>
  <c r="S18" i="4"/>
  <c r="AW18" i="4" s="1"/>
  <c r="S29" i="4"/>
  <c r="AW29" i="4" s="1"/>
  <c r="S32" i="4"/>
  <c r="AW32" i="4" s="1"/>
  <c r="S36" i="4"/>
  <c r="AW36" i="4" s="1"/>
  <c r="S48" i="4"/>
  <c r="AW48" i="4" s="1"/>
  <c r="S56" i="4"/>
  <c r="AW56" i="4" s="1"/>
  <c r="S64" i="4"/>
  <c r="AW64" i="4" s="1"/>
  <c r="S72" i="4"/>
  <c r="AW72" i="4" s="1"/>
  <c r="S80" i="4"/>
  <c r="AW80" i="4" s="1"/>
  <c r="S88" i="4"/>
  <c r="AW88" i="4" s="1"/>
  <c r="S96" i="4"/>
  <c r="AW96" i="4" s="1"/>
  <c r="S104" i="4"/>
  <c r="AW104" i="4" s="1"/>
  <c r="S112" i="4"/>
  <c r="AW112" i="4" s="1"/>
  <c r="S120" i="4"/>
  <c r="AW120" i="4" s="1"/>
  <c r="S128" i="4"/>
  <c r="AW128" i="4" s="1"/>
  <c r="S136" i="4"/>
  <c r="AW136" i="4" s="1"/>
  <c r="S144" i="4"/>
  <c r="AW144" i="4" s="1"/>
  <c r="S152" i="4"/>
  <c r="AW152" i="4" s="1"/>
  <c r="S10" i="4"/>
  <c r="AW10" i="4" s="1"/>
  <c r="B16" i="5"/>
  <c r="P15" i="5" s="1"/>
  <c r="S7" i="4"/>
  <c r="O9" i="4"/>
  <c r="V8" i="5"/>
  <c r="AQ8" i="5"/>
  <c r="AL13" i="5"/>
  <c r="AK13" i="5"/>
  <c r="AN12" i="5"/>
  <c r="AO12" i="5"/>
  <c r="AI13" i="5"/>
  <c r="AH13" i="5"/>
  <c r="AP13" i="5"/>
  <c r="U13" i="5"/>
  <c r="V13" i="5"/>
  <c r="AI12" i="5"/>
  <c r="AH12" i="5"/>
  <c r="AP12" i="5"/>
  <c r="U12" i="5"/>
  <c r="V12" i="5"/>
  <c r="AG10" i="5"/>
  <c r="T10" i="5"/>
  <c r="AM10" i="5"/>
  <c r="AJ10" i="5"/>
  <c r="AO13" i="5"/>
  <c r="AN13" i="5"/>
  <c r="AK12" i="5"/>
  <c r="AL12" i="5"/>
  <c r="AR57" i="5"/>
  <c r="AQ57" i="5"/>
  <c r="AR101" i="5"/>
  <c r="AQ101" i="5"/>
  <c r="AR116" i="5"/>
  <c r="AQ116" i="5"/>
  <c r="AQ245" i="5"/>
  <c r="AR245" i="5"/>
  <c r="AR244" i="5"/>
  <c r="AQ244" i="5"/>
  <c r="AQ406" i="5"/>
  <c r="AR406" i="5"/>
  <c r="AQ419" i="5"/>
  <c r="AR419" i="5"/>
  <c r="AR448" i="5"/>
  <c r="AQ448" i="5"/>
  <c r="AR540" i="5"/>
  <c r="AQ540" i="5"/>
  <c r="AQ19" i="5"/>
  <c r="AR19" i="5"/>
  <c r="AR425" i="5"/>
  <c r="AQ425" i="5"/>
  <c r="AR49" i="5"/>
  <c r="AQ49" i="5"/>
  <c r="AR145" i="5"/>
  <c r="AQ145" i="5"/>
  <c r="AR155" i="5"/>
  <c r="AQ155" i="5"/>
  <c r="AQ254" i="5"/>
  <c r="AR254" i="5"/>
  <c r="AQ349" i="5"/>
  <c r="AR349" i="5"/>
  <c r="AQ371" i="5"/>
  <c r="AR371" i="5"/>
  <c r="AQ435" i="5"/>
  <c r="AR435" i="5"/>
  <c r="AR543" i="5"/>
  <c r="AQ543" i="5"/>
  <c r="AQ486" i="5"/>
  <c r="AR486" i="5"/>
  <c r="V547" i="5"/>
  <c r="U547" i="5"/>
  <c r="V497" i="5"/>
  <c r="U497" i="5"/>
  <c r="V539" i="5"/>
  <c r="U539" i="5"/>
  <c r="V560" i="5"/>
  <c r="U560" i="5"/>
  <c r="U473" i="5"/>
  <c r="V473" i="5"/>
  <c r="U401" i="5"/>
  <c r="V401" i="5"/>
  <c r="U503" i="5"/>
  <c r="V503" i="5"/>
  <c r="U454" i="5"/>
  <c r="V454" i="5"/>
  <c r="V339" i="5"/>
  <c r="U339" i="5"/>
  <c r="U472" i="5"/>
  <c r="V472" i="5"/>
  <c r="V287" i="5"/>
  <c r="U287" i="5"/>
  <c r="V379" i="5"/>
  <c r="U379" i="5"/>
  <c r="U162" i="5"/>
  <c r="V162" i="5"/>
  <c r="U437" i="5"/>
  <c r="V437" i="5"/>
  <c r="U393" i="5"/>
  <c r="V393" i="5"/>
  <c r="U312" i="5"/>
  <c r="V312" i="5"/>
  <c r="V310" i="5"/>
  <c r="U310" i="5"/>
  <c r="U269" i="5"/>
  <c r="V269" i="5"/>
  <c r="V313" i="5"/>
  <c r="U313" i="5"/>
  <c r="U250" i="5"/>
  <c r="V250" i="5"/>
  <c r="U279" i="5"/>
  <c r="V279" i="5"/>
  <c r="U252" i="5"/>
  <c r="V252" i="5"/>
  <c r="U221" i="5"/>
  <c r="V221" i="5"/>
  <c r="U222" i="5"/>
  <c r="V222" i="5"/>
  <c r="V239" i="5"/>
  <c r="U239" i="5"/>
  <c r="V188" i="5"/>
  <c r="U188" i="5"/>
  <c r="V183" i="5"/>
  <c r="U183" i="5"/>
  <c r="V169" i="5"/>
  <c r="U169" i="5"/>
  <c r="V134" i="5"/>
  <c r="U134" i="5"/>
  <c r="V151" i="5"/>
  <c r="U151" i="5"/>
  <c r="U155" i="5"/>
  <c r="V155" i="5"/>
  <c r="U91" i="5"/>
  <c r="V91" i="5"/>
  <c r="U98" i="5"/>
  <c r="V98" i="5"/>
  <c r="V57" i="5"/>
  <c r="U57" i="5"/>
  <c r="U56" i="5"/>
  <c r="V56" i="5"/>
  <c r="U43" i="5"/>
  <c r="V43" i="5"/>
  <c r="V32" i="5"/>
  <c r="U32" i="5"/>
  <c r="AR454" i="5"/>
  <c r="AQ454" i="5"/>
  <c r="AR528" i="5"/>
  <c r="AQ528" i="5"/>
  <c r="AQ35" i="5"/>
  <c r="AR35" i="5"/>
  <c r="AR83" i="5"/>
  <c r="AQ83" i="5"/>
  <c r="AQ163" i="5"/>
  <c r="AR163" i="5"/>
  <c r="AR224" i="5"/>
  <c r="AQ224" i="5"/>
  <c r="AQ322" i="5"/>
  <c r="AR322" i="5"/>
  <c r="AQ291" i="5"/>
  <c r="AR291" i="5"/>
  <c r="AQ433" i="5"/>
  <c r="AR433" i="5"/>
  <c r="AQ431" i="5"/>
  <c r="AR431" i="5"/>
  <c r="AR515" i="5"/>
  <c r="AQ515" i="5"/>
  <c r="AR546" i="5"/>
  <c r="AQ546" i="5"/>
  <c r="AQ34" i="5"/>
  <c r="AR34" i="5"/>
  <c r="AR100" i="5"/>
  <c r="AQ100" i="5"/>
  <c r="AQ218" i="5"/>
  <c r="AR218" i="5"/>
  <c r="AR273" i="5"/>
  <c r="AQ273" i="5"/>
  <c r="AQ299" i="5"/>
  <c r="AR299" i="5"/>
  <c r="AR436" i="5"/>
  <c r="AQ436" i="5"/>
  <c r="AR474" i="5"/>
  <c r="AQ474" i="5"/>
  <c r="AQ495" i="5"/>
  <c r="AR495" i="5"/>
  <c r="AQ37" i="5"/>
  <c r="AR37" i="5"/>
  <c r="AR178" i="5"/>
  <c r="AQ178" i="5"/>
  <c r="AQ232" i="5"/>
  <c r="AR232" i="5"/>
  <c r="AQ318" i="5"/>
  <c r="AR318" i="5"/>
  <c r="AQ405" i="5"/>
  <c r="AR405" i="5"/>
  <c r="AQ434" i="5"/>
  <c r="AR434" i="5"/>
  <c r="AR392" i="5"/>
  <c r="AQ392" i="5"/>
  <c r="AQ461" i="5"/>
  <c r="AR461" i="5"/>
  <c r="AR46" i="5"/>
  <c r="AQ46" i="5"/>
  <c r="AQ76" i="5"/>
  <c r="AR76" i="5"/>
  <c r="AQ132" i="5"/>
  <c r="AR132" i="5"/>
  <c r="AR179" i="5"/>
  <c r="AQ179" i="5"/>
  <c r="AQ188" i="5"/>
  <c r="AR188" i="5"/>
  <c r="AR309" i="5"/>
  <c r="AQ309" i="5"/>
  <c r="AR174" i="5"/>
  <c r="AQ174" i="5"/>
  <c r="AR391" i="5"/>
  <c r="AQ391" i="5"/>
  <c r="AR369" i="5"/>
  <c r="AQ369" i="5"/>
  <c r="AQ469" i="5"/>
  <c r="AR469" i="5"/>
  <c r="AQ554" i="5"/>
  <c r="AR554" i="5"/>
  <c r="U469" i="5"/>
  <c r="V469" i="5"/>
  <c r="U524" i="5"/>
  <c r="V524" i="5"/>
  <c r="V545" i="5"/>
  <c r="U545" i="5"/>
  <c r="V344" i="5"/>
  <c r="U344" i="5"/>
  <c r="U486" i="5"/>
  <c r="V486" i="5"/>
  <c r="U422" i="5"/>
  <c r="V422" i="5"/>
  <c r="U522" i="5"/>
  <c r="V522" i="5"/>
  <c r="U474" i="5"/>
  <c r="V474" i="5"/>
  <c r="U427" i="5"/>
  <c r="V427" i="5"/>
  <c r="V491" i="5"/>
  <c r="U491" i="5"/>
  <c r="U432" i="5"/>
  <c r="V432" i="5"/>
  <c r="V370" i="5"/>
  <c r="U370" i="5"/>
  <c r="U417" i="5"/>
  <c r="V417" i="5"/>
  <c r="U404" i="5"/>
  <c r="V404" i="5"/>
  <c r="U388" i="5"/>
  <c r="V388" i="5"/>
  <c r="V336" i="5"/>
  <c r="U336" i="5"/>
  <c r="U272" i="5"/>
  <c r="V272" i="5"/>
  <c r="V418" i="5"/>
  <c r="U418" i="5"/>
  <c r="U391" i="5"/>
  <c r="V391" i="5"/>
  <c r="V380" i="5"/>
  <c r="U380" i="5"/>
  <c r="V371" i="5"/>
  <c r="U371" i="5"/>
  <c r="V297" i="5"/>
  <c r="U297" i="5"/>
  <c r="U436" i="5"/>
  <c r="V436" i="5"/>
  <c r="U421" i="5"/>
  <c r="V421" i="5"/>
  <c r="U405" i="5"/>
  <c r="V405" i="5"/>
  <c r="V390" i="5"/>
  <c r="U390" i="5"/>
  <c r="V367" i="5"/>
  <c r="U367" i="5"/>
  <c r="U359" i="5"/>
  <c r="V359" i="5"/>
  <c r="V337" i="5"/>
  <c r="U337" i="5"/>
  <c r="V309" i="5"/>
  <c r="U309" i="5"/>
  <c r="U267" i="5"/>
  <c r="V267" i="5"/>
  <c r="U349" i="5"/>
  <c r="V349" i="5"/>
  <c r="U326" i="5"/>
  <c r="V326" i="5"/>
  <c r="U307" i="5"/>
  <c r="V307" i="5"/>
  <c r="V298" i="5"/>
  <c r="U298" i="5"/>
  <c r="V285" i="5"/>
  <c r="U285" i="5"/>
  <c r="U268" i="5"/>
  <c r="V268" i="5"/>
  <c r="U256" i="5"/>
  <c r="V256" i="5"/>
  <c r="U226" i="5"/>
  <c r="V226" i="5"/>
  <c r="U325" i="5"/>
  <c r="V325" i="5"/>
  <c r="V311" i="5"/>
  <c r="U311" i="5"/>
  <c r="V291" i="5"/>
  <c r="U291" i="5"/>
  <c r="U266" i="5"/>
  <c r="V266" i="5"/>
  <c r="U244" i="5"/>
  <c r="V244" i="5"/>
  <c r="V332" i="5"/>
  <c r="U332" i="5"/>
  <c r="U314" i="5"/>
  <c r="V314" i="5"/>
  <c r="U295" i="5"/>
  <c r="V295" i="5"/>
  <c r="U278" i="5"/>
  <c r="V278" i="5"/>
  <c r="U270" i="5"/>
  <c r="V270" i="5"/>
  <c r="V257" i="5"/>
  <c r="U257" i="5"/>
  <c r="U249" i="5"/>
  <c r="V249" i="5"/>
  <c r="V153" i="5"/>
  <c r="U153" i="5"/>
  <c r="U233" i="5"/>
  <c r="V233" i="5"/>
  <c r="U219" i="5"/>
  <c r="V219" i="5"/>
  <c r="U192" i="5"/>
  <c r="V192" i="5"/>
  <c r="U168" i="5"/>
  <c r="V168" i="5"/>
  <c r="U238" i="5"/>
  <c r="V238" i="5"/>
  <c r="U217" i="5"/>
  <c r="V217" i="5"/>
  <c r="U193" i="5"/>
  <c r="V193" i="5"/>
  <c r="U144" i="5"/>
  <c r="V144" i="5"/>
  <c r="U234" i="5"/>
  <c r="V234" i="5"/>
  <c r="U220" i="5"/>
  <c r="V220" i="5"/>
  <c r="U209" i="5"/>
  <c r="V209" i="5"/>
  <c r="U202" i="5"/>
  <c r="V202" i="5"/>
  <c r="U164" i="5"/>
  <c r="V164" i="5"/>
  <c r="U198" i="5"/>
  <c r="V198" i="5"/>
  <c r="V189" i="5"/>
  <c r="U189" i="5"/>
  <c r="V179" i="5"/>
  <c r="U179" i="5"/>
  <c r="U158" i="5"/>
  <c r="V158" i="5"/>
  <c r="U184" i="5"/>
  <c r="V184" i="5"/>
  <c r="U163" i="5"/>
  <c r="V163" i="5"/>
  <c r="V111" i="5"/>
  <c r="U111" i="5"/>
  <c r="U178" i="5"/>
  <c r="V178" i="5"/>
  <c r="U167" i="5"/>
  <c r="V167" i="5"/>
  <c r="V128" i="5"/>
  <c r="U128" i="5"/>
  <c r="U145" i="5"/>
  <c r="V145" i="5"/>
  <c r="U122" i="5"/>
  <c r="V122" i="5"/>
  <c r="V104" i="5"/>
  <c r="U104" i="5"/>
  <c r="U148" i="5"/>
  <c r="V148" i="5"/>
  <c r="U129" i="5"/>
  <c r="V129" i="5"/>
  <c r="U116" i="5"/>
  <c r="V116" i="5"/>
  <c r="U103" i="5"/>
  <c r="V103" i="5"/>
  <c r="U147" i="5"/>
  <c r="V147" i="5"/>
  <c r="U132" i="5"/>
  <c r="V132" i="5"/>
  <c r="U113" i="5"/>
  <c r="V113" i="5"/>
  <c r="U110" i="5"/>
  <c r="V110" i="5"/>
  <c r="U90" i="5"/>
  <c r="V90" i="5"/>
  <c r="U72" i="5"/>
  <c r="V72" i="5"/>
  <c r="U102" i="5"/>
  <c r="V102" i="5"/>
  <c r="U97" i="5"/>
  <c r="V97" i="5"/>
  <c r="V81" i="5"/>
  <c r="U81" i="5"/>
  <c r="U78" i="5"/>
  <c r="V78" i="5"/>
  <c r="U77" i="5"/>
  <c r="V77" i="5"/>
  <c r="U71" i="5"/>
  <c r="V71" i="5"/>
  <c r="V58" i="5"/>
  <c r="U58" i="5"/>
  <c r="U65" i="5"/>
  <c r="V65" i="5"/>
  <c r="U51" i="5"/>
  <c r="V51" i="5"/>
  <c r="U23" i="5"/>
  <c r="V23" i="5"/>
  <c r="U54" i="5"/>
  <c r="V54" i="5"/>
  <c r="U49" i="5"/>
  <c r="V49" i="5"/>
  <c r="U40" i="5"/>
  <c r="V40" i="5"/>
  <c r="U45" i="5"/>
  <c r="V45" i="5"/>
  <c r="U31" i="5"/>
  <c r="V31" i="5"/>
  <c r="U21" i="5"/>
  <c r="V21" i="5"/>
  <c r="U29" i="5"/>
  <c r="V29" i="5"/>
  <c r="AR21" i="5"/>
  <c r="AQ21" i="5"/>
  <c r="AR31" i="5"/>
  <c r="AQ31" i="5"/>
  <c r="AR63" i="5"/>
  <c r="AQ63" i="5"/>
  <c r="AR52" i="5"/>
  <c r="AQ52" i="5"/>
  <c r="AQ90" i="5"/>
  <c r="AR90" i="5"/>
  <c r="AR88" i="5"/>
  <c r="AQ88" i="5"/>
  <c r="AR71" i="5"/>
  <c r="AQ71" i="5"/>
  <c r="AQ122" i="5"/>
  <c r="AR122" i="5"/>
  <c r="AQ138" i="5"/>
  <c r="AR138" i="5"/>
  <c r="AQ157" i="5"/>
  <c r="AR157" i="5"/>
  <c r="AR154" i="5"/>
  <c r="AQ154" i="5"/>
  <c r="AR215" i="5"/>
  <c r="AQ215" i="5"/>
  <c r="AQ209" i="5"/>
  <c r="AR209" i="5"/>
  <c r="AQ249" i="5"/>
  <c r="AR249" i="5"/>
  <c r="AQ255" i="5"/>
  <c r="AR255" i="5"/>
  <c r="AR295" i="5"/>
  <c r="AQ295" i="5"/>
  <c r="AQ312" i="5"/>
  <c r="AR312" i="5"/>
  <c r="AR246" i="5"/>
  <c r="AQ246" i="5"/>
  <c r="AQ271" i="5"/>
  <c r="AR271" i="5"/>
  <c r="AQ333" i="5"/>
  <c r="AR333" i="5"/>
  <c r="AQ409" i="5"/>
  <c r="AR409" i="5"/>
  <c r="AR353" i="5"/>
  <c r="AQ353" i="5"/>
  <c r="AQ390" i="5"/>
  <c r="AR390" i="5"/>
  <c r="AQ379" i="5"/>
  <c r="AR379" i="5"/>
  <c r="AQ450" i="5"/>
  <c r="AR450" i="5"/>
  <c r="AQ493" i="5"/>
  <c r="AR493" i="5"/>
  <c r="AR491" i="5"/>
  <c r="AQ491" i="5"/>
  <c r="AQ463" i="5"/>
  <c r="AR463" i="5"/>
  <c r="AQ482" i="5"/>
  <c r="AR482" i="5"/>
  <c r="AQ441" i="5"/>
  <c r="AR441" i="5"/>
  <c r="AQ484" i="5"/>
  <c r="AR484" i="5"/>
  <c r="AQ365" i="5"/>
  <c r="AR365" i="5"/>
  <c r="AQ432" i="5"/>
  <c r="AR432" i="5"/>
  <c r="AQ556" i="5"/>
  <c r="AR556" i="5"/>
  <c r="AQ446" i="5"/>
  <c r="AR446" i="5"/>
  <c r="AR42" i="5"/>
  <c r="AQ42" i="5"/>
  <c r="AR54" i="5"/>
  <c r="AQ54" i="5"/>
  <c r="AR66" i="5"/>
  <c r="AQ66" i="5"/>
  <c r="AQ93" i="5"/>
  <c r="AR93" i="5"/>
  <c r="AQ103" i="5"/>
  <c r="AR103" i="5"/>
  <c r="AQ91" i="5"/>
  <c r="AR91" i="5"/>
  <c r="AR89" i="5"/>
  <c r="AQ89" i="5"/>
  <c r="AR142" i="5"/>
  <c r="AQ142" i="5"/>
  <c r="AR135" i="5"/>
  <c r="AQ135" i="5"/>
  <c r="AQ131" i="5"/>
  <c r="AR131" i="5"/>
  <c r="AQ160" i="5"/>
  <c r="AR160" i="5"/>
  <c r="AQ176" i="5"/>
  <c r="AR176" i="5"/>
  <c r="AR211" i="5"/>
  <c r="AQ211" i="5"/>
  <c r="AQ221" i="5"/>
  <c r="AR221" i="5"/>
  <c r="AQ283" i="5"/>
  <c r="AR283" i="5"/>
  <c r="AQ314" i="5"/>
  <c r="AR314" i="5"/>
  <c r="AQ324" i="5"/>
  <c r="AR324" i="5"/>
  <c r="AR276" i="5"/>
  <c r="AQ276" i="5"/>
  <c r="AR286" i="5"/>
  <c r="AQ286" i="5"/>
  <c r="AR356" i="5"/>
  <c r="AQ356" i="5"/>
  <c r="AR284" i="5"/>
  <c r="AQ284" i="5"/>
  <c r="AQ397" i="5"/>
  <c r="AR397" i="5"/>
  <c r="AR262" i="5"/>
  <c r="AQ262" i="5"/>
  <c r="AR321" i="5"/>
  <c r="AQ321" i="5"/>
  <c r="AR396" i="5"/>
  <c r="AQ396" i="5"/>
  <c r="AR410" i="5"/>
  <c r="AQ410" i="5"/>
  <c r="AQ360" i="5"/>
  <c r="AR360" i="5"/>
  <c r="AR375" i="5"/>
  <c r="AQ375" i="5"/>
  <c r="AR275" i="5"/>
  <c r="AQ275" i="5"/>
  <c r="AR346" i="5"/>
  <c r="AQ346" i="5"/>
  <c r="AQ530" i="5"/>
  <c r="AR530" i="5"/>
  <c r="AR370" i="5"/>
  <c r="AQ370" i="5"/>
  <c r="AQ337" i="5"/>
  <c r="AR337" i="5"/>
  <c r="AQ459" i="5"/>
  <c r="AR459" i="5"/>
  <c r="AR377" i="5"/>
  <c r="AQ377" i="5"/>
  <c r="AQ558" i="5"/>
  <c r="AR558" i="5"/>
  <c r="AQ45" i="5"/>
  <c r="AR45" i="5"/>
  <c r="AQ70" i="5"/>
  <c r="AR70" i="5"/>
  <c r="AQ144" i="5"/>
  <c r="AR144" i="5"/>
  <c r="AQ166" i="5"/>
  <c r="AR166" i="5"/>
  <c r="AR306" i="5"/>
  <c r="AQ306" i="5"/>
  <c r="AQ364" i="5"/>
  <c r="AR364" i="5"/>
  <c r="AQ418" i="5"/>
  <c r="AR418" i="5"/>
  <c r="AQ499" i="5"/>
  <c r="AR499" i="5"/>
  <c r="AQ512" i="5"/>
  <c r="AR512" i="5"/>
  <c r="AR428" i="5"/>
  <c r="AQ428" i="5"/>
  <c r="AR542" i="5"/>
  <c r="AQ542" i="5"/>
  <c r="AR27" i="5"/>
  <c r="AQ27" i="5"/>
  <c r="AR86" i="5"/>
  <c r="AQ86" i="5"/>
  <c r="AR123" i="5"/>
  <c r="AQ123" i="5"/>
  <c r="AQ207" i="5"/>
  <c r="AR207" i="5"/>
  <c r="AQ203" i="5"/>
  <c r="AR203" i="5"/>
  <c r="AQ323" i="5"/>
  <c r="AR323" i="5"/>
  <c r="AQ502" i="5"/>
  <c r="AR502" i="5"/>
  <c r="AQ453" i="5"/>
  <c r="AR453" i="5"/>
  <c r="AQ358" i="5"/>
  <c r="AR358" i="5"/>
  <c r="U509" i="5"/>
  <c r="V509" i="5"/>
  <c r="U449" i="5"/>
  <c r="V449" i="5"/>
  <c r="U412" i="5"/>
  <c r="V412" i="5"/>
  <c r="V546" i="5"/>
  <c r="U546" i="5"/>
  <c r="V531" i="5"/>
  <c r="U531" i="5"/>
  <c r="U461" i="5"/>
  <c r="V461" i="5"/>
  <c r="U425" i="5"/>
  <c r="V425" i="5"/>
  <c r="U517" i="5"/>
  <c r="V517" i="5"/>
  <c r="U464" i="5"/>
  <c r="V464" i="5"/>
  <c r="U525" i="5"/>
  <c r="V525" i="5"/>
  <c r="V451" i="5"/>
  <c r="U451" i="5"/>
  <c r="U408" i="5"/>
  <c r="V408" i="5"/>
  <c r="U361" i="5"/>
  <c r="V361" i="5"/>
  <c r="V396" i="5"/>
  <c r="U396" i="5"/>
  <c r="V317" i="5"/>
  <c r="U317" i="5"/>
  <c r="U410" i="5"/>
  <c r="V410" i="5"/>
  <c r="U342" i="5"/>
  <c r="V342" i="5"/>
  <c r="U330" i="5"/>
  <c r="V330" i="5"/>
  <c r="U290" i="5"/>
  <c r="V290" i="5"/>
  <c r="U328" i="5"/>
  <c r="V328" i="5"/>
  <c r="V334" i="5"/>
  <c r="U334" i="5"/>
  <c r="V301" i="5"/>
  <c r="U301" i="5"/>
  <c r="U260" i="5"/>
  <c r="V260" i="5"/>
  <c r="V207" i="5"/>
  <c r="U207" i="5"/>
  <c r="V199" i="5"/>
  <c r="U199" i="5"/>
  <c r="V223" i="5"/>
  <c r="U223" i="5"/>
  <c r="U201" i="5"/>
  <c r="V201" i="5"/>
  <c r="V161" i="5"/>
  <c r="U161" i="5"/>
  <c r="U118" i="5"/>
  <c r="V118" i="5"/>
  <c r="U146" i="5"/>
  <c r="V146" i="5"/>
  <c r="U114" i="5"/>
  <c r="V114" i="5"/>
  <c r="U106" i="5"/>
  <c r="V106" i="5"/>
  <c r="V37" i="5"/>
  <c r="U37" i="5"/>
  <c r="U105" i="5"/>
  <c r="V105" i="5"/>
  <c r="V89" i="5"/>
  <c r="U89" i="5"/>
  <c r="U67" i="5"/>
  <c r="V67" i="5"/>
  <c r="U41" i="5"/>
  <c r="V41" i="5"/>
  <c r="U24" i="5"/>
  <c r="V24" i="5"/>
  <c r="AR525" i="5"/>
  <c r="AQ525" i="5"/>
  <c r="AQ544" i="5"/>
  <c r="AR544" i="5"/>
  <c r="AR43" i="5"/>
  <c r="AQ43" i="5"/>
  <c r="AQ126" i="5"/>
  <c r="AR126" i="5"/>
  <c r="AR173" i="5"/>
  <c r="AQ173" i="5"/>
  <c r="AQ191" i="5"/>
  <c r="AR191" i="5"/>
  <c r="AQ270" i="5"/>
  <c r="AR270" i="5"/>
  <c r="AQ374" i="5"/>
  <c r="AR374" i="5"/>
  <c r="AQ381" i="5"/>
  <c r="AR381" i="5"/>
  <c r="AR471" i="5"/>
  <c r="AQ471" i="5"/>
  <c r="AQ533" i="5"/>
  <c r="AR533" i="5"/>
  <c r="AR41" i="5"/>
  <c r="AQ41" i="5"/>
  <c r="AQ96" i="5"/>
  <c r="AR96" i="5"/>
  <c r="AR165" i="5"/>
  <c r="AQ165" i="5"/>
  <c r="AQ251" i="5"/>
  <c r="AR251" i="5"/>
  <c r="AQ237" i="5"/>
  <c r="AR237" i="5"/>
  <c r="AQ403" i="5"/>
  <c r="AR403" i="5"/>
  <c r="AQ494" i="5"/>
  <c r="AR494" i="5"/>
  <c r="AR553" i="5"/>
  <c r="AQ553" i="5"/>
  <c r="AQ521" i="5"/>
  <c r="AR521" i="5"/>
  <c r="AQ194" i="5"/>
  <c r="AR194" i="5"/>
  <c r="AQ274" i="5"/>
  <c r="AR274" i="5"/>
  <c r="AR319" i="5"/>
  <c r="AQ319" i="5"/>
  <c r="AQ267" i="5"/>
  <c r="AR267" i="5"/>
  <c r="AQ488" i="5"/>
  <c r="AR488" i="5"/>
  <c r="AQ452" i="5"/>
  <c r="AR452" i="5"/>
  <c r="AR552" i="5"/>
  <c r="AQ552" i="5"/>
  <c r="AR449" i="5"/>
  <c r="AQ449" i="5"/>
  <c r="AQ33" i="5"/>
  <c r="AR33" i="5"/>
  <c r="AQ60" i="5"/>
  <c r="AR60" i="5"/>
  <c r="AR114" i="5"/>
  <c r="AQ114" i="5"/>
  <c r="AR152" i="5"/>
  <c r="AQ152" i="5"/>
  <c r="AR197" i="5"/>
  <c r="AQ197" i="5"/>
  <c r="AQ213" i="5"/>
  <c r="AR213" i="5"/>
  <c r="AR196" i="5"/>
  <c r="AQ196" i="5"/>
  <c r="AR268" i="5"/>
  <c r="AQ268" i="5"/>
  <c r="AR317" i="5"/>
  <c r="AQ317" i="5"/>
  <c r="AR334" i="5"/>
  <c r="AQ334" i="5"/>
  <c r="AQ490" i="5"/>
  <c r="AR490" i="5"/>
  <c r="U19" i="5"/>
  <c r="V19" i="5"/>
  <c r="V559" i="5"/>
  <c r="U559" i="5"/>
  <c r="V552" i="5"/>
  <c r="U552" i="5"/>
  <c r="U406" i="5"/>
  <c r="V406" i="5"/>
  <c r="U465" i="5"/>
  <c r="V465" i="5"/>
  <c r="U493" i="5"/>
  <c r="V493" i="5"/>
  <c r="U457" i="5"/>
  <c r="V457" i="5"/>
  <c r="V368" i="5"/>
  <c r="U368" i="5"/>
  <c r="U501" i="5"/>
  <c r="V501" i="5"/>
  <c r="U462" i="5"/>
  <c r="V462" i="5"/>
  <c r="V537" i="5"/>
  <c r="U537" i="5"/>
  <c r="U466" i="5"/>
  <c r="V466" i="5"/>
  <c r="V355" i="5"/>
  <c r="U355" i="5"/>
  <c r="AR127" i="5"/>
  <c r="AQ127" i="5"/>
  <c r="AR58" i="5"/>
  <c r="AQ58" i="5"/>
  <c r="AR82" i="5"/>
  <c r="AQ82" i="5"/>
  <c r="AR140" i="5"/>
  <c r="AQ140" i="5"/>
  <c r="AQ223" i="5"/>
  <c r="AR223" i="5"/>
  <c r="AQ260" i="5"/>
  <c r="AR260" i="5"/>
  <c r="AR219" i="5"/>
  <c r="AQ219" i="5"/>
  <c r="AQ304" i="5"/>
  <c r="AR304" i="5"/>
  <c r="AQ359" i="5"/>
  <c r="AR359" i="5"/>
  <c r="AQ372" i="5"/>
  <c r="AR372" i="5"/>
  <c r="AQ466" i="5"/>
  <c r="AR466" i="5"/>
  <c r="AQ464" i="5"/>
  <c r="AR464" i="5"/>
  <c r="AQ498" i="5"/>
  <c r="AR498" i="5"/>
  <c r="AR547" i="5"/>
  <c r="AQ547" i="5"/>
  <c r="AR523" i="5"/>
  <c r="AQ523" i="5"/>
  <c r="AR108" i="5"/>
  <c r="AQ108" i="5"/>
  <c r="AQ171" i="5"/>
  <c r="AR171" i="5"/>
  <c r="AR227" i="5"/>
  <c r="AQ227" i="5"/>
  <c r="AR277" i="5"/>
  <c r="AQ277" i="5"/>
  <c r="AR292" i="5"/>
  <c r="AQ292" i="5"/>
  <c r="AQ180" i="5"/>
  <c r="AR180" i="5"/>
  <c r="AR352" i="5"/>
  <c r="AQ352" i="5"/>
  <c r="AR331" i="5"/>
  <c r="AQ331" i="5"/>
  <c r="AR456" i="5"/>
  <c r="AQ456" i="5"/>
  <c r="AQ272" i="5"/>
  <c r="AR272" i="5"/>
  <c r="AQ504" i="5"/>
  <c r="AR504" i="5"/>
  <c r="AR559" i="5"/>
  <c r="AQ559" i="5"/>
  <c r="AQ416" i="5"/>
  <c r="AR416" i="5"/>
  <c r="AQ509" i="5"/>
  <c r="AR509" i="5"/>
  <c r="AR555" i="5"/>
  <c r="AQ555" i="5"/>
  <c r="AQ467" i="5"/>
  <c r="AR467" i="5"/>
  <c r="AQ500" i="5"/>
  <c r="AR500" i="5"/>
  <c r="AQ534" i="5"/>
  <c r="AR534" i="5"/>
  <c r="V523" i="5"/>
  <c r="U523" i="5"/>
  <c r="U488" i="5"/>
  <c r="V488" i="5"/>
  <c r="U445" i="5"/>
  <c r="V445" i="5"/>
  <c r="V558" i="5"/>
  <c r="U558" i="5"/>
  <c r="U530" i="5"/>
  <c r="V530" i="5"/>
  <c r="U419" i="5"/>
  <c r="V419" i="5"/>
  <c r="V551" i="5"/>
  <c r="U551" i="5"/>
  <c r="U518" i="5"/>
  <c r="V518" i="5"/>
  <c r="U450" i="5"/>
  <c r="V450" i="5"/>
  <c r="U394" i="5"/>
  <c r="V394" i="5"/>
  <c r="V550" i="5"/>
  <c r="U550" i="5"/>
  <c r="V542" i="5"/>
  <c r="U542" i="5"/>
  <c r="U534" i="5"/>
  <c r="V534" i="5"/>
  <c r="U444" i="5"/>
  <c r="V444" i="5"/>
  <c r="V338" i="5"/>
  <c r="U338" i="5"/>
  <c r="V556" i="5"/>
  <c r="U556" i="5"/>
  <c r="U510" i="5"/>
  <c r="V510" i="5"/>
  <c r="U492" i="5"/>
  <c r="V492" i="5"/>
  <c r="U482" i="5"/>
  <c r="V482" i="5"/>
  <c r="U467" i="5"/>
  <c r="V467" i="5"/>
  <c r="U455" i="5"/>
  <c r="V455" i="5"/>
  <c r="V435" i="5"/>
  <c r="U435" i="5"/>
  <c r="V416" i="5"/>
  <c r="U416" i="5"/>
  <c r="U395" i="5"/>
  <c r="V395" i="5"/>
  <c r="U360" i="5"/>
  <c r="V360" i="5"/>
  <c r="U521" i="5"/>
  <c r="V521" i="5"/>
  <c r="U511" i="5"/>
  <c r="V511" i="5"/>
  <c r="U500" i="5"/>
  <c r="V500" i="5"/>
  <c r="V483" i="5"/>
  <c r="U483" i="5"/>
  <c r="V471" i="5"/>
  <c r="U471" i="5"/>
  <c r="U459" i="5"/>
  <c r="V459" i="5"/>
  <c r="U442" i="5"/>
  <c r="V442" i="5"/>
  <c r="U351" i="5"/>
  <c r="V351" i="5"/>
  <c r="U533" i="5"/>
  <c r="V533" i="5"/>
  <c r="V515" i="5"/>
  <c r="U515" i="5"/>
  <c r="U505" i="5"/>
  <c r="V505" i="5"/>
  <c r="V481" i="5"/>
  <c r="U481" i="5"/>
  <c r="U460" i="5"/>
  <c r="V460" i="5"/>
  <c r="U447" i="5"/>
  <c r="V447" i="5"/>
  <c r="U430" i="5"/>
  <c r="V430" i="5"/>
  <c r="U357" i="5"/>
  <c r="V357" i="5"/>
  <c r="U414" i="5"/>
  <c r="V414" i="5"/>
  <c r="U402" i="5"/>
  <c r="V402" i="5"/>
  <c r="V383" i="5"/>
  <c r="U383" i="5"/>
  <c r="U365" i="5"/>
  <c r="V365" i="5"/>
  <c r="U353" i="5"/>
  <c r="V353" i="5"/>
  <c r="U319" i="5"/>
  <c r="V319" i="5"/>
  <c r="U228" i="5"/>
  <c r="V228" i="5"/>
  <c r="U409" i="5"/>
  <c r="V409" i="5"/>
  <c r="V389" i="5"/>
  <c r="U389" i="5"/>
  <c r="V376" i="5"/>
  <c r="U376" i="5"/>
  <c r="U369" i="5"/>
  <c r="V369" i="5"/>
  <c r="U247" i="5"/>
  <c r="V247" i="5"/>
  <c r="U433" i="5"/>
  <c r="V433" i="5"/>
  <c r="U420" i="5"/>
  <c r="V420" i="5"/>
  <c r="U403" i="5"/>
  <c r="V403" i="5"/>
  <c r="U387" i="5"/>
  <c r="V387" i="5"/>
  <c r="U366" i="5"/>
  <c r="V366" i="5"/>
  <c r="U350" i="5"/>
  <c r="V350" i="5"/>
  <c r="V329" i="5"/>
  <c r="U329" i="5"/>
  <c r="U286" i="5"/>
  <c r="V286" i="5"/>
  <c r="U262" i="5"/>
  <c r="V262" i="5"/>
  <c r="V343" i="5"/>
  <c r="U343" i="5"/>
  <c r="V321" i="5"/>
  <c r="U321" i="5"/>
  <c r="V305" i="5"/>
  <c r="U305" i="5"/>
  <c r="V296" i="5"/>
  <c r="U296" i="5"/>
  <c r="V281" i="5"/>
  <c r="U281" i="5"/>
  <c r="U264" i="5"/>
  <c r="V264" i="5"/>
  <c r="U253" i="5"/>
  <c r="V253" i="5"/>
  <c r="U160" i="5"/>
  <c r="V160" i="5"/>
  <c r="U323" i="5"/>
  <c r="V323" i="5"/>
  <c r="U302" i="5"/>
  <c r="V302" i="5"/>
  <c r="V288" i="5"/>
  <c r="U288" i="5"/>
  <c r="U258" i="5"/>
  <c r="V258" i="5"/>
  <c r="U237" i="5"/>
  <c r="V237" i="5"/>
  <c r="V327" i="5"/>
  <c r="U327" i="5"/>
  <c r="V308" i="5"/>
  <c r="U308" i="5"/>
  <c r="V289" i="5"/>
  <c r="U289" i="5"/>
  <c r="U277" i="5"/>
  <c r="V277" i="5"/>
  <c r="U265" i="5"/>
  <c r="V265" i="5"/>
  <c r="U255" i="5"/>
  <c r="V255" i="5"/>
  <c r="U248" i="5"/>
  <c r="V248" i="5"/>
  <c r="U240" i="5"/>
  <c r="V240" i="5"/>
  <c r="U230" i="5"/>
  <c r="V230" i="5"/>
  <c r="U213" i="5"/>
  <c r="V213" i="5"/>
  <c r="U191" i="5"/>
  <c r="V191" i="5"/>
  <c r="V157" i="5"/>
  <c r="U157" i="5"/>
  <c r="U232" i="5"/>
  <c r="V232" i="5"/>
  <c r="U216" i="5"/>
  <c r="V216" i="5"/>
  <c r="U166" i="5"/>
  <c r="V166" i="5"/>
  <c r="U120" i="5"/>
  <c r="V120" i="5"/>
  <c r="V227" i="5"/>
  <c r="U227" i="5"/>
  <c r="U218" i="5"/>
  <c r="V218" i="5"/>
  <c r="U208" i="5"/>
  <c r="V208" i="5"/>
  <c r="U200" i="5"/>
  <c r="V200" i="5"/>
  <c r="U206" i="5"/>
  <c r="V206" i="5"/>
  <c r="U197" i="5"/>
  <c r="V197" i="5"/>
  <c r="V186" i="5"/>
  <c r="U186" i="5"/>
  <c r="V175" i="5"/>
  <c r="U175" i="5"/>
  <c r="U154" i="5"/>
  <c r="V154" i="5"/>
  <c r="U182" i="5"/>
  <c r="V182" i="5"/>
  <c r="U140" i="5"/>
  <c r="V140" i="5"/>
  <c r="V86" i="5"/>
  <c r="U86" i="5"/>
  <c r="V177" i="5"/>
  <c r="U177" i="5"/>
  <c r="V165" i="5"/>
  <c r="U165" i="5"/>
  <c r="U125" i="5"/>
  <c r="V125" i="5"/>
  <c r="V143" i="5"/>
  <c r="U143" i="5"/>
  <c r="U119" i="5"/>
  <c r="V119" i="5"/>
  <c r="U75" i="5"/>
  <c r="V75" i="5"/>
  <c r="U142" i="5"/>
  <c r="V142" i="5"/>
  <c r="U124" i="5"/>
  <c r="V124" i="5"/>
  <c r="V112" i="5"/>
  <c r="U112" i="5"/>
  <c r="U99" i="5"/>
  <c r="V99" i="5"/>
  <c r="U141" i="5"/>
  <c r="V141" i="5"/>
  <c r="V127" i="5"/>
  <c r="U127" i="5"/>
  <c r="U93" i="5"/>
  <c r="V93" i="5"/>
  <c r="U108" i="5"/>
  <c r="V108" i="5"/>
  <c r="U88" i="5"/>
  <c r="V88" i="5"/>
  <c r="U60" i="5"/>
  <c r="V60" i="5"/>
  <c r="U95" i="5"/>
  <c r="V95" i="5"/>
  <c r="U96" i="5"/>
  <c r="V96" i="5"/>
  <c r="U25" i="5"/>
  <c r="V25" i="5"/>
  <c r="V73" i="5"/>
  <c r="U73" i="5"/>
  <c r="U74" i="5"/>
  <c r="V74" i="5"/>
  <c r="U68" i="5"/>
  <c r="V68" i="5"/>
  <c r="V55" i="5"/>
  <c r="U55" i="5"/>
  <c r="U62" i="5"/>
  <c r="V62" i="5"/>
  <c r="U50" i="5"/>
  <c r="V50" i="5"/>
  <c r="U20" i="5"/>
  <c r="V20" i="5"/>
  <c r="U53" i="5"/>
  <c r="V53" i="5"/>
  <c r="U48" i="5"/>
  <c r="V48" i="5"/>
  <c r="U36" i="5"/>
  <c r="V36" i="5"/>
  <c r="U42" i="5"/>
  <c r="V42" i="5"/>
  <c r="V27" i="5"/>
  <c r="U27" i="5"/>
  <c r="U46" i="5"/>
  <c r="V46" i="5"/>
  <c r="V28" i="5"/>
  <c r="U28" i="5"/>
  <c r="AQ241" i="5"/>
  <c r="AR241" i="5"/>
  <c r="AR483" i="5"/>
  <c r="AQ483" i="5"/>
  <c r="AR536" i="5"/>
  <c r="AQ536" i="5"/>
  <c r="AR39" i="5"/>
  <c r="AQ39" i="5"/>
  <c r="AQ53" i="5"/>
  <c r="AR53" i="5"/>
  <c r="AQ20" i="5"/>
  <c r="AR20" i="5"/>
  <c r="AR22" i="5"/>
  <c r="AQ22" i="5"/>
  <c r="AR77" i="5"/>
  <c r="AQ77" i="5"/>
  <c r="AQ75" i="5"/>
  <c r="AR75" i="5"/>
  <c r="AQ136" i="5"/>
  <c r="AR136" i="5"/>
  <c r="AR129" i="5"/>
  <c r="AQ129" i="5"/>
  <c r="AR150" i="5"/>
  <c r="AQ150" i="5"/>
  <c r="AR111" i="5"/>
  <c r="AQ111" i="5"/>
  <c r="AR198" i="5"/>
  <c r="AQ198" i="5"/>
  <c r="AR248" i="5"/>
  <c r="AQ248" i="5"/>
  <c r="AQ238" i="5"/>
  <c r="AR238" i="5"/>
  <c r="AQ280" i="5"/>
  <c r="AR280" i="5"/>
  <c r="AQ297" i="5"/>
  <c r="AR297" i="5"/>
  <c r="AQ311" i="5"/>
  <c r="AR311" i="5"/>
  <c r="AR259" i="5"/>
  <c r="AQ259" i="5"/>
  <c r="AR335" i="5"/>
  <c r="AQ335" i="5"/>
  <c r="AQ231" i="5"/>
  <c r="AR231" i="5"/>
  <c r="AR330" i="5"/>
  <c r="AQ330" i="5"/>
  <c r="AQ401" i="5"/>
  <c r="AR401" i="5"/>
  <c r="AR420" i="5"/>
  <c r="AQ420" i="5"/>
  <c r="AR298" i="5"/>
  <c r="AQ298" i="5"/>
  <c r="AQ393" i="5"/>
  <c r="AR393" i="5"/>
  <c r="AQ339" i="5"/>
  <c r="AR339" i="5"/>
  <c r="AQ344" i="5"/>
  <c r="AR344" i="5"/>
  <c r="AR508" i="5"/>
  <c r="AQ508" i="5"/>
  <c r="AQ442" i="5"/>
  <c r="AR442" i="5"/>
  <c r="AQ475" i="5"/>
  <c r="AR475" i="5"/>
  <c r="AQ457" i="5"/>
  <c r="AR457" i="5"/>
  <c r="AQ505" i="5"/>
  <c r="AR505" i="5"/>
  <c r="AR524" i="5"/>
  <c r="AQ524" i="5"/>
  <c r="AQ204" i="5"/>
  <c r="AR204" i="5"/>
  <c r="AQ541" i="5"/>
  <c r="AR541" i="5"/>
  <c r="AR532" i="5"/>
  <c r="AQ532" i="5"/>
  <c r="AQ119" i="5"/>
  <c r="AR119" i="5"/>
  <c r="AQ29" i="5"/>
  <c r="AR29" i="5"/>
  <c r="AR24" i="5"/>
  <c r="AQ24" i="5"/>
  <c r="AR25" i="5"/>
  <c r="AQ25" i="5"/>
  <c r="AR78" i="5"/>
  <c r="AQ78" i="5"/>
  <c r="AQ79" i="5"/>
  <c r="AR79" i="5"/>
  <c r="AR141" i="5"/>
  <c r="AQ141" i="5"/>
  <c r="AQ118" i="5"/>
  <c r="AR118" i="5"/>
  <c r="AR110" i="5"/>
  <c r="AQ110" i="5"/>
  <c r="AR187" i="5"/>
  <c r="AQ187" i="5"/>
  <c r="AQ199" i="5"/>
  <c r="AR199" i="5"/>
  <c r="AR164" i="5"/>
  <c r="AQ164" i="5"/>
  <c r="AQ195" i="5"/>
  <c r="AR195" i="5"/>
  <c r="AQ233" i="5"/>
  <c r="AR233" i="5"/>
  <c r="AR250" i="5"/>
  <c r="AQ250" i="5"/>
  <c r="AQ316" i="5"/>
  <c r="AR316" i="5"/>
  <c r="AQ328" i="5"/>
  <c r="AR328" i="5"/>
  <c r="AR281" i="5"/>
  <c r="AQ281" i="5"/>
  <c r="AQ345" i="5"/>
  <c r="AR345" i="5"/>
  <c r="AQ378" i="5"/>
  <c r="AR378" i="5"/>
  <c r="AQ438" i="5"/>
  <c r="AR438" i="5"/>
  <c r="AQ451" i="5"/>
  <c r="AR451" i="5"/>
  <c r="AR496" i="5"/>
  <c r="AQ496" i="5"/>
  <c r="AQ439" i="5"/>
  <c r="AR439" i="5"/>
  <c r="AR507" i="5"/>
  <c r="AQ507" i="5"/>
  <c r="AR44" i="5"/>
  <c r="AQ44" i="5"/>
  <c r="AR26" i="5"/>
  <c r="AQ26" i="5"/>
  <c r="AQ94" i="5"/>
  <c r="AR94" i="5"/>
  <c r="AR143" i="5"/>
  <c r="AQ143" i="5"/>
  <c r="AR112" i="5"/>
  <c r="AQ112" i="5"/>
  <c r="AR214" i="5"/>
  <c r="AQ214" i="5"/>
  <c r="AR315" i="5"/>
  <c r="AQ315" i="5"/>
  <c r="AQ285" i="5"/>
  <c r="AR285" i="5"/>
  <c r="AQ326" i="5"/>
  <c r="AR326" i="5"/>
  <c r="AR350" i="5"/>
  <c r="AQ350" i="5"/>
  <c r="AR443" i="5"/>
  <c r="AQ443" i="5"/>
  <c r="AR485" i="5"/>
  <c r="AQ485" i="5"/>
  <c r="AR476" i="5"/>
  <c r="AQ476" i="5"/>
  <c r="AR389" i="5"/>
  <c r="AQ389" i="5"/>
  <c r="AQ529" i="5"/>
  <c r="AR529" i="5"/>
  <c r="AQ279" i="5"/>
  <c r="AR279" i="5"/>
  <c r="AR545" i="5"/>
  <c r="AQ545" i="5"/>
  <c r="AQ32" i="5"/>
  <c r="AR32" i="5"/>
  <c r="AR68" i="5"/>
  <c r="AQ68" i="5"/>
  <c r="AR107" i="5"/>
  <c r="AQ107" i="5"/>
  <c r="AQ106" i="5"/>
  <c r="AR106" i="5"/>
  <c r="AR125" i="5"/>
  <c r="AQ125" i="5"/>
  <c r="AQ206" i="5"/>
  <c r="AR206" i="5"/>
  <c r="AQ263" i="5"/>
  <c r="AR263" i="5"/>
  <c r="AR253" i="5"/>
  <c r="AQ253" i="5"/>
  <c r="AR411" i="5"/>
  <c r="AQ411" i="5"/>
  <c r="AR427" i="5"/>
  <c r="AQ427" i="5"/>
  <c r="AQ408" i="5"/>
  <c r="AR408" i="5"/>
  <c r="AQ468" i="5"/>
  <c r="AR468" i="5"/>
  <c r="AQ537" i="5"/>
  <c r="AR537" i="5"/>
  <c r="V476" i="5"/>
  <c r="U476" i="5"/>
  <c r="U397" i="5"/>
  <c r="V397" i="5"/>
  <c r="V553" i="5"/>
  <c r="U553" i="5"/>
  <c r="U527" i="5"/>
  <c r="V527" i="5"/>
  <c r="V541" i="5"/>
  <c r="U541" i="5"/>
  <c r="U484" i="5"/>
  <c r="V484" i="5"/>
  <c r="U346" i="5"/>
  <c r="V346" i="5"/>
  <c r="U495" i="5"/>
  <c r="V495" i="5"/>
  <c r="V487" i="5"/>
  <c r="U487" i="5"/>
  <c r="U446" i="5"/>
  <c r="V446" i="5"/>
  <c r="V374" i="5"/>
  <c r="U374" i="5"/>
  <c r="U333" i="5"/>
  <c r="V333" i="5"/>
  <c r="U496" i="5"/>
  <c r="V496" i="5"/>
  <c r="U475" i="5"/>
  <c r="V475" i="5"/>
  <c r="U431" i="5"/>
  <c r="V431" i="5"/>
  <c r="U508" i="5"/>
  <c r="V508" i="5"/>
  <c r="V494" i="5"/>
  <c r="U494" i="5"/>
  <c r="V441" i="5"/>
  <c r="U441" i="5"/>
  <c r="U384" i="5"/>
  <c r="V384" i="5"/>
  <c r="U392" i="5"/>
  <c r="V392" i="5"/>
  <c r="V340" i="5"/>
  <c r="U340" i="5"/>
  <c r="U275" i="5"/>
  <c r="V275" i="5"/>
  <c r="U385" i="5"/>
  <c r="V385" i="5"/>
  <c r="U372" i="5"/>
  <c r="V372" i="5"/>
  <c r="U424" i="5"/>
  <c r="V424" i="5"/>
  <c r="V378" i="5"/>
  <c r="U378" i="5"/>
  <c r="V362" i="5"/>
  <c r="U362" i="5"/>
  <c r="U280" i="5"/>
  <c r="V280" i="5"/>
  <c r="U354" i="5"/>
  <c r="V354" i="5"/>
  <c r="V300" i="5"/>
  <c r="U300" i="5"/>
  <c r="U259" i="5"/>
  <c r="V259" i="5"/>
  <c r="U231" i="5"/>
  <c r="V231" i="5"/>
  <c r="V292" i="5"/>
  <c r="U292" i="5"/>
  <c r="U276" i="5"/>
  <c r="V276" i="5"/>
  <c r="V318" i="5"/>
  <c r="U318" i="5"/>
  <c r="V273" i="5"/>
  <c r="U273" i="5"/>
  <c r="U176" i="5"/>
  <c r="V176" i="5"/>
  <c r="U235" i="5"/>
  <c r="V235" i="5"/>
  <c r="V174" i="5"/>
  <c r="U174" i="5"/>
  <c r="U242" i="5"/>
  <c r="V242" i="5"/>
  <c r="U150" i="5"/>
  <c r="V150" i="5"/>
  <c r="U211" i="5"/>
  <c r="V211" i="5"/>
  <c r="U203" i="5"/>
  <c r="V203" i="5"/>
  <c r="U190" i="5"/>
  <c r="V190" i="5"/>
  <c r="U79" i="5"/>
  <c r="V79" i="5"/>
  <c r="V181" i="5"/>
  <c r="U181" i="5"/>
  <c r="V171" i="5"/>
  <c r="U171" i="5"/>
  <c r="U130" i="5"/>
  <c r="V130" i="5"/>
  <c r="U131" i="5"/>
  <c r="V131" i="5"/>
  <c r="U117" i="5"/>
  <c r="V117" i="5"/>
  <c r="U136" i="5"/>
  <c r="V136" i="5"/>
  <c r="U121" i="5"/>
  <c r="V121" i="5"/>
  <c r="U83" i="5"/>
  <c r="V83" i="5"/>
  <c r="U82" i="5"/>
  <c r="V82" i="5"/>
  <c r="U76" i="5"/>
  <c r="V76" i="5"/>
  <c r="V63" i="5"/>
  <c r="U63" i="5"/>
  <c r="U30" i="5"/>
  <c r="V30" i="5"/>
  <c r="U64" i="5"/>
  <c r="V64" i="5"/>
  <c r="U22" i="5"/>
  <c r="V22" i="5"/>
  <c r="V38" i="5"/>
  <c r="U38" i="5"/>
  <c r="AQ492" i="5"/>
  <c r="AR492" i="5"/>
  <c r="AQ444" i="5"/>
  <c r="AR444" i="5"/>
  <c r="AR87" i="5"/>
  <c r="AQ87" i="5"/>
  <c r="AR115" i="5"/>
  <c r="AQ115" i="5"/>
  <c r="AR109" i="5"/>
  <c r="AQ109" i="5"/>
  <c r="AR172" i="5"/>
  <c r="AQ172" i="5"/>
  <c r="AR234" i="5"/>
  <c r="AQ234" i="5"/>
  <c r="AR265" i="5"/>
  <c r="AQ265" i="5"/>
  <c r="AR327" i="5"/>
  <c r="AQ327" i="5"/>
  <c r="AR307" i="5"/>
  <c r="AQ307" i="5"/>
  <c r="AQ394" i="5"/>
  <c r="AR394" i="5"/>
  <c r="AQ367" i="5"/>
  <c r="AR367" i="5"/>
  <c r="AQ414" i="5"/>
  <c r="AR414" i="5"/>
  <c r="AR302" i="5"/>
  <c r="AQ302" i="5"/>
  <c r="AR551" i="5"/>
  <c r="AQ551" i="5"/>
  <c r="AR413" i="5"/>
  <c r="AQ413" i="5"/>
  <c r="AR38" i="5"/>
  <c r="AQ38" i="5"/>
  <c r="AQ23" i="5"/>
  <c r="AR23" i="5"/>
  <c r="AQ69" i="5"/>
  <c r="AR69" i="5"/>
  <c r="AR153" i="5"/>
  <c r="AQ153" i="5"/>
  <c r="AQ175" i="5"/>
  <c r="AR175" i="5"/>
  <c r="AR229" i="5"/>
  <c r="AQ229" i="5"/>
  <c r="AR301" i="5"/>
  <c r="AQ301" i="5"/>
  <c r="AQ313" i="5"/>
  <c r="AR313" i="5"/>
  <c r="AQ341" i="5"/>
  <c r="AR341" i="5"/>
  <c r="AR487" i="5"/>
  <c r="AQ487" i="5"/>
  <c r="AQ516" i="5"/>
  <c r="AR516" i="5"/>
  <c r="AQ380" i="5"/>
  <c r="AR380" i="5"/>
  <c r="AR426" i="5"/>
  <c r="AQ426" i="5"/>
  <c r="AQ81" i="5"/>
  <c r="AR81" i="5"/>
  <c r="AQ146" i="5"/>
  <c r="AR146" i="5"/>
  <c r="AR184" i="5"/>
  <c r="AQ184" i="5"/>
  <c r="AQ201" i="5"/>
  <c r="AR201" i="5"/>
  <c r="AR235" i="5"/>
  <c r="AQ235" i="5"/>
  <c r="AQ258" i="5"/>
  <c r="AR258" i="5"/>
  <c r="AQ290" i="5"/>
  <c r="AR290" i="5"/>
  <c r="AQ398" i="5"/>
  <c r="AR398" i="5"/>
  <c r="AQ383" i="5"/>
  <c r="AR383" i="5"/>
  <c r="AQ384" i="5"/>
  <c r="AR384" i="5"/>
  <c r="AR363" i="5"/>
  <c r="AQ363" i="5"/>
  <c r="AQ557" i="5"/>
  <c r="AR557" i="5"/>
  <c r="AQ535" i="5"/>
  <c r="AR535" i="5"/>
  <c r="AR527" i="5"/>
  <c r="AQ527" i="5"/>
  <c r="AR193" i="5"/>
  <c r="AQ193" i="5"/>
  <c r="AQ473" i="5"/>
  <c r="AR473" i="5"/>
  <c r="AR40" i="5"/>
  <c r="AQ40" i="5"/>
  <c r="AQ73" i="5"/>
  <c r="AR73" i="5"/>
  <c r="AR98" i="5"/>
  <c r="AQ98" i="5"/>
  <c r="AR151" i="5"/>
  <c r="AQ151" i="5"/>
  <c r="AQ95" i="5"/>
  <c r="AR95" i="5"/>
  <c r="AR247" i="5"/>
  <c r="AQ247" i="5"/>
  <c r="AQ228" i="5"/>
  <c r="AR228" i="5"/>
  <c r="AR303" i="5"/>
  <c r="AQ303" i="5"/>
  <c r="AQ415" i="5"/>
  <c r="AR415" i="5"/>
  <c r="AQ407" i="5"/>
  <c r="AR407" i="5"/>
  <c r="AR385" i="5"/>
  <c r="AQ385" i="5"/>
  <c r="AQ489" i="5"/>
  <c r="AR489" i="5"/>
  <c r="AQ472" i="5"/>
  <c r="AR472" i="5"/>
  <c r="AQ440" i="5"/>
  <c r="AR440" i="5"/>
  <c r="U502" i="5"/>
  <c r="V502" i="5"/>
  <c r="V535" i="5"/>
  <c r="U535" i="5"/>
  <c r="U440" i="5"/>
  <c r="V440" i="5"/>
  <c r="U490" i="5"/>
  <c r="V490" i="5"/>
  <c r="V554" i="5"/>
  <c r="U554" i="5"/>
  <c r="U536" i="5"/>
  <c r="V536" i="5"/>
  <c r="V557" i="5"/>
  <c r="U557" i="5"/>
  <c r="U526" i="5"/>
  <c r="V526" i="5"/>
  <c r="U470" i="5"/>
  <c r="V470" i="5"/>
  <c r="U439" i="5"/>
  <c r="V439" i="5"/>
  <c r="U398" i="5"/>
  <c r="V398" i="5"/>
  <c r="U512" i="5"/>
  <c r="V512" i="5"/>
  <c r="U485" i="5"/>
  <c r="V485" i="5"/>
  <c r="U453" i="5"/>
  <c r="V453" i="5"/>
  <c r="U516" i="5"/>
  <c r="V516" i="5"/>
  <c r="V507" i="5"/>
  <c r="U507" i="5"/>
  <c r="U448" i="5"/>
  <c r="V448" i="5"/>
  <c r="V373" i="5"/>
  <c r="U373" i="5"/>
  <c r="AQ67" i="5"/>
  <c r="AR67" i="5"/>
  <c r="AR72" i="5"/>
  <c r="AQ72" i="5"/>
  <c r="AQ105" i="5"/>
  <c r="AR105" i="5"/>
  <c r="AQ148" i="5"/>
  <c r="AR148" i="5"/>
  <c r="AQ169" i="5"/>
  <c r="AR169" i="5"/>
  <c r="AR185" i="5"/>
  <c r="AQ185" i="5"/>
  <c r="AQ216" i="5"/>
  <c r="AR216" i="5"/>
  <c r="AQ222" i="5"/>
  <c r="AR222" i="5"/>
  <c r="AR287" i="5"/>
  <c r="AQ287" i="5"/>
  <c r="AQ332" i="5"/>
  <c r="AR332" i="5"/>
  <c r="AQ278" i="5"/>
  <c r="AR278" i="5"/>
  <c r="AQ289" i="5"/>
  <c r="AR289" i="5"/>
  <c r="AQ348" i="5"/>
  <c r="AR348" i="5"/>
  <c r="AQ382" i="5"/>
  <c r="AR382" i="5"/>
  <c r="AR387" i="5"/>
  <c r="AQ387" i="5"/>
  <c r="AQ305" i="5"/>
  <c r="AR305" i="5"/>
  <c r="AQ513" i="5"/>
  <c r="AR513" i="5"/>
  <c r="AQ517" i="5"/>
  <c r="AR517" i="5"/>
  <c r="AR477" i="5"/>
  <c r="AQ477" i="5"/>
  <c r="AQ549" i="5"/>
  <c r="AR549" i="5"/>
  <c r="AQ519" i="5"/>
  <c r="AR519" i="5"/>
  <c r="AQ470" i="5"/>
  <c r="AR470" i="5"/>
  <c r="AR128" i="5"/>
  <c r="AQ128" i="5"/>
  <c r="AR548" i="5"/>
  <c r="AQ548" i="5"/>
  <c r="AQ343" i="5"/>
  <c r="AR343" i="5"/>
  <c r="AR61" i="5"/>
  <c r="AQ61" i="5"/>
  <c r="AQ74" i="5"/>
  <c r="AR74" i="5"/>
  <c r="AQ124" i="5"/>
  <c r="AR124" i="5"/>
  <c r="AQ137" i="5"/>
  <c r="AR137" i="5"/>
  <c r="AQ170" i="5"/>
  <c r="AR170" i="5"/>
  <c r="AR186" i="5"/>
  <c r="AQ186" i="5"/>
  <c r="AR242" i="5"/>
  <c r="AQ242" i="5"/>
  <c r="AQ236" i="5"/>
  <c r="AR236" i="5"/>
  <c r="AQ293" i="5"/>
  <c r="AR293" i="5"/>
  <c r="AQ325" i="5"/>
  <c r="AR325" i="5"/>
  <c r="AQ310" i="5"/>
  <c r="AR310" i="5"/>
  <c r="AQ400" i="5"/>
  <c r="AR400" i="5"/>
  <c r="AQ329" i="5"/>
  <c r="AR329" i="5"/>
  <c r="AR168" i="5"/>
  <c r="AQ168" i="5"/>
  <c r="AQ445" i="5"/>
  <c r="AR445" i="5"/>
  <c r="AR514" i="5"/>
  <c r="AQ514" i="5"/>
  <c r="AR30" i="5"/>
  <c r="AQ30" i="5"/>
  <c r="AR28" i="5"/>
  <c r="AQ28" i="5"/>
  <c r="AQ36" i="5"/>
  <c r="AR36" i="5"/>
  <c r="AR48" i="5"/>
  <c r="AQ48" i="5"/>
  <c r="AR56" i="5"/>
  <c r="AQ56" i="5"/>
  <c r="AQ97" i="5"/>
  <c r="AR97" i="5"/>
  <c r="AR113" i="5"/>
  <c r="AQ113" i="5"/>
  <c r="AR104" i="5"/>
  <c r="AQ104" i="5"/>
  <c r="AR99" i="5"/>
  <c r="AQ99" i="5"/>
  <c r="AQ134" i="5"/>
  <c r="AR134" i="5"/>
  <c r="AR158" i="5"/>
  <c r="AQ158" i="5"/>
  <c r="AR149" i="5"/>
  <c r="AQ149" i="5"/>
  <c r="AR162" i="5"/>
  <c r="AQ162" i="5"/>
  <c r="AR192" i="5"/>
  <c r="AQ192" i="5"/>
  <c r="AR212" i="5"/>
  <c r="AQ212" i="5"/>
  <c r="AQ252" i="5"/>
  <c r="AR252" i="5"/>
  <c r="AQ264" i="5"/>
  <c r="AR264" i="5"/>
  <c r="AQ300" i="5"/>
  <c r="AR300" i="5"/>
  <c r="AQ338" i="5"/>
  <c r="AR338" i="5"/>
  <c r="AQ424" i="5"/>
  <c r="AR424" i="5"/>
  <c r="AQ437" i="5"/>
  <c r="AR437" i="5"/>
  <c r="AR355" i="5"/>
  <c r="AQ355" i="5"/>
  <c r="AQ202" i="5"/>
  <c r="AR202" i="5"/>
  <c r="AQ351" i="5"/>
  <c r="AR351" i="5"/>
  <c r="AQ361" i="5"/>
  <c r="AR361" i="5"/>
  <c r="AQ404" i="5"/>
  <c r="AR404" i="5"/>
  <c r="AQ294" i="5"/>
  <c r="AR294" i="5"/>
  <c r="AQ497" i="5"/>
  <c r="AR497" i="5"/>
  <c r="AQ462" i="5"/>
  <c r="AR462" i="5"/>
  <c r="AQ531" i="5"/>
  <c r="AR531" i="5"/>
  <c r="AQ506" i="5"/>
  <c r="AR506" i="5"/>
  <c r="AQ455" i="5"/>
  <c r="AR455" i="5"/>
  <c r="AQ560" i="5"/>
  <c r="AR560" i="5"/>
  <c r="AQ50" i="5"/>
  <c r="AR50" i="5"/>
  <c r="AQ59" i="5"/>
  <c r="AR59" i="5"/>
  <c r="AR80" i="5"/>
  <c r="AQ80" i="5"/>
  <c r="AR85" i="5"/>
  <c r="AQ85" i="5"/>
  <c r="AR120" i="5"/>
  <c r="AQ120" i="5"/>
  <c r="AR147" i="5"/>
  <c r="AQ147" i="5"/>
  <c r="AQ161" i="5"/>
  <c r="AR161" i="5"/>
  <c r="AQ167" i="5"/>
  <c r="AR167" i="5"/>
  <c r="AQ208" i="5"/>
  <c r="AR208" i="5"/>
  <c r="AQ220" i="5"/>
  <c r="AR220" i="5"/>
  <c r="AR225" i="5"/>
  <c r="AQ225" i="5"/>
  <c r="AQ320" i="5"/>
  <c r="AR320" i="5"/>
  <c r="AR266" i="5"/>
  <c r="AQ266" i="5"/>
  <c r="AR308" i="5"/>
  <c r="AQ308" i="5"/>
  <c r="AQ269" i="5"/>
  <c r="AR269" i="5"/>
  <c r="AR288" i="5"/>
  <c r="AQ288" i="5"/>
  <c r="AR342" i="5"/>
  <c r="AQ342" i="5"/>
  <c r="AR366" i="5"/>
  <c r="AQ366" i="5"/>
  <c r="AQ388" i="5"/>
  <c r="AR388" i="5"/>
  <c r="AQ429" i="5"/>
  <c r="AR429" i="5"/>
  <c r="AQ362" i="5"/>
  <c r="AR362" i="5"/>
  <c r="AR376" i="5"/>
  <c r="AQ376" i="5"/>
  <c r="AQ518" i="5"/>
  <c r="AR518" i="5"/>
  <c r="AR501" i="5"/>
  <c r="AQ501" i="5"/>
  <c r="AQ399" i="5"/>
  <c r="AR399" i="5"/>
  <c r="AQ478" i="5"/>
  <c r="AR478" i="5"/>
  <c r="AR550" i="5"/>
  <c r="AQ550" i="5"/>
  <c r="AR479" i="5"/>
  <c r="AQ479" i="5"/>
  <c r="AQ539" i="5"/>
  <c r="AR539" i="5"/>
  <c r="AQ465" i="5"/>
  <c r="AR465" i="5"/>
  <c r="AQ526" i="5"/>
  <c r="AR526" i="5"/>
  <c r="AQ395" i="5"/>
  <c r="AR395" i="5"/>
  <c r="AQ430" i="5"/>
  <c r="AR430" i="5"/>
  <c r="U520" i="5"/>
  <c r="V520" i="5"/>
  <c r="U479" i="5"/>
  <c r="V479" i="5"/>
  <c r="U423" i="5"/>
  <c r="V423" i="5"/>
  <c r="V549" i="5"/>
  <c r="U549" i="5"/>
  <c r="U528" i="5"/>
  <c r="V528" i="5"/>
  <c r="V555" i="5"/>
  <c r="U555" i="5"/>
  <c r="V543" i="5"/>
  <c r="U543" i="5"/>
  <c r="U514" i="5"/>
  <c r="V514" i="5"/>
  <c r="U426" i="5"/>
  <c r="V426" i="5"/>
  <c r="V544" i="5"/>
  <c r="U544" i="5"/>
  <c r="V548" i="5"/>
  <c r="U548" i="5"/>
  <c r="V540" i="5"/>
  <c r="U540" i="5"/>
  <c r="V529" i="5"/>
  <c r="U529" i="5"/>
  <c r="U352" i="5"/>
  <c r="V352" i="5"/>
  <c r="V304" i="5"/>
  <c r="U304" i="5"/>
  <c r="V538" i="5"/>
  <c r="U538" i="5"/>
  <c r="U506" i="5"/>
  <c r="V506" i="5"/>
  <c r="V489" i="5"/>
  <c r="U489" i="5"/>
  <c r="U477" i="5"/>
  <c r="V477" i="5"/>
  <c r="U463" i="5"/>
  <c r="V463" i="5"/>
  <c r="U452" i="5"/>
  <c r="V452" i="5"/>
  <c r="U434" i="5"/>
  <c r="V434" i="5"/>
  <c r="U413" i="5"/>
  <c r="V413" i="5"/>
  <c r="U377" i="5"/>
  <c r="V377" i="5"/>
  <c r="U358" i="5"/>
  <c r="V358" i="5"/>
  <c r="U519" i="5"/>
  <c r="V519" i="5"/>
  <c r="U504" i="5"/>
  <c r="V504" i="5"/>
  <c r="U498" i="5"/>
  <c r="V498" i="5"/>
  <c r="U480" i="5"/>
  <c r="V480" i="5"/>
  <c r="U468" i="5"/>
  <c r="V468" i="5"/>
  <c r="V456" i="5"/>
  <c r="U456" i="5"/>
  <c r="U438" i="5"/>
  <c r="V438" i="5"/>
  <c r="U347" i="5"/>
  <c r="V347" i="5"/>
  <c r="U532" i="5"/>
  <c r="V532" i="5"/>
  <c r="V513" i="5"/>
  <c r="U513" i="5"/>
  <c r="V499" i="5"/>
  <c r="U499" i="5"/>
  <c r="U478" i="5"/>
  <c r="V478" i="5"/>
  <c r="U458" i="5"/>
  <c r="V458" i="5"/>
  <c r="U443" i="5"/>
  <c r="V443" i="5"/>
  <c r="V428" i="5"/>
  <c r="U428" i="5"/>
  <c r="U324" i="5"/>
  <c r="V324" i="5"/>
  <c r="U411" i="5"/>
  <c r="V411" i="5"/>
  <c r="U399" i="5"/>
  <c r="V399" i="5"/>
  <c r="V382" i="5"/>
  <c r="U382" i="5"/>
  <c r="U363" i="5"/>
  <c r="V363" i="5"/>
  <c r="V348" i="5"/>
  <c r="U348" i="5"/>
  <c r="V294" i="5"/>
  <c r="U294" i="5"/>
  <c r="U195" i="5"/>
  <c r="V195" i="5"/>
  <c r="V407" i="5"/>
  <c r="U407" i="5"/>
  <c r="V386" i="5"/>
  <c r="U386" i="5"/>
  <c r="U375" i="5"/>
  <c r="V375" i="5"/>
  <c r="U341" i="5"/>
  <c r="V341" i="5"/>
  <c r="U214" i="5"/>
  <c r="V214" i="5"/>
  <c r="V429" i="5"/>
  <c r="U429" i="5"/>
  <c r="V415" i="5"/>
  <c r="U415" i="5"/>
  <c r="U400" i="5"/>
  <c r="V400" i="5"/>
  <c r="V381" i="5"/>
  <c r="U381" i="5"/>
  <c r="V364" i="5"/>
  <c r="U364" i="5"/>
  <c r="U345" i="5"/>
  <c r="V345" i="5"/>
  <c r="V315" i="5"/>
  <c r="U315" i="5"/>
  <c r="V283" i="5"/>
  <c r="U283" i="5"/>
  <c r="V356" i="5"/>
  <c r="U356" i="5"/>
  <c r="U335" i="5"/>
  <c r="V335" i="5"/>
  <c r="V320" i="5"/>
  <c r="U320" i="5"/>
  <c r="V303" i="5"/>
  <c r="U303" i="5"/>
  <c r="V293" i="5"/>
  <c r="U293" i="5"/>
  <c r="U271" i="5"/>
  <c r="V271" i="5"/>
  <c r="U261" i="5"/>
  <c r="V261" i="5"/>
  <c r="U246" i="5"/>
  <c r="V246" i="5"/>
  <c r="U331" i="5"/>
  <c r="V331" i="5"/>
  <c r="V316" i="5"/>
  <c r="U316" i="5"/>
  <c r="V299" i="5"/>
  <c r="U299" i="5"/>
  <c r="V284" i="5"/>
  <c r="U284" i="5"/>
  <c r="U251" i="5"/>
  <c r="V251" i="5"/>
  <c r="U135" i="5"/>
  <c r="V135" i="5"/>
  <c r="V322" i="5"/>
  <c r="U322" i="5"/>
  <c r="V306" i="5"/>
  <c r="U306" i="5"/>
  <c r="V282" i="5"/>
  <c r="U282" i="5"/>
  <c r="U274" i="5"/>
  <c r="V274" i="5"/>
  <c r="V263" i="5"/>
  <c r="U263" i="5"/>
  <c r="U254" i="5"/>
  <c r="V254" i="5"/>
  <c r="U241" i="5"/>
  <c r="V241" i="5"/>
  <c r="U236" i="5"/>
  <c r="V236" i="5"/>
  <c r="U225" i="5"/>
  <c r="V225" i="5"/>
  <c r="U210" i="5"/>
  <c r="V210" i="5"/>
  <c r="U180" i="5"/>
  <c r="V180" i="5"/>
  <c r="U243" i="5"/>
  <c r="V243" i="5"/>
  <c r="U229" i="5"/>
  <c r="V229" i="5"/>
  <c r="U212" i="5"/>
  <c r="V212" i="5"/>
  <c r="V159" i="5"/>
  <c r="U159" i="5"/>
  <c r="U245" i="5"/>
  <c r="V245" i="5"/>
  <c r="U224" i="5"/>
  <c r="V224" i="5"/>
  <c r="V215" i="5"/>
  <c r="U215" i="5"/>
  <c r="U205" i="5"/>
  <c r="V205" i="5"/>
  <c r="U196" i="5"/>
  <c r="V196" i="5"/>
  <c r="U204" i="5"/>
  <c r="V204" i="5"/>
  <c r="U194" i="5"/>
  <c r="V194" i="5"/>
  <c r="V185" i="5"/>
  <c r="U185" i="5"/>
  <c r="U172" i="5"/>
  <c r="V172" i="5"/>
  <c r="U100" i="5"/>
  <c r="V100" i="5"/>
  <c r="U170" i="5"/>
  <c r="V170" i="5"/>
  <c r="U133" i="5"/>
  <c r="V133" i="5"/>
  <c r="U187" i="5"/>
  <c r="V187" i="5"/>
  <c r="V173" i="5"/>
  <c r="U173" i="5"/>
  <c r="V149" i="5"/>
  <c r="U149" i="5"/>
  <c r="U152" i="5"/>
  <c r="V152" i="5"/>
  <c r="U138" i="5"/>
  <c r="V138" i="5"/>
  <c r="U115" i="5"/>
  <c r="V115" i="5"/>
  <c r="V156" i="5"/>
  <c r="U156" i="5"/>
  <c r="V137" i="5"/>
  <c r="U137" i="5"/>
  <c r="U123" i="5"/>
  <c r="V123" i="5"/>
  <c r="U109" i="5"/>
  <c r="V109" i="5"/>
  <c r="U84" i="5"/>
  <c r="V84" i="5"/>
  <c r="U139" i="5"/>
  <c r="V139" i="5"/>
  <c r="U126" i="5"/>
  <c r="V126" i="5"/>
  <c r="U87" i="5"/>
  <c r="V87" i="5"/>
  <c r="U101" i="5"/>
  <c r="V101" i="5"/>
  <c r="U85" i="5"/>
  <c r="V85" i="5"/>
  <c r="U107" i="5"/>
  <c r="V107" i="5"/>
  <c r="U69" i="5"/>
  <c r="V69" i="5"/>
  <c r="U94" i="5"/>
  <c r="V94" i="5"/>
  <c r="U92" i="5"/>
  <c r="V92" i="5"/>
  <c r="V61" i="5"/>
  <c r="U61" i="5"/>
  <c r="U80" i="5"/>
  <c r="V80" i="5"/>
  <c r="U66" i="5"/>
  <c r="V66" i="5"/>
  <c r="V35" i="5"/>
  <c r="U35" i="5"/>
  <c r="V59" i="5"/>
  <c r="U59" i="5"/>
  <c r="U33" i="5"/>
  <c r="V33" i="5"/>
  <c r="U70" i="5"/>
  <c r="V70" i="5"/>
  <c r="U52" i="5"/>
  <c r="V52" i="5"/>
  <c r="U47" i="5"/>
  <c r="V47" i="5"/>
  <c r="U34" i="5"/>
  <c r="V34" i="5"/>
  <c r="U39" i="5"/>
  <c r="V39" i="5"/>
  <c r="V26" i="5"/>
  <c r="U26" i="5"/>
  <c r="V44" i="5"/>
  <c r="U44" i="5"/>
  <c r="AQ130" i="5"/>
  <c r="AR130" i="5"/>
  <c r="AQ51" i="5"/>
  <c r="AR51" i="5"/>
  <c r="AQ62" i="5"/>
  <c r="AR62" i="5"/>
  <c r="AR102" i="5"/>
  <c r="AQ102" i="5"/>
  <c r="AQ156" i="5"/>
  <c r="AR156" i="5"/>
  <c r="AQ84" i="5"/>
  <c r="AR84" i="5"/>
  <c r="AQ183" i="5"/>
  <c r="AR183" i="5"/>
  <c r="AR181" i="5"/>
  <c r="AQ181" i="5"/>
  <c r="AQ189" i="5"/>
  <c r="AR189" i="5"/>
  <c r="AR243" i="5"/>
  <c r="AQ243" i="5"/>
  <c r="AQ230" i="5"/>
  <c r="AR230" i="5"/>
  <c r="AQ205" i="5"/>
  <c r="AR205" i="5"/>
  <c r="AQ282" i="5"/>
  <c r="AR282" i="5"/>
  <c r="AQ200" i="5"/>
  <c r="AR200" i="5"/>
  <c r="AQ354" i="5"/>
  <c r="AR354" i="5"/>
  <c r="AQ226" i="5"/>
  <c r="AR226" i="5"/>
  <c r="AQ373" i="5"/>
  <c r="AR373" i="5"/>
  <c r="AQ256" i="5"/>
  <c r="AR256" i="5"/>
  <c r="AQ481" i="5"/>
  <c r="AR481" i="5"/>
  <c r="AR522" i="5"/>
  <c r="AQ522" i="5"/>
  <c r="AQ357" i="5"/>
  <c r="AR357" i="5"/>
  <c r="AR422" i="5"/>
  <c r="AQ422" i="5"/>
  <c r="AQ458" i="5"/>
  <c r="AR458" i="5"/>
  <c r="AQ423" i="5"/>
  <c r="AR423" i="5"/>
  <c r="AQ480" i="5"/>
  <c r="AR480" i="5"/>
  <c r="AQ520" i="5"/>
  <c r="AR520" i="5"/>
  <c r="AQ511" i="5"/>
  <c r="AR511" i="5"/>
  <c r="AR503" i="5"/>
  <c r="AQ503" i="5"/>
  <c r="AQ538" i="5"/>
  <c r="AR538" i="5"/>
  <c r="AQ64" i="5"/>
  <c r="AR64" i="5"/>
  <c r="AQ217" i="5"/>
  <c r="AR217" i="5"/>
  <c r="AR47" i="5"/>
  <c r="AQ47" i="5"/>
  <c r="AQ65" i="5"/>
  <c r="AR65" i="5"/>
  <c r="AQ55" i="5"/>
  <c r="AR55" i="5"/>
  <c r="AR121" i="5"/>
  <c r="AQ121" i="5"/>
  <c r="AQ92" i="5"/>
  <c r="AR92" i="5"/>
  <c r="AQ139" i="5"/>
  <c r="AR139" i="5"/>
  <c r="AR177" i="5"/>
  <c r="AQ177" i="5"/>
  <c r="AR182" i="5"/>
  <c r="AQ182" i="5"/>
  <c r="AR133" i="5"/>
  <c r="AQ133" i="5"/>
  <c r="AR190" i="5"/>
  <c r="AQ190" i="5"/>
  <c r="AR239" i="5"/>
  <c r="AQ239" i="5"/>
  <c r="AR159" i="5"/>
  <c r="AQ159" i="5"/>
  <c r="AR240" i="5"/>
  <c r="AQ240" i="5"/>
  <c r="AR257" i="5"/>
  <c r="AQ257" i="5"/>
  <c r="AR210" i="5"/>
  <c r="AQ210" i="5"/>
  <c r="AQ261" i="5"/>
  <c r="AR261" i="5"/>
  <c r="AQ296" i="5"/>
  <c r="AR296" i="5"/>
  <c r="AQ336" i="5"/>
  <c r="AR336" i="5"/>
  <c r="AR421" i="5"/>
  <c r="AQ421" i="5"/>
  <c r="AQ340" i="5"/>
  <c r="AR340" i="5"/>
  <c r="AQ368" i="5"/>
  <c r="AR368" i="5"/>
  <c r="AQ386" i="5"/>
  <c r="AR386" i="5"/>
  <c r="AR347" i="5"/>
  <c r="AQ347" i="5"/>
  <c r="AQ402" i="5"/>
  <c r="AR402" i="5"/>
  <c r="AQ417" i="5"/>
  <c r="AR417" i="5"/>
  <c r="AQ412" i="5"/>
  <c r="AR412" i="5"/>
  <c r="AQ510" i="5"/>
  <c r="AR510" i="5"/>
  <c r="AQ447" i="5"/>
  <c r="AR447" i="5"/>
  <c r="AQ460" i="5"/>
  <c r="AR460" i="5"/>
  <c r="AQ117" i="5"/>
  <c r="AR117" i="5"/>
  <c r="B114" i="2"/>
  <c r="B89" i="2"/>
  <c r="B85" i="2"/>
  <c r="B81" i="2"/>
  <c r="AU15" i="4" l="1"/>
  <c r="AV15" i="4" s="1"/>
  <c r="AX15" i="4"/>
  <c r="AY15" i="4" s="1"/>
  <c r="AU36" i="4"/>
  <c r="AV36" i="4" s="1"/>
  <c r="AX36" i="4"/>
  <c r="AY36" i="4" s="1"/>
  <c r="AX92" i="4"/>
  <c r="AY92" i="4" s="1"/>
  <c r="AU92" i="4"/>
  <c r="AV92" i="4" s="1"/>
  <c r="AU156" i="4"/>
  <c r="AV156" i="4" s="1"/>
  <c r="AX156" i="4"/>
  <c r="AY156" i="4" s="1"/>
  <c r="AX87" i="4"/>
  <c r="AU87" i="4"/>
  <c r="AV87" i="4" s="1"/>
  <c r="AU151" i="4"/>
  <c r="AV151" i="4" s="1"/>
  <c r="AX151" i="4"/>
  <c r="AY151" i="4" s="1"/>
  <c r="AU85" i="4"/>
  <c r="AV85" i="4" s="1"/>
  <c r="AX85" i="4"/>
  <c r="AY85" i="4" s="1"/>
  <c r="AX149" i="4"/>
  <c r="AY149" i="4" s="1"/>
  <c r="AU149" i="4"/>
  <c r="AV149" i="4" s="1"/>
  <c r="AU78" i="4"/>
  <c r="AV78" i="4" s="1"/>
  <c r="AX78" i="4"/>
  <c r="AY78" i="4" s="1"/>
  <c r="AU142" i="4"/>
  <c r="AV142" i="4" s="1"/>
  <c r="AX142" i="4"/>
  <c r="AY142" i="4" s="1"/>
  <c r="AU14" i="4"/>
  <c r="AV14" i="4" s="1"/>
  <c r="AX14" i="4"/>
  <c r="AY14" i="4" s="1"/>
  <c r="AX157" i="4"/>
  <c r="AY157" i="4" s="1"/>
  <c r="AU157" i="4"/>
  <c r="AV157" i="4" s="1"/>
  <c r="AU25" i="4"/>
  <c r="AV25" i="4" s="1"/>
  <c r="AX25" i="4"/>
  <c r="AY25" i="4" s="1"/>
  <c r="AU49" i="4"/>
  <c r="AV49" i="4" s="1"/>
  <c r="AX49" i="4"/>
  <c r="AY49" i="4" s="1"/>
  <c r="AX113" i="4"/>
  <c r="AY113" i="4" s="1"/>
  <c r="AU113" i="4"/>
  <c r="AV113" i="4" s="1"/>
  <c r="AX42" i="4"/>
  <c r="AY42" i="4" s="1"/>
  <c r="AU42" i="4"/>
  <c r="AV42" i="4" s="1"/>
  <c r="AX106" i="4"/>
  <c r="AY106" i="4" s="1"/>
  <c r="AU106" i="4"/>
  <c r="AV106" i="4" s="1"/>
  <c r="AX32" i="4"/>
  <c r="AU32" i="4"/>
  <c r="AV32" i="4" s="1"/>
  <c r="AU104" i="4"/>
  <c r="AV104" i="4" s="1"/>
  <c r="AX104" i="4"/>
  <c r="AY104" i="4" s="1"/>
  <c r="AX26" i="4"/>
  <c r="AY26" i="4" s="1"/>
  <c r="AU26" i="4"/>
  <c r="AV26" i="4" s="1"/>
  <c r="AU99" i="4"/>
  <c r="AV99" i="4" s="1"/>
  <c r="AX99" i="4"/>
  <c r="AY99" i="4" s="1"/>
  <c r="AX13" i="4"/>
  <c r="AY13" i="4" s="1"/>
  <c r="AU13" i="4"/>
  <c r="AV13" i="4" s="1"/>
  <c r="AU68" i="4"/>
  <c r="AV68" i="4" s="1"/>
  <c r="AX68" i="4"/>
  <c r="AY68" i="4" s="1"/>
  <c r="AX45" i="4"/>
  <c r="AY45" i="4" s="1"/>
  <c r="AU45" i="4"/>
  <c r="AV45" i="4" s="1"/>
  <c r="AX21" i="4"/>
  <c r="AY21" i="4" s="1"/>
  <c r="AU21" i="4"/>
  <c r="AV21" i="4" s="1"/>
  <c r="AX34" i="4"/>
  <c r="AY34" i="4" s="1"/>
  <c r="AU34" i="4"/>
  <c r="AV34" i="4" s="1"/>
  <c r="AX105" i="4"/>
  <c r="AY105" i="4" s="1"/>
  <c r="AU105" i="4"/>
  <c r="AV105" i="4" s="1"/>
  <c r="AX24" i="4"/>
  <c r="AY24" i="4" s="1"/>
  <c r="AU24" i="4"/>
  <c r="AV24" i="4" s="1"/>
  <c r="AX98" i="4"/>
  <c r="AY98" i="4" s="1"/>
  <c r="AU98" i="4"/>
  <c r="AV98" i="4" s="1"/>
  <c r="AU12" i="4"/>
  <c r="AV12" i="4" s="1"/>
  <c r="AX12" i="4"/>
  <c r="AY12" i="4" s="1"/>
  <c r="AU96" i="4"/>
  <c r="AV96" i="4" s="1"/>
  <c r="AX96" i="4"/>
  <c r="AY96" i="4" s="1"/>
  <c r="AX10" i="4"/>
  <c r="AY10" i="4" s="1"/>
  <c r="AU10" i="4"/>
  <c r="AV10" i="4" s="1"/>
  <c r="AU91" i="4"/>
  <c r="AV91" i="4" s="1"/>
  <c r="AX91" i="4"/>
  <c r="AY91" i="4" s="1"/>
  <c r="AX155" i="4"/>
  <c r="AY155" i="4" s="1"/>
  <c r="AU155" i="4"/>
  <c r="AV155" i="4" s="1"/>
  <c r="AX84" i="4"/>
  <c r="AY84" i="4" s="1"/>
  <c r="AU84" i="4"/>
  <c r="AV84" i="4" s="1"/>
  <c r="AX79" i="4"/>
  <c r="AY79" i="4" s="1"/>
  <c r="AU79" i="4"/>
  <c r="AV79" i="4" s="1"/>
  <c r="AU77" i="4"/>
  <c r="AV77" i="4" s="1"/>
  <c r="AX77" i="4"/>
  <c r="AY77" i="4" s="1"/>
  <c r="AU70" i="4"/>
  <c r="AV70" i="4" s="1"/>
  <c r="AX70" i="4"/>
  <c r="AY70" i="4" s="1"/>
  <c r="AU23" i="4"/>
  <c r="AV23" i="4" s="1"/>
  <c r="AX23" i="4"/>
  <c r="AY23" i="4" s="1"/>
  <c r="AU44" i="4"/>
  <c r="AV44" i="4" s="1"/>
  <c r="AX44" i="4"/>
  <c r="AY44" i="4" s="1"/>
  <c r="AX108" i="4"/>
  <c r="AY108" i="4" s="1"/>
  <c r="AU108" i="4"/>
  <c r="AV108" i="4" s="1"/>
  <c r="AU38" i="4"/>
  <c r="AV38" i="4" s="1"/>
  <c r="AX38" i="4"/>
  <c r="AY38" i="4" s="1"/>
  <c r="AX103" i="4"/>
  <c r="AY103" i="4" s="1"/>
  <c r="AU103" i="4"/>
  <c r="AV103" i="4" s="1"/>
  <c r="AX18" i="4"/>
  <c r="AY18" i="4" s="1"/>
  <c r="AU18" i="4"/>
  <c r="AV18" i="4" s="1"/>
  <c r="AU101" i="4"/>
  <c r="AV101" i="4" s="1"/>
  <c r="AX101" i="4"/>
  <c r="AY101" i="4" s="1"/>
  <c r="AU22" i="4"/>
  <c r="AV22" i="4" s="1"/>
  <c r="AX22" i="4"/>
  <c r="AY22" i="4" s="1"/>
  <c r="AU94" i="4"/>
  <c r="AV94" i="4" s="1"/>
  <c r="AX94" i="4"/>
  <c r="AY94" i="4" s="1"/>
  <c r="AU8" i="4"/>
  <c r="AX8" i="4"/>
  <c r="AX95" i="4"/>
  <c r="AY95" i="4" s="1"/>
  <c r="AU95" i="4"/>
  <c r="AV95" i="4" s="1"/>
  <c r="AU86" i="4"/>
  <c r="AV86" i="4" s="1"/>
  <c r="AX86" i="4"/>
  <c r="AY86" i="4" s="1"/>
  <c r="AU33" i="4"/>
  <c r="AV33" i="4" s="1"/>
  <c r="AX33" i="4"/>
  <c r="AY33" i="4" s="1"/>
  <c r="AU65" i="4"/>
  <c r="AV65" i="4" s="1"/>
  <c r="AX65" i="4"/>
  <c r="AY65" i="4" s="1"/>
  <c r="AX129" i="4"/>
  <c r="AY129" i="4" s="1"/>
  <c r="AU129" i="4"/>
  <c r="AV129" i="4" s="1"/>
  <c r="AX58" i="4"/>
  <c r="AY58" i="4" s="1"/>
  <c r="AU58" i="4"/>
  <c r="AV58" i="4" s="1"/>
  <c r="AX122" i="4"/>
  <c r="AY122" i="4" s="1"/>
  <c r="AU122" i="4"/>
  <c r="AV122" i="4" s="1"/>
  <c r="AX56" i="4"/>
  <c r="AY56" i="4" s="1"/>
  <c r="AU56" i="4"/>
  <c r="AV56" i="4" s="1"/>
  <c r="AU120" i="4"/>
  <c r="AV120" i="4" s="1"/>
  <c r="AX120" i="4"/>
  <c r="AY120" i="4" s="1"/>
  <c r="AU51" i="4"/>
  <c r="AV51" i="4" s="1"/>
  <c r="AX51" i="4"/>
  <c r="AY51" i="4" s="1"/>
  <c r="AU115" i="4"/>
  <c r="AV115" i="4" s="1"/>
  <c r="AX115" i="4"/>
  <c r="AY115" i="4" s="1"/>
  <c r="AX132" i="4"/>
  <c r="AY132" i="4" s="1"/>
  <c r="AU132" i="4"/>
  <c r="AV132" i="4" s="1"/>
  <c r="AU109" i="4"/>
  <c r="AV109" i="4" s="1"/>
  <c r="AX109" i="4"/>
  <c r="AY109" i="4" s="1"/>
  <c r="AX29" i="4"/>
  <c r="AY29" i="4" s="1"/>
  <c r="AU29" i="4"/>
  <c r="AV29" i="4" s="1"/>
  <c r="AU57" i="4"/>
  <c r="AV57" i="4" s="1"/>
  <c r="AX57" i="4"/>
  <c r="AY57" i="4" s="1"/>
  <c r="AX121" i="4"/>
  <c r="AY121" i="4" s="1"/>
  <c r="AU121" i="4"/>
  <c r="AV121" i="4" s="1"/>
  <c r="AX50" i="4"/>
  <c r="AY50" i="4" s="1"/>
  <c r="AU50" i="4"/>
  <c r="AV50" i="4" s="1"/>
  <c r="AX114" i="4"/>
  <c r="AY114" i="4" s="1"/>
  <c r="AU114" i="4"/>
  <c r="AV114" i="4" s="1"/>
  <c r="AX48" i="4"/>
  <c r="AY48" i="4" s="1"/>
  <c r="AU48" i="4"/>
  <c r="AV48" i="4" s="1"/>
  <c r="AU112" i="4"/>
  <c r="AV112" i="4" s="1"/>
  <c r="AX112" i="4"/>
  <c r="AY112" i="4" s="1"/>
  <c r="AU43" i="4"/>
  <c r="AV43" i="4" s="1"/>
  <c r="AX43" i="4"/>
  <c r="AY43" i="4" s="1"/>
  <c r="AU107" i="4"/>
  <c r="AV107" i="4" s="1"/>
  <c r="AX107" i="4"/>
  <c r="AY107" i="4" s="1"/>
  <c r="AU27" i="4"/>
  <c r="AV27" i="4" s="1"/>
  <c r="AX27" i="4"/>
  <c r="AY27" i="4" s="1"/>
  <c r="AX116" i="4"/>
  <c r="AY116" i="4" s="1"/>
  <c r="AU116" i="4"/>
  <c r="AV116" i="4" s="1"/>
  <c r="AX127" i="4"/>
  <c r="AY127" i="4" s="1"/>
  <c r="AU127" i="4"/>
  <c r="AV127" i="4" s="1"/>
  <c r="AU125" i="4"/>
  <c r="AV125" i="4" s="1"/>
  <c r="AX125" i="4"/>
  <c r="AY125" i="4" s="1"/>
  <c r="AU118" i="4"/>
  <c r="AV118" i="4" s="1"/>
  <c r="AX118" i="4"/>
  <c r="AY118" i="4" s="1"/>
  <c r="AY32" i="4"/>
  <c r="AY87" i="4"/>
  <c r="AU31" i="4"/>
  <c r="AV31" i="4" s="1"/>
  <c r="AX31" i="4"/>
  <c r="AY31" i="4" s="1"/>
  <c r="AU60" i="4"/>
  <c r="AV60" i="4" s="1"/>
  <c r="AX60" i="4"/>
  <c r="AY60" i="4" s="1"/>
  <c r="AX124" i="4"/>
  <c r="AY124" i="4" s="1"/>
  <c r="AU124" i="4"/>
  <c r="AV124" i="4" s="1"/>
  <c r="AU55" i="4"/>
  <c r="AV55" i="4" s="1"/>
  <c r="AX55" i="4"/>
  <c r="AY55" i="4" s="1"/>
  <c r="AX119" i="4"/>
  <c r="AY119" i="4" s="1"/>
  <c r="AU119" i="4"/>
  <c r="AV119" i="4" s="1"/>
  <c r="AX53" i="4"/>
  <c r="AY53" i="4" s="1"/>
  <c r="AU53" i="4"/>
  <c r="AV53" i="4" s="1"/>
  <c r="AU117" i="4"/>
  <c r="AV117" i="4" s="1"/>
  <c r="AX117" i="4"/>
  <c r="AY117" i="4" s="1"/>
  <c r="AU46" i="4"/>
  <c r="AV46" i="4" s="1"/>
  <c r="AX46" i="4"/>
  <c r="AY46" i="4" s="1"/>
  <c r="AU110" i="4"/>
  <c r="AV110" i="4" s="1"/>
  <c r="AX110" i="4"/>
  <c r="AY110" i="4" s="1"/>
  <c r="AU30" i="4"/>
  <c r="AV30" i="4" s="1"/>
  <c r="AX30" i="4"/>
  <c r="AY30" i="4" s="1"/>
  <c r="AU9" i="4"/>
  <c r="AV9" i="4" s="1"/>
  <c r="AX9" i="4"/>
  <c r="AY9" i="4" s="1"/>
  <c r="AU150" i="4"/>
  <c r="AV150" i="4" s="1"/>
  <c r="AX150" i="4"/>
  <c r="AY150" i="4" s="1"/>
  <c r="AU41" i="4"/>
  <c r="AV41" i="4" s="1"/>
  <c r="AX41" i="4"/>
  <c r="AY41" i="4" s="1"/>
  <c r="AX81" i="4"/>
  <c r="AY81" i="4" s="1"/>
  <c r="AU81" i="4"/>
  <c r="AV81" i="4" s="1"/>
  <c r="AU145" i="4"/>
  <c r="AV145" i="4" s="1"/>
  <c r="AX145" i="4"/>
  <c r="AY145" i="4" s="1"/>
  <c r="AX74" i="4"/>
  <c r="AY74" i="4" s="1"/>
  <c r="AU74" i="4"/>
  <c r="AV74" i="4" s="1"/>
  <c r="AX138" i="4"/>
  <c r="AY138" i="4" s="1"/>
  <c r="AU138" i="4"/>
  <c r="AV138" i="4" s="1"/>
  <c r="AU72" i="4"/>
  <c r="AV72" i="4" s="1"/>
  <c r="AX72" i="4"/>
  <c r="AY72" i="4" s="1"/>
  <c r="AU136" i="4"/>
  <c r="AV136" i="4" s="1"/>
  <c r="AX136" i="4"/>
  <c r="AY136" i="4" s="1"/>
  <c r="AU67" i="4"/>
  <c r="AV67" i="4" s="1"/>
  <c r="AX67" i="4"/>
  <c r="AY67" i="4" s="1"/>
  <c r="AU131" i="4"/>
  <c r="AV131" i="4" s="1"/>
  <c r="AX131" i="4"/>
  <c r="AY131" i="4" s="1"/>
  <c r="AU19" i="4"/>
  <c r="AV19" i="4" s="1"/>
  <c r="AX19" i="4"/>
  <c r="AY19" i="4" s="1"/>
  <c r="AU47" i="4"/>
  <c r="AV47" i="4" s="1"/>
  <c r="AX47" i="4"/>
  <c r="AY47" i="4" s="1"/>
  <c r="AX40" i="4"/>
  <c r="AY40" i="4" s="1"/>
  <c r="AU40" i="4"/>
  <c r="AV40" i="4" s="1"/>
  <c r="AX37" i="4"/>
  <c r="AY37" i="4" s="1"/>
  <c r="AU37" i="4"/>
  <c r="AV37" i="4" s="1"/>
  <c r="AX73" i="4"/>
  <c r="AY73" i="4" s="1"/>
  <c r="AU73" i="4"/>
  <c r="AV73" i="4" s="1"/>
  <c r="AX137" i="4"/>
  <c r="AY137" i="4" s="1"/>
  <c r="AU137" i="4"/>
  <c r="AV137" i="4" s="1"/>
  <c r="AX66" i="4"/>
  <c r="AY66" i="4" s="1"/>
  <c r="AU66" i="4"/>
  <c r="AV66" i="4" s="1"/>
  <c r="AX130" i="4"/>
  <c r="AY130" i="4" s="1"/>
  <c r="AU130" i="4"/>
  <c r="AV130" i="4" s="1"/>
  <c r="AX64" i="4"/>
  <c r="AY64" i="4" s="1"/>
  <c r="AU64" i="4"/>
  <c r="AV64" i="4" s="1"/>
  <c r="AU128" i="4"/>
  <c r="AV128" i="4" s="1"/>
  <c r="AX128" i="4"/>
  <c r="AY128" i="4" s="1"/>
  <c r="AU59" i="4"/>
  <c r="AV59" i="4" s="1"/>
  <c r="AX59" i="4"/>
  <c r="AY59" i="4" s="1"/>
  <c r="AU123" i="4"/>
  <c r="AV123" i="4" s="1"/>
  <c r="AX123" i="4"/>
  <c r="AY123" i="4" s="1"/>
  <c r="AU20" i="4"/>
  <c r="AV20" i="4" s="1"/>
  <c r="AX20" i="4"/>
  <c r="AY20" i="4" s="1"/>
  <c r="AU148" i="4"/>
  <c r="AV148" i="4" s="1"/>
  <c r="AX148" i="4"/>
  <c r="AY148" i="4" s="1"/>
  <c r="AX143" i="4"/>
  <c r="AY143" i="4" s="1"/>
  <c r="AU143" i="4"/>
  <c r="AV143" i="4" s="1"/>
  <c r="AU141" i="4"/>
  <c r="AV141" i="4" s="1"/>
  <c r="AX141" i="4"/>
  <c r="AY141" i="4" s="1"/>
  <c r="AU134" i="4"/>
  <c r="AV134" i="4" s="1"/>
  <c r="AX134" i="4"/>
  <c r="AY134" i="4" s="1"/>
  <c r="AU39" i="4"/>
  <c r="AV39" i="4" s="1"/>
  <c r="AX39" i="4"/>
  <c r="AY39" i="4" s="1"/>
  <c r="AX76" i="4"/>
  <c r="AY76" i="4" s="1"/>
  <c r="AU76" i="4"/>
  <c r="AV76" i="4" s="1"/>
  <c r="AX140" i="4"/>
  <c r="AY140" i="4" s="1"/>
  <c r="AU140" i="4"/>
  <c r="AV140" i="4" s="1"/>
  <c r="AX71" i="4"/>
  <c r="AY71" i="4" s="1"/>
  <c r="AU71" i="4"/>
  <c r="AV71" i="4" s="1"/>
  <c r="AX135" i="4"/>
  <c r="AY135" i="4" s="1"/>
  <c r="AU135" i="4"/>
  <c r="AV135" i="4" s="1"/>
  <c r="AU69" i="4"/>
  <c r="AV69" i="4" s="1"/>
  <c r="AX69" i="4"/>
  <c r="AY69" i="4" s="1"/>
  <c r="AU133" i="4"/>
  <c r="AV133" i="4" s="1"/>
  <c r="AX133" i="4"/>
  <c r="AY133" i="4" s="1"/>
  <c r="AU62" i="4"/>
  <c r="AV62" i="4" s="1"/>
  <c r="AX62" i="4"/>
  <c r="AY62" i="4" s="1"/>
  <c r="AU126" i="4"/>
  <c r="AV126" i="4" s="1"/>
  <c r="AX126" i="4"/>
  <c r="AY126" i="4" s="1"/>
  <c r="AX100" i="4"/>
  <c r="AY100" i="4" s="1"/>
  <c r="AU100" i="4"/>
  <c r="AV100" i="4" s="1"/>
  <c r="AU93" i="4"/>
  <c r="AV93" i="4" s="1"/>
  <c r="AX93" i="4"/>
  <c r="AY93" i="4" s="1"/>
  <c r="AU17" i="4"/>
  <c r="AV17" i="4" s="1"/>
  <c r="AX17" i="4"/>
  <c r="AY17" i="4" s="1"/>
  <c r="AX16" i="4"/>
  <c r="AY16" i="4" s="1"/>
  <c r="AU16" i="4"/>
  <c r="AV16" i="4" s="1"/>
  <c r="AX97" i="4"/>
  <c r="AY97" i="4" s="1"/>
  <c r="AU97" i="4"/>
  <c r="AV97" i="4" s="1"/>
  <c r="AU11" i="4"/>
  <c r="AV11" i="4" s="1"/>
  <c r="AX11" i="4"/>
  <c r="AY11" i="4" s="1"/>
  <c r="AX90" i="4"/>
  <c r="AY90" i="4" s="1"/>
  <c r="AU90" i="4"/>
  <c r="AV90" i="4" s="1"/>
  <c r="AX154" i="4"/>
  <c r="AY154" i="4" s="1"/>
  <c r="AU154" i="4"/>
  <c r="AV154" i="4" s="1"/>
  <c r="AU88" i="4"/>
  <c r="AV88" i="4" s="1"/>
  <c r="AX88" i="4"/>
  <c r="AY88" i="4" s="1"/>
  <c r="AU152" i="4"/>
  <c r="AV152" i="4" s="1"/>
  <c r="AX152" i="4"/>
  <c r="AY152" i="4" s="1"/>
  <c r="AU83" i="4"/>
  <c r="AV83" i="4" s="1"/>
  <c r="AX83" i="4"/>
  <c r="AY83" i="4" s="1"/>
  <c r="AU147" i="4"/>
  <c r="AV147" i="4" s="1"/>
  <c r="AX147" i="4"/>
  <c r="AY147" i="4" s="1"/>
  <c r="AU35" i="4"/>
  <c r="AV35" i="4" s="1"/>
  <c r="AX35" i="4"/>
  <c r="AY35" i="4" s="1"/>
  <c r="AX111" i="4"/>
  <c r="AY111" i="4" s="1"/>
  <c r="AU111" i="4"/>
  <c r="AV111" i="4" s="1"/>
  <c r="AU102" i="4"/>
  <c r="AV102" i="4" s="1"/>
  <c r="AX102" i="4"/>
  <c r="AY102" i="4" s="1"/>
  <c r="AU28" i="4"/>
  <c r="AV28" i="4" s="1"/>
  <c r="AX28" i="4"/>
  <c r="AY28" i="4" s="1"/>
  <c r="AX89" i="4"/>
  <c r="AY89" i="4" s="1"/>
  <c r="AU89" i="4"/>
  <c r="AV89" i="4" s="1"/>
  <c r="AU153" i="4"/>
  <c r="AV153" i="4" s="1"/>
  <c r="AX153" i="4"/>
  <c r="AY153" i="4" s="1"/>
  <c r="AX82" i="4"/>
  <c r="AY82" i="4" s="1"/>
  <c r="AU82" i="4"/>
  <c r="AV82" i="4" s="1"/>
  <c r="AX146" i="4"/>
  <c r="AY146" i="4" s="1"/>
  <c r="AU146" i="4"/>
  <c r="AV146" i="4" s="1"/>
  <c r="AU80" i="4"/>
  <c r="AV80" i="4" s="1"/>
  <c r="AX80" i="4"/>
  <c r="AY80" i="4" s="1"/>
  <c r="AU144" i="4"/>
  <c r="AV144" i="4" s="1"/>
  <c r="AX144" i="4"/>
  <c r="AY144" i="4" s="1"/>
  <c r="AU75" i="4"/>
  <c r="AV75" i="4" s="1"/>
  <c r="AX75" i="4"/>
  <c r="AY75" i="4" s="1"/>
  <c r="AU139" i="4"/>
  <c r="AV139" i="4" s="1"/>
  <c r="AX139" i="4"/>
  <c r="AY139" i="4" s="1"/>
  <c r="AU52" i="4"/>
  <c r="AV52" i="4" s="1"/>
  <c r="AX52" i="4"/>
  <c r="AY52" i="4" s="1"/>
  <c r="AU63" i="4"/>
  <c r="AV63" i="4" s="1"/>
  <c r="AX63" i="4"/>
  <c r="AY63" i="4" s="1"/>
  <c r="AX61" i="4"/>
  <c r="AY61" i="4" s="1"/>
  <c r="AU61" i="4"/>
  <c r="AV61" i="4" s="1"/>
  <c r="AU54" i="4"/>
  <c r="AV54" i="4" s="1"/>
  <c r="AX54" i="4"/>
  <c r="AY54" i="4" s="1"/>
  <c r="U7" i="4"/>
  <c r="V7" i="4" s="1"/>
  <c r="AI7" i="4"/>
  <c r="BW144" i="4"/>
  <c r="BR144" i="4"/>
  <c r="BT144" i="4" s="1"/>
  <c r="BG144" i="4"/>
  <c r="BR112" i="4"/>
  <c r="BT112" i="4" s="1"/>
  <c r="BG112" i="4"/>
  <c r="BG80" i="4"/>
  <c r="BR80" i="4"/>
  <c r="BT80" i="4" s="1"/>
  <c r="BG48" i="4"/>
  <c r="BR48" i="4"/>
  <c r="BT48" i="4" s="1"/>
  <c r="BG18" i="4"/>
  <c r="BR18" i="4"/>
  <c r="BT18" i="4" s="1"/>
  <c r="BR146" i="4"/>
  <c r="BT146" i="4" s="1"/>
  <c r="BG146" i="4"/>
  <c r="BG114" i="4"/>
  <c r="BR114" i="4"/>
  <c r="BT114" i="4" s="1"/>
  <c r="BG82" i="4"/>
  <c r="BR82" i="4"/>
  <c r="BT82" i="4" s="1"/>
  <c r="BG50" i="4"/>
  <c r="BR50" i="4"/>
  <c r="BT50" i="4" s="1"/>
  <c r="BG28" i="4"/>
  <c r="BR28" i="4"/>
  <c r="BT28" i="4" s="1"/>
  <c r="BG156" i="4"/>
  <c r="BR156" i="4"/>
  <c r="BT156" i="4" s="1"/>
  <c r="BG124" i="4"/>
  <c r="BR124" i="4"/>
  <c r="BT124" i="4" s="1"/>
  <c r="BG92" i="4"/>
  <c r="BR92" i="4"/>
  <c r="BT92" i="4" s="1"/>
  <c r="BR60" i="4"/>
  <c r="BT60" i="4" s="1"/>
  <c r="BG60" i="4"/>
  <c r="BR31" i="4"/>
  <c r="BT31" i="4" s="1"/>
  <c r="BG31" i="4"/>
  <c r="BR126" i="4"/>
  <c r="BT126" i="4" s="1"/>
  <c r="BG126" i="4"/>
  <c r="BR94" i="4"/>
  <c r="BT94" i="4" s="1"/>
  <c r="BG94" i="4"/>
  <c r="BR62" i="4"/>
  <c r="BT62" i="4" s="1"/>
  <c r="BG62" i="4"/>
  <c r="BG37" i="4"/>
  <c r="BR37" i="4"/>
  <c r="BT37" i="4" s="1"/>
  <c r="BR13" i="4"/>
  <c r="BT13" i="4" s="1"/>
  <c r="BG13" i="4"/>
  <c r="BG155" i="4"/>
  <c r="BR155" i="4"/>
  <c r="BT155" i="4" s="1"/>
  <c r="BW147" i="4"/>
  <c r="BG147" i="4"/>
  <c r="BR147" i="4"/>
  <c r="BT147" i="4" s="1"/>
  <c r="BG139" i="4"/>
  <c r="BR139" i="4"/>
  <c r="BT139" i="4" s="1"/>
  <c r="BG131" i="4"/>
  <c r="BR131" i="4"/>
  <c r="BT131" i="4" s="1"/>
  <c r="BG123" i="4"/>
  <c r="BR123" i="4"/>
  <c r="BT123" i="4" s="1"/>
  <c r="BG115" i="4"/>
  <c r="BR115" i="4"/>
  <c r="BT115" i="4" s="1"/>
  <c r="BG107" i="4"/>
  <c r="BR107" i="4"/>
  <c r="BT107" i="4" s="1"/>
  <c r="BG99" i="4"/>
  <c r="BR99" i="4"/>
  <c r="BT99" i="4" s="1"/>
  <c r="BG91" i="4"/>
  <c r="BR91" i="4"/>
  <c r="BT91" i="4" s="1"/>
  <c r="BG83" i="4"/>
  <c r="BR83" i="4"/>
  <c r="BT83" i="4" s="1"/>
  <c r="BG75" i="4"/>
  <c r="BR75" i="4"/>
  <c r="BT75" i="4" s="1"/>
  <c r="BG67" i="4"/>
  <c r="BR67" i="4"/>
  <c r="BT67" i="4" s="1"/>
  <c r="BG59" i="4"/>
  <c r="BR59" i="4"/>
  <c r="BT59" i="4" s="1"/>
  <c r="BG51" i="4"/>
  <c r="BR51" i="4"/>
  <c r="BT51" i="4" s="1"/>
  <c r="BG43" i="4"/>
  <c r="BR43" i="4"/>
  <c r="BT43" i="4" s="1"/>
  <c r="BW30" i="4"/>
  <c r="BG30" i="4"/>
  <c r="BR30" i="4"/>
  <c r="BT30" i="4" s="1"/>
  <c r="BG152" i="4"/>
  <c r="BR152" i="4"/>
  <c r="BT152" i="4" s="1"/>
  <c r="BR120" i="4"/>
  <c r="BT120" i="4" s="1"/>
  <c r="BG120" i="4"/>
  <c r="BR88" i="4"/>
  <c r="BT88" i="4" s="1"/>
  <c r="BG88" i="4"/>
  <c r="BR56" i="4"/>
  <c r="BT56" i="4" s="1"/>
  <c r="BG56" i="4"/>
  <c r="BG29" i="4"/>
  <c r="BR29" i="4"/>
  <c r="BT29" i="4" s="1"/>
  <c r="BG154" i="4"/>
  <c r="BR154" i="4"/>
  <c r="BT154" i="4" s="1"/>
  <c r="BG122" i="4"/>
  <c r="BR122" i="4"/>
  <c r="BT122" i="4" s="1"/>
  <c r="BG90" i="4"/>
  <c r="BR90" i="4"/>
  <c r="BT90" i="4" s="1"/>
  <c r="BG58" i="4"/>
  <c r="BR58" i="4"/>
  <c r="BT58" i="4" s="1"/>
  <c r="BG35" i="4"/>
  <c r="BR35" i="4"/>
  <c r="BT35" i="4" s="1"/>
  <c r="BG14" i="4"/>
  <c r="BR14" i="4"/>
  <c r="BT14" i="4" s="1"/>
  <c r="BG132" i="4"/>
  <c r="BR132" i="4"/>
  <c r="BT132" i="4" s="1"/>
  <c r="BG100" i="4"/>
  <c r="BR100" i="4"/>
  <c r="BT100" i="4" s="1"/>
  <c r="BG68" i="4"/>
  <c r="BR68" i="4"/>
  <c r="BT68" i="4" s="1"/>
  <c r="BR34" i="4"/>
  <c r="BT34" i="4" s="1"/>
  <c r="BG34" i="4"/>
  <c r="BR16" i="4"/>
  <c r="BT16" i="4" s="1"/>
  <c r="BG16" i="4"/>
  <c r="BG134" i="4"/>
  <c r="BR134" i="4"/>
  <c r="BT134" i="4" s="1"/>
  <c r="BG102" i="4"/>
  <c r="BR102" i="4"/>
  <c r="BT102" i="4" s="1"/>
  <c r="BG70" i="4"/>
  <c r="BR70" i="4"/>
  <c r="BT70" i="4" s="1"/>
  <c r="BG40" i="4"/>
  <c r="BR40" i="4"/>
  <c r="BT40" i="4" s="1"/>
  <c r="BG19" i="4"/>
  <c r="BR19" i="4"/>
  <c r="BT19" i="4" s="1"/>
  <c r="BG157" i="4"/>
  <c r="BR157" i="4"/>
  <c r="BT157" i="4" s="1"/>
  <c r="BG149" i="4"/>
  <c r="BR149" i="4"/>
  <c r="BT149" i="4" s="1"/>
  <c r="BG141" i="4"/>
  <c r="BR141" i="4"/>
  <c r="BT141" i="4" s="1"/>
  <c r="BG133" i="4"/>
  <c r="BR133" i="4"/>
  <c r="BT133" i="4" s="1"/>
  <c r="BG125" i="4"/>
  <c r="BR125" i="4"/>
  <c r="BT125" i="4" s="1"/>
  <c r="BG117" i="4"/>
  <c r="BR117" i="4"/>
  <c r="BT117" i="4" s="1"/>
  <c r="BG109" i="4"/>
  <c r="BR109" i="4"/>
  <c r="BT109" i="4" s="1"/>
  <c r="BG101" i="4"/>
  <c r="BR101" i="4"/>
  <c r="BT101" i="4" s="1"/>
  <c r="BG93" i="4"/>
  <c r="BR93" i="4"/>
  <c r="BT93" i="4" s="1"/>
  <c r="BG85" i="4"/>
  <c r="BR85" i="4"/>
  <c r="BT85" i="4" s="1"/>
  <c r="BG77" i="4"/>
  <c r="BR77" i="4"/>
  <c r="BT77" i="4" s="1"/>
  <c r="BR69" i="4"/>
  <c r="BT69" i="4" s="1"/>
  <c r="BG69" i="4"/>
  <c r="BG61" i="4"/>
  <c r="BR61" i="4"/>
  <c r="BT61" i="4" s="1"/>
  <c r="BG53" i="4"/>
  <c r="BR53" i="4"/>
  <c r="BT53" i="4" s="1"/>
  <c r="BG45" i="4"/>
  <c r="BR45" i="4"/>
  <c r="BT45" i="4" s="1"/>
  <c r="BR33" i="4"/>
  <c r="BT33" i="4" s="1"/>
  <c r="BG33" i="4"/>
  <c r="BR17" i="4"/>
  <c r="BT17" i="4" s="1"/>
  <c r="BG17" i="4"/>
  <c r="BG136" i="4"/>
  <c r="BR136" i="4"/>
  <c r="BT136" i="4" s="1"/>
  <c r="BG104" i="4"/>
  <c r="BR104" i="4"/>
  <c r="BT104" i="4" s="1"/>
  <c r="BG72" i="4"/>
  <c r="BR72" i="4"/>
  <c r="BT72" i="4" s="1"/>
  <c r="BG36" i="4"/>
  <c r="BR36" i="4"/>
  <c r="BT36" i="4" s="1"/>
  <c r="BW15" i="4"/>
  <c r="BR15" i="4"/>
  <c r="BT15" i="4" s="1"/>
  <c r="BG15" i="4"/>
  <c r="BR138" i="4"/>
  <c r="BT138" i="4" s="1"/>
  <c r="BG138" i="4"/>
  <c r="BG106" i="4"/>
  <c r="BR106" i="4"/>
  <c r="BT106" i="4" s="1"/>
  <c r="BW74" i="4"/>
  <c r="BR74" i="4"/>
  <c r="BT74" i="4" s="1"/>
  <c r="BG74" i="4"/>
  <c r="BG42" i="4"/>
  <c r="BR42" i="4"/>
  <c r="BT42" i="4" s="1"/>
  <c r="BR24" i="4"/>
  <c r="BT24" i="4" s="1"/>
  <c r="BG24" i="4"/>
  <c r="BR148" i="4"/>
  <c r="BT148" i="4" s="1"/>
  <c r="BG148" i="4"/>
  <c r="BG116" i="4"/>
  <c r="BR116" i="4"/>
  <c r="BT116" i="4" s="1"/>
  <c r="BR84" i="4"/>
  <c r="BT84" i="4" s="1"/>
  <c r="BG84" i="4"/>
  <c r="BG52" i="4"/>
  <c r="BR52" i="4"/>
  <c r="BT52" i="4" s="1"/>
  <c r="BG27" i="4"/>
  <c r="BR27" i="4"/>
  <c r="BT27" i="4" s="1"/>
  <c r="BW150" i="4"/>
  <c r="BG150" i="4"/>
  <c r="BR150" i="4"/>
  <c r="BT150" i="4" s="1"/>
  <c r="BR118" i="4"/>
  <c r="BT118" i="4" s="1"/>
  <c r="BG118" i="4"/>
  <c r="BG86" i="4"/>
  <c r="BR86" i="4"/>
  <c r="BT86" i="4" s="1"/>
  <c r="BR54" i="4"/>
  <c r="BT54" i="4" s="1"/>
  <c r="BG54" i="4"/>
  <c r="BG26" i="4"/>
  <c r="BR26" i="4"/>
  <c r="BT26" i="4" s="1"/>
  <c r="BG11" i="4"/>
  <c r="BR11" i="4"/>
  <c r="BT11" i="4" s="1"/>
  <c r="BG153" i="4"/>
  <c r="BR153" i="4"/>
  <c r="BT153" i="4" s="1"/>
  <c r="BG145" i="4"/>
  <c r="BR145" i="4"/>
  <c r="BT145" i="4" s="1"/>
  <c r="BR137" i="4"/>
  <c r="BT137" i="4" s="1"/>
  <c r="BG137" i="4"/>
  <c r="BG129" i="4"/>
  <c r="BR129" i="4"/>
  <c r="BT129" i="4" s="1"/>
  <c r="BG121" i="4"/>
  <c r="BR121" i="4"/>
  <c r="BT121" i="4" s="1"/>
  <c r="BG113" i="4"/>
  <c r="BR113" i="4"/>
  <c r="BT113" i="4" s="1"/>
  <c r="BR105" i="4"/>
  <c r="BT105" i="4" s="1"/>
  <c r="BG105" i="4"/>
  <c r="BR97" i="4"/>
  <c r="BT97" i="4" s="1"/>
  <c r="BG97" i="4"/>
  <c r="BG89" i="4"/>
  <c r="BR89" i="4"/>
  <c r="BT89" i="4" s="1"/>
  <c r="BG81" i="4"/>
  <c r="BR81" i="4"/>
  <c r="BT81" i="4" s="1"/>
  <c r="BR73" i="4"/>
  <c r="BT73" i="4" s="1"/>
  <c r="BG73" i="4"/>
  <c r="BG65" i="4"/>
  <c r="BR65" i="4"/>
  <c r="BT65" i="4" s="1"/>
  <c r="BG57" i="4"/>
  <c r="BR57" i="4"/>
  <c r="BT57" i="4" s="1"/>
  <c r="BG49" i="4"/>
  <c r="BR49" i="4"/>
  <c r="BT49" i="4" s="1"/>
  <c r="BW41" i="4"/>
  <c r="BR41" i="4"/>
  <c r="BT41" i="4" s="1"/>
  <c r="BG41" i="4"/>
  <c r="BG25" i="4"/>
  <c r="BR25" i="4"/>
  <c r="BT25" i="4" s="1"/>
  <c r="BG10" i="4"/>
  <c r="BR10" i="4"/>
  <c r="BT10" i="4" s="1"/>
  <c r="BG128" i="4"/>
  <c r="BR128" i="4"/>
  <c r="BT128" i="4" s="1"/>
  <c r="BG96" i="4"/>
  <c r="BR96" i="4"/>
  <c r="BT96" i="4" s="1"/>
  <c r="BG64" i="4"/>
  <c r="BR64" i="4"/>
  <c r="BT64" i="4" s="1"/>
  <c r="BR32" i="4"/>
  <c r="BT32" i="4" s="1"/>
  <c r="BG32" i="4"/>
  <c r="BR12" i="4"/>
  <c r="BT12" i="4" s="1"/>
  <c r="BG12" i="4"/>
  <c r="BG130" i="4"/>
  <c r="BR130" i="4"/>
  <c r="BT130" i="4" s="1"/>
  <c r="BR98" i="4"/>
  <c r="BT98" i="4" s="1"/>
  <c r="BG98" i="4"/>
  <c r="BG66" i="4"/>
  <c r="BR66" i="4"/>
  <c r="BT66" i="4" s="1"/>
  <c r="BR39" i="4"/>
  <c r="BT39" i="4" s="1"/>
  <c r="BG39" i="4"/>
  <c r="BG21" i="4"/>
  <c r="BR21" i="4"/>
  <c r="BT21" i="4" s="1"/>
  <c r="BG140" i="4"/>
  <c r="BR140" i="4"/>
  <c r="BT140" i="4" s="1"/>
  <c r="BG108" i="4"/>
  <c r="BR108" i="4"/>
  <c r="BT108" i="4" s="1"/>
  <c r="BG76" i="4"/>
  <c r="BR76" i="4"/>
  <c r="BT76" i="4" s="1"/>
  <c r="BG44" i="4"/>
  <c r="BR44" i="4"/>
  <c r="BT44" i="4" s="1"/>
  <c r="BR20" i="4"/>
  <c r="BT20" i="4" s="1"/>
  <c r="BG20" i="4"/>
  <c r="BG142" i="4"/>
  <c r="BR142" i="4"/>
  <c r="BT142" i="4" s="1"/>
  <c r="BG110" i="4"/>
  <c r="BR110" i="4"/>
  <c r="BT110" i="4" s="1"/>
  <c r="BG78" i="4"/>
  <c r="BR78" i="4"/>
  <c r="BT78" i="4" s="1"/>
  <c r="BG46" i="4"/>
  <c r="BR46" i="4"/>
  <c r="BT46" i="4" s="1"/>
  <c r="BG23" i="4"/>
  <c r="BR23" i="4"/>
  <c r="BT23" i="4" s="1"/>
  <c r="BG9" i="4"/>
  <c r="BR9" i="4"/>
  <c r="BT9" i="4" s="1"/>
  <c r="BG151" i="4"/>
  <c r="BR151" i="4"/>
  <c r="BT151" i="4" s="1"/>
  <c r="BG143" i="4"/>
  <c r="BR143" i="4"/>
  <c r="BT143" i="4" s="1"/>
  <c r="BG135" i="4"/>
  <c r="BR135" i="4"/>
  <c r="BT135" i="4" s="1"/>
  <c r="BG127" i="4"/>
  <c r="BR127" i="4"/>
  <c r="BT127" i="4" s="1"/>
  <c r="BG119" i="4"/>
  <c r="BR119" i="4"/>
  <c r="BT119" i="4" s="1"/>
  <c r="BG111" i="4"/>
  <c r="BR111" i="4"/>
  <c r="BT111" i="4" s="1"/>
  <c r="BG103" i="4"/>
  <c r="BR103" i="4"/>
  <c r="BT103" i="4" s="1"/>
  <c r="BG95" i="4"/>
  <c r="BR95" i="4"/>
  <c r="BT95" i="4" s="1"/>
  <c r="BG87" i="4"/>
  <c r="BR87" i="4"/>
  <c r="BT87" i="4" s="1"/>
  <c r="BG79" i="4"/>
  <c r="BR79" i="4"/>
  <c r="BT79" i="4" s="1"/>
  <c r="BG71" i="4"/>
  <c r="BR71" i="4"/>
  <c r="BT71" i="4" s="1"/>
  <c r="BG63" i="4"/>
  <c r="BR63" i="4"/>
  <c r="BT63" i="4" s="1"/>
  <c r="BG55" i="4"/>
  <c r="BR55" i="4"/>
  <c r="BT55" i="4" s="1"/>
  <c r="BG47" i="4"/>
  <c r="BR47" i="4"/>
  <c r="BT47" i="4" s="1"/>
  <c r="BR38" i="4"/>
  <c r="BT38" i="4" s="1"/>
  <c r="BG38" i="4"/>
  <c r="BR22" i="4"/>
  <c r="BT22" i="4" s="1"/>
  <c r="BG22" i="4"/>
  <c r="BW10" i="4"/>
  <c r="BW96" i="4"/>
  <c r="BW32" i="4"/>
  <c r="BW130" i="4"/>
  <c r="BW98" i="4"/>
  <c r="BW39" i="4"/>
  <c r="BW140" i="4"/>
  <c r="BW76" i="4"/>
  <c r="BW20" i="4"/>
  <c r="BW110" i="4"/>
  <c r="BW78" i="4"/>
  <c r="BW23" i="4"/>
  <c r="BW143" i="4"/>
  <c r="BW127" i="4"/>
  <c r="BW111" i="4"/>
  <c r="BW95" i="4"/>
  <c r="BW79" i="4"/>
  <c r="BW63" i="4"/>
  <c r="BW47" i="4"/>
  <c r="BW22" i="4"/>
  <c r="BW152" i="4"/>
  <c r="BW88" i="4"/>
  <c r="BW29" i="4"/>
  <c r="BW122" i="4"/>
  <c r="BW58" i="4"/>
  <c r="BW14" i="4"/>
  <c r="BW100" i="4"/>
  <c r="BW34" i="4"/>
  <c r="BW16" i="4"/>
  <c r="BW102" i="4"/>
  <c r="BW40" i="4"/>
  <c r="BW19" i="4"/>
  <c r="BW149" i="4"/>
  <c r="BW125" i="4"/>
  <c r="BW109" i="4"/>
  <c r="BW93" i="4"/>
  <c r="BW77" i="4"/>
  <c r="BW53" i="4"/>
  <c r="BW33" i="4"/>
  <c r="BW112" i="4"/>
  <c r="BW80" i="4"/>
  <c r="BW48" i="4"/>
  <c r="BW18" i="4"/>
  <c r="BW146" i="4"/>
  <c r="BW114" i="4"/>
  <c r="BW82" i="4"/>
  <c r="BW50" i="4"/>
  <c r="BW28" i="4"/>
  <c r="BW156" i="4"/>
  <c r="BW124" i="4"/>
  <c r="BW92" i="4"/>
  <c r="BW60" i="4"/>
  <c r="BW31" i="4"/>
  <c r="BR8" i="4"/>
  <c r="BW8" i="4"/>
  <c r="BW126" i="4"/>
  <c r="BW94" i="4"/>
  <c r="BW62" i="4"/>
  <c r="BW37" i="4"/>
  <c r="BW13" i="4"/>
  <c r="BW155" i="4"/>
  <c r="BW139" i="4"/>
  <c r="BW131" i="4"/>
  <c r="BW123" i="4"/>
  <c r="BW115" i="4"/>
  <c r="BW107" i="4"/>
  <c r="BW99" i="4"/>
  <c r="BW91" i="4"/>
  <c r="BW83" i="4"/>
  <c r="BW75" i="4"/>
  <c r="BW67" i="4"/>
  <c r="BW59" i="4"/>
  <c r="BW51" i="4"/>
  <c r="BW43" i="4"/>
  <c r="BW128" i="4"/>
  <c r="BW64" i="4"/>
  <c r="BW12" i="4"/>
  <c r="BW66" i="4"/>
  <c r="BW21" i="4"/>
  <c r="BW108" i="4"/>
  <c r="BW44" i="4"/>
  <c r="BW142" i="4"/>
  <c r="BW46" i="4"/>
  <c r="BW9" i="4"/>
  <c r="BW151" i="4"/>
  <c r="BW135" i="4"/>
  <c r="BW119" i="4"/>
  <c r="BW103" i="4"/>
  <c r="BW87" i="4"/>
  <c r="BW71" i="4"/>
  <c r="BW55" i="4"/>
  <c r="BW38" i="4"/>
  <c r="BW120" i="4"/>
  <c r="BW56" i="4"/>
  <c r="BW154" i="4"/>
  <c r="BW90" i="4"/>
  <c r="BW35" i="4"/>
  <c r="BW132" i="4"/>
  <c r="BW68" i="4"/>
  <c r="BW134" i="4"/>
  <c r="BW70" i="4"/>
  <c r="BW157" i="4"/>
  <c r="BW141" i="4"/>
  <c r="BW133" i="4"/>
  <c r="BW117" i="4"/>
  <c r="BW101" i="4"/>
  <c r="BW85" i="4"/>
  <c r="BW69" i="4"/>
  <c r="BW61" i="4"/>
  <c r="BW45" i="4"/>
  <c r="BW17" i="4"/>
  <c r="BW136" i="4"/>
  <c r="BW104" i="4"/>
  <c r="BW72" i="4"/>
  <c r="BW36" i="4"/>
  <c r="BW138" i="4"/>
  <c r="BW106" i="4"/>
  <c r="BW42" i="4"/>
  <c r="BW24" i="4"/>
  <c r="BW148" i="4"/>
  <c r="BW116" i="4"/>
  <c r="BW84" i="4"/>
  <c r="BW52" i="4"/>
  <c r="BW27" i="4"/>
  <c r="BW118" i="4"/>
  <c r="BW86" i="4"/>
  <c r="BW54" i="4"/>
  <c r="BW26" i="4"/>
  <c r="BW11" i="4"/>
  <c r="BW153" i="4"/>
  <c r="BW145" i="4"/>
  <c r="BW137" i="4"/>
  <c r="BW129" i="4"/>
  <c r="BW121" i="4"/>
  <c r="BW113" i="4"/>
  <c r="BW105" i="4"/>
  <c r="BW97" i="4"/>
  <c r="BW89" i="4"/>
  <c r="BW81" i="4"/>
  <c r="BW73" i="4"/>
  <c r="BW65" i="4"/>
  <c r="BW57" i="4"/>
  <c r="BW49" i="4"/>
  <c r="BW25" i="4"/>
  <c r="BG8" i="4"/>
  <c r="U112" i="4"/>
  <c r="U48" i="4"/>
  <c r="V48" i="4" s="1"/>
  <c r="U146" i="4"/>
  <c r="U82" i="4"/>
  <c r="U156" i="4"/>
  <c r="U92" i="4"/>
  <c r="U31" i="4"/>
  <c r="V31" i="4" s="1"/>
  <c r="U126" i="4"/>
  <c r="U62" i="4"/>
  <c r="U13" i="4"/>
  <c r="V13" i="4" s="1"/>
  <c r="U139" i="4"/>
  <c r="V139" i="4" s="1"/>
  <c r="U123" i="4"/>
  <c r="U107" i="4"/>
  <c r="U83" i="4"/>
  <c r="V83" i="4" s="1"/>
  <c r="U67" i="4"/>
  <c r="U43" i="4"/>
  <c r="V43" i="4" s="1"/>
  <c r="U136" i="4"/>
  <c r="V136" i="4" s="1"/>
  <c r="U72" i="4"/>
  <c r="V72" i="4" s="1"/>
  <c r="U15" i="4"/>
  <c r="V15" i="4" s="1"/>
  <c r="U106" i="4"/>
  <c r="U24" i="4"/>
  <c r="V24" i="4" s="1"/>
  <c r="U116" i="4"/>
  <c r="U27" i="4"/>
  <c r="V27" i="4" s="1"/>
  <c r="U86" i="4"/>
  <c r="V86" i="4" s="1"/>
  <c r="U11" i="4"/>
  <c r="V11" i="4" s="1"/>
  <c r="U145" i="4"/>
  <c r="U137" i="4"/>
  <c r="U121" i="4"/>
  <c r="V121" i="4" s="1"/>
  <c r="U105" i="4"/>
  <c r="V105" i="4" s="1"/>
  <c r="U89" i="4"/>
  <c r="U81" i="4"/>
  <c r="U65" i="4"/>
  <c r="U49" i="4"/>
  <c r="V49" i="4" s="1"/>
  <c r="U25" i="4"/>
  <c r="V25" i="4" s="1"/>
  <c r="U152" i="4"/>
  <c r="U120" i="4"/>
  <c r="U88" i="4"/>
  <c r="U56" i="4"/>
  <c r="U29" i="4"/>
  <c r="V29" i="4" s="1"/>
  <c r="U154" i="4"/>
  <c r="U122" i="4"/>
  <c r="U90" i="4"/>
  <c r="U58" i="4"/>
  <c r="V58" i="4" s="1"/>
  <c r="U35" i="4"/>
  <c r="V35" i="4" s="1"/>
  <c r="U14" i="4"/>
  <c r="V14" i="4" s="1"/>
  <c r="U132" i="4"/>
  <c r="U100" i="4"/>
  <c r="U68" i="4"/>
  <c r="U34" i="4"/>
  <c r="V34" i="4" s="1"/>
  <c r="U16" i="4"/>
  <c r="V16" i="4" s="1"/>
  <c r="U134" i="4"/>
  <c r="V134" i="4" s="1"/>
  <c r="U102" i="4"/>
  <c r="U70" i="4"/>
  <c r="V70" i="4" s="1"/>
  <c r="U40" i="4"/>
  <c r="U19" i="4"/>
  <c r="V19" i="4" s="1"/>
  <c r="U157" i="4"/>
  <c r="U149" i="4"/>
  <c r="V149" i="4" s="1"/>
  <c r="U141" i="4"/>
  <c r="V141" i="4" s="1"/>
  <c r="U133" i="4"/>
  <c r="U125" i="4"/>
  <c r="V125" i="4" s="1"/>
  <c r="U117" i="4"/>
  <c r="V117" i="4" s="1"/>
  <c r="U109" i="4"/>
  <c r="V109" i="4" s="1"/>
  <c r="U101" i="4"/>
  <c r="V101" i="4" s="1"/>
  <c r="U93" i="4"/>
  <c r="V93" i="4" s="1"/>
  <c r="U85" i="4"/>
  <c r="V85" i="4" s="1"/>
  <c r="U77" i="4"/>
  <c r="V77" i="4" s="1"/>
  <c r="U69" i="4"/>
  <c r="U61" i="4"/>
  <c r="U53" i="4"/>
  <c r="V53" i="4" s="1"/>
  <c r="U45" i="4"/>
  <c r="U33" i="4"/>
  <c r="V33" i="4" s="1"/>
  <c r="U17" i="4"/>
  <c r="V17" i="4" s="1"/>
  <c r="U144" i="4"/>
  <c r="V144" i="4" s="1"/>
  <c r="U80" i="4"/>
  <c r="V80" i="4" s="1"/>
  <c r="U18" i="4"/>
  <c r="V18" i="4" s="1"/>
  <c r="U114" i="4"/>
  <c r="U50" i="4"/>
  <c r="U28" i="4"/>
  <c r="V28" i="4" s="1"/>
  <c r="U124" i="4"/>
  <c r="U60" i="4"/>
  <c r="U8" i="4"/>
  <c r="AW8" i="4"/>
  <c r="U94" i="4"/>
  <c r="U37" i="4"/>
  <c r="U155" i="4"/>
  <c r="U147" i="4"/>
  <c r="U131" i="4"/>
  <c r="U115" i="4"/>
  <c r="V115" i="4" s="1"/>
  <c r="U99" i="4"/>
  <c r="V99" i="4" s="1"/>
  <c r="U91" i="4"/>
  <c r="U75" i="4"/>
  <c r="U59" i="4"/>
  <c r="U51" i="4"/>
  <c r="V51" i="4" s="1"/>
  <c r="U30" i="4"/>
  <c r="V30" i="4" s="1"/>
  <c r="U104" i="4"/>
  <c r="U36" i="4"/>
  <c r="V36" i="4" s="1"/>
  <c r="U138" i="4"/>
  <c r="V138" i="4" s="1"/>
  <c r="U74" i="4"/>
  <c r="U42" i="4"/>
  <c r="V42" i="4" s="1"/>
  <c r="U148" i="4"/>
  <c r="V148" i="4" s="1"/>
  <c r="U84" i="4"/>
  <c r="U52" i="4"/>
  <c r="U150" i="4"/>
  <c r="U118" i="4"/>
  <c r="V118" i="4" s="1"/>
  <c r="U54" i="4"/>
  <c r="U26" i="4"/>
  <c r="V26" i="4" s="1"/>
  <c r="U153" i="4"/>
  <c r="U129" i="4"/>
  <c r="U113" i="4"/>
  <c r="U97" i="4"/>
  <c r="U73" i="4"/>
  <c r="V73" i="4" s="1"/>
  <c r="U57" i="4"/>
  <c r="U41" i="4"/>
  <c r="U10" i="4"/>
  <c r="V10" i="4" s="1"/>
  <c r="U128" i="4"/>
  <c r="V128" i="4" s="1"/>
  <c r="U96" i="4"/>
  <c r="V96" i="4" s="1"/>
  <c r="U64" i="4"/>
  <c r="U32" i="4"/>
  <c r="V32" i="4" s="1"/>
  <c r="U12" i="4"/>
  <c r="V12" i="4" s="1"/>
  <c r="U130" i="4"/>
  <c r="U98" i="4"/>
  <c r="V98" i="4" s="1"/>
  <c r="U66" i="4"/>
  <c r="V66" i="4" s="1"/>
  <c r="U39" i="4"/>
  <c r="U21" i="4"/>
  <c r="V21" i="4" s="1"/>
  <c r="U140" i="4"/>
  <c r="U108" i="4"/>
  <c r="U76" i="4"/>
  <c r="U44" i="4"/>
  <c r="V44" i="4" s="1"/>
  <c r="U20" i="4"/>
  <c r="V20" i="4" s="1"/>
  <c r="U142" i="4"/>
  <c r="U110" i="4"/>
  <c r="U78" i="4"/>
  <c r="V78" i="4" s="1"/>
  <c r="U46" i="4"/>
  <c r="U23" i="4"/>
  <c r="V23" i="4" s="1"/>
  <c r="U9" i="4"/>
  <c r="V9" i="4" s="1"/>
  <c r="U151" i="4"/>
  <c r="V151" i="4" s="1"/>
  <c r="U143" i="4"/>
  <c r="U135" i="4"/>
  <c r="V135" i="4" s="1"/>
  <c r="U127" i="4"/>
  <c r="V127" i="4" s="1"/>
  <c r="U119" i="4"/>
  <c r="V119" i="4" s="1"/>
  <c r="U111" i="4"/>
  <c r="U103" i="4"/>
  <c r="V103" i="4" s="1"/>
  <c r="U95" i="4"/>
  <c r="V95" i="4" s="1"/>
  <c r="U87" i="4"/>
  <c r="V87" i="4" s="1"/>
  <c r="U79" i="4"/>
  <c r="U71" i="4"/>
  <c r="V71" i="4" s="1"/>
  <c r="U63" i="4"/>
  <c r="V63" i="4" s="1"/>
  <c r="U55" i="4"/>
  <c r="V55" i="4" s="1"/>
  <c r="U47" i="4"/>
  <c r="U38" i="4"/>
  <c r="V38" i="4" s="1"/>
  <c r="U22" i="4"/>
  <c r="V22" i="4" s="1"/>
  <c r="Z361" i="10"/>
  <c r="AB361" i="10" s="1"/>
  <c r="Z280" i="10"/>
  <c r="AA280" i="10" s="1"/>
  <c r="Z176" i="10"/>
  <c r="AA176" i="10" s="1"/>
  <c r="Z248" i="10"/>
  <c r="AA248" i="10" s="1"/>
  <c r="Z204" i="10"/>
  <c r="AA204" i="10" s="1"/>
  <c r="Z396" i="10"/>
  <c r="AA396" i="10" s="1"/>
  <c r="Z245" i="10"/>
  <c r="AB245" i="10" s="1"/>
  <c r="Z539" i="10"/>
  <c r="AA539" i="10" s="1"/>
  <c r="Z324" i="10"/>
  <c r="AB324" i="10" s="1"/>
  <c r="Z467" i="10"/>
  <c r="AB467" i="10" s="1"/>
  <c r="Z259" i="10"/>
  <c r="Z560" i="10"/>
  <c r="AB560" i="10" s="1"/>
  <c r="Z430" i="10"/>
  <c r="AB430" i="10" s="1"/>
  <c r="Z534" i="10"/>
  <c r="AA534" i="10" s="1"/>
  <c r="Z540" i="10"/>
  <c r="Z21" i="10"/>
  <c r="AB21" i="10" s="1"/>
  <c r="Z33" i="10"/>
  <c r="AB33" i="10" s="1"/>
  <c r="Z368" i="10"/>
  <c r="Z304" i="10"/>
  <c r="Z483" i="10"/>
  <c r="AB483" i="10" s="1"/>
  <c r="Z125" i="10"/>
  <c r="AA125" i="10" s="1"/>
  <c r="Z348" i="10"/>
  <c r="AA348" i="10" s="1"/>
  <c r="Z498" i="10"/>
  <c r="Z554" i="10"/>
  <c r="AA554" i="10" s="1"/>
  <c r="Z19" i="10"/>
  <c r="AB19" i="10" s="1"/>
  <c r="Z192" i="10"/>
  <c r="AB192" i="10" s="1"/>
  <c r="Z505" i="10"/>
  <c r="AB505" i="10" s="1"/>
  <c r="Z104" i="10"/>
  <c r="AA104" i="10" s="1"/>
  <c r="Z129" i="10"/>
  <c r="AA129" i="10" s="1"/>
  <c r="Z7" i="10"/>
  <c r="AA7" i="10" s="1"/>
  <c r="Z512" i="10"/>
  <c r="AA512" i="10" s="1"/>
  <c r="Z60" i="10"/>
  <c r="AB60" i="10" s="1"/>
  <c r="Z31" i="10"/>
  <c r="AA31" i="10" s="1"/>
  <c r="Z425" i="10"/>
  <c r="AA425" i="10" s="1"/>
  <c r="Z529" i="10"/>
  <c r="AA529" i="10" s="1"/>
  <c r="Z453" i="10"/>
  <c r="AB453" i="10" s="1"/>
  <c r="Z323" i="10"/>
  <c r="AB323" i="10" s="1"/>
  <c r="Z386" i="10"/>
  <c r="AB386" i="10" s="1"/>
  <c r="Z247" i="10"/>
  <c r="AA247" i="10" s="1"/>
  <c r="Z117" i="10"/>
  <c r="AA117" i="10" s="1"/>
  <c r="Z39" i="10"/>
  <c r="AB39" i="10" s="1"/>
  <c r="Z151" i="10"/>
  <c r="AA151" i="10" s="1"/>
  <c r="Z85" i="10"/>
  <c r="Z207" i="10"/>
  <c r="AB207" i="10" s="1"/>
  <c r="Z22" i="10"/>
  <c r="AB22" i="10" s="1"/>
  <c r="Z238" i="10"/>
  <c r="AA238" i="10" s="1"/>
  <c r="Z377" i="10"/>
  <c r="AB377" i="10" s="1"/>
  <c r="Z469" i="10"/>
  <c r="AA469" i="10" s="1"/>
  <c r="Z551" i="10"/>
  <c r="AA551" i="10" s="1"/>
  <c r="Z468" i="10"/>
  <c r="AA468" i="10" s="1"/>
  <c r="Z504" i="10"/>
  <c r="AA504" i="10" s="1"/>
  <c r="Z433" i="10"/>
  <c r="AB433" i="10" s="1"/>
  <c r="Z351" i="10"/>
  <c r="AA351" i="10" s="1"/>
  <c r="Z357" i="10"/>
  <c r="AA357" i="10" s="1"/>
  <c r="Z227" i="10"/>
  <c r="AA227" i="10" s="1"/>
  <c r="Z65" i="10"/>
  <c r="AB65" i="10" s="1"/>
  <c r="Z115" i="10"/>
  <c r="AA115" i="10" s="1"/>
  <c r="Z43" i="10"/>
  <c r="AA43" i="10" s="1"/>
  <c r="Z284" i="10"/>
  <c r="AB284" i="10" s="1"/>
  <c r="Z479" i="10"/>
  <c r="AA479" i="10" s="1"/>
  <c r="Z32" i="10"/>
  <c r="AB32" i="10" s="1"/>
  <c r="Z164" i="10"/>
  <c r="AB164" i="10" s="1"/>
  <c r="Z277" i="10"/>
  <c r="Z461" i="10"/>
  <c r="AA461" i="10" s="1"/>
  <c r="Z543" i="10"/>
  <c r="AB543" i="10" s="1"/>
  <c r="Z521" i="10"/>
  <c r="AA521" i="10" s="1"/>
  <c r="Z449" i="10"/>
  <c r="Z366" i="10"/>
  <c r="AB366" i="10" s="1"/>
  <c r="Z318" i="10"/>
  <c r="AB318" i="10" s="1"/>
  <c r="Z243" i="10"/>
  <c r="AB243" i="10" s="1"/>
  <c r="Z206" i="10"/>
  <c r="Z131" i="10"/>
  <c r="AA131" i="10" s="1"/>
  <c r="Z202" i="10"/>
  <c r="AA202" i="10" s="1"/>
  <c r="Z252" i="10"/>
  <c r="AB252" i="10" s="1"/>
  <c r="Z399" i="10"/>
  <c r="Z524" i="10"/>
  <c r="AA524" i="10" s="1"/>
  <c r="Z226" i="10"/>
  <c r="AA226" i="10" s="1"/>
  <c r="Z261" i="10"/>
  <c r="AB261" i="10" s="1"/>
  <c r="Z413" i="10"/>
  <c r="AB413" i="10" s="1"/>
  <c r="Z520" i="10"/>
  <c r="AB520" i="10" s="1"/>
  <c r="Z475" i="10"/>
  <c r="AB475" i="10" s="1"/>
  <c r="Z76" i="10"/>
  <c r="AA76" i="10" s="1"/>
  <c r="Z244" i="10"/>
  <c r="AA244" i="10" s="1"/>
  <c r="Z383" i="10"/>
  <c r="AB383" i="10" s="1"/>
  <c r="Z485" i="10"/>
  <c r="AA485" i="10" s="1"/>
  <c r="Z62" i="10"/>
  <c r="AA62" i="10" s="1"/>
  <c r="Z559" i="10"/>
  <c r="AA559" i="10" s="1"/>
  <c r="Z414" i="10"/>
  <c r="AB414" i="10" s="1"/>
  <c r="Z287" i="10"/>
  <c r="AB287" i="10" s="1"/>
  <c r="Z57" i="10"/>
  <c r="AB57" i="10" s="1"/>
  <c r="Z71" i="10"/>
  <c r="AB71" i="10" s="1"/>
  <c r="Z224" i="10"/>
  <c r="AB224" i="10" s="1"/>
  <c r="Z201" i="10"/>
  <c r="AB201" i="10" s="1"/>
  <c r="Z460" i="10"/>
  <c r="AB460" i="10" s="1"/>
  <c r="Z34" i="10"/>
  <c r="AA34" i="10" s="1"/>
  <c r="Z296" i="10"/>
  <c r="AB296" i="10" s="1"/>
  <c r="Z385" i="10"/>
  <c r="AA385" i="10" s="1"/>
  <c r="Z550" i="10"/>
  <c r="AB550" i="10" s="1"/>
  <c r="Z100" i="10"/>
  <c r="AA100" i="10" s="1"/>
  <c r="Z254" i="10"/>
  <c r="AB254" i="10" s="1"/>
  <c r="Z495" i="10"/>
  <c r="AA495" i="10" s="1"/>
  <c r="Z128" i="10"/>
  <c r="AB128" i="10" s="1"/>
  <c r="Z517" i="10"/>
  <c r="AA517" i="10" s="1"/>
  <c r="Z239" i="10"/>
  <c r="AB239" i="10" s="1"/>
  <c r="Z260" i="10"/>
  <c r="AB260" i="10" s="1"/>
  <c r="Z294" i="10"/>
  <c r="AB294" i="10" s="1"/>
  <c r="Z68" i="10"/>
  <c r="AB68" i="10" s="1"/>
  <c r="Z442" i="10"/>
  <c r="AA442" i="10" s="1"/>
  <c r="Z412" i="10"/>
  <c r="AA412" i="10" s="1"/>
  <c r="Z337" i="10"/>
  <c r="AA337" i="10" s="1"/>
  <c r="Z26" i="10"/>
  <c r="AA26" i="10" s="1"/>
  <c r="Z166" i="10"/>
  <c r="AB166" i="10" s="1"/>
  <c r="Z503" i="10"/>
  <c r="AB503" i="10" s="1"/>
  <c r="Z193" i="10"/>
  <c r="AA193" i="10" s="1"/>
  <c r="Z452" i="10"/>
  <c r="AB452" i="10" s="1"/>
  <c r="Z470" i="10"/>
  <c r="AB470" i="10" s="1"/>
  <c r="Z139" i="10"/>
  <c r="AB139" i="10" s="1"/>
  <c r="Z222" i="10"/>
  <c r="AB222" i="10" s="1"/>
  <c r="Z519" i="10"/>
  <c r="Z523" i="10"/>
  <c r="AA523" i="10" s="1"/>
  <c r="Z404" i="10"/>
  <c r="AB404" i="10" s="1"/>
  <c r="Z307" i="10"/>
  <c r="AB307" i="10" s="1"/>
  <c r="Z329" i="10"/>
  <c r="AB329" i="10" s="1"/>
  <c r="Z183" i="10"/>
  <c r="AB183" i="10" s="1"/>
  <c r="Z101" i="10"/>
  <c r="AA101" i="10" s="1"/>
  <c r="Z99" i="10"/>
  <c r="AB99" i="10" s="1"/>
  <c r="Z135" i="10"/>
  <c r="AB135" i="10" s="1"/>
  <c r="Z59" i="10"/>
  <c r="AB59" i="10" s="1"/>
  <c r="Z48" i="10"/>
  <c r="AA48" i="10" s="1"/>
  <c r="Z86" i="10"/>
  <c r="AB86" i="10" s="1"/>
  <c r="Z276" i="10"/>
  <c r="AA276" i="10" s="1"/>
  <c r="Z298" i="10"/>
  <c r="AA298" i="10" s="1"/>
  <c r="Z436" i="10"/>
  <c r="AB436" i="10" s="1"/>
  <c r="Z169" i="10"/>
  <c r="AB169" i="10" s="1"/>
  <c r="Z56" i="10"/>
  <c r="Z492" i="10"/>
  <c r="AB492" i="10" s="1"/>
  <c r="Z400" i="10"/>
  <c r="AB400" i="10" s="1"/>
  <c r="Z319" i="10"/>
  <c r="AA319" i="10" s="1"/>
  <c r="Z325" i="10"/>
  <c r="Z179" i="10"/>
  <c r="AB179" i="10" s="1"/>
  <c r="Z23" i="10"/>
  <c r="AB23" i="10" s="1"/>
  <c r="Z81" i="10"/>
  <c r="AB81" i="10" s="1"/>
  <c r="Z35" i="10"/>
  <c r="AB35" i="10" s="1"/>
  <c r="Z197" i="10"/>
  <c r="AA197" i="10" s="1"/>
  <c r="Z516" i="10"/>
  <c r="AA516" i="10" s="1"/>
  <c r="Z114" i="10"/>
  <c r="AB114" i="10" s="1"/>
  <c r="Z212" i="10"/>
  <c r="AA212" i="10" s="1"/>
  <c r="Z246" i="10"/>
  <c r="AA246" i="10" s="1"/>
  <c r="Z432" i="10"/>
  <c r="AB432" i="10" s="1"/>
  <c r="Z185" i="10"/>
  <c r="AB185" i="10" s="1"/>
  <c r="Z496" i="10"/>
  <c r="AB496" i="10" s="1"/>
  <c r="Z416" i="10"/>
  <c r="AB416" i="10" s="1"/>
  <c r="Z335" i="10"/>
  <c r="AB335" i="10" s="1"/>
  <c r="Z341" i="10"/>
  <c r="AB341" i="10" s="1"/>
  <c r="Z211" i="10"/>
  <c r="Z29" i="10"/>
  <c r="AB29" i="10" s="1"/>
  <c r="Z97" i="10"/>
  <c r="AA97" i="10" s="1"/>
  <c r="Z182" i="10"/>
  <c r="AB182" i="10" s="1"/>
  <c r="Z173" i="10"/>
  <c r="AB173" i="10" s="1"/>
  <c r="Z489" i="10"/>
  <c r="AA489" i="10" s="1"/>
  <c r="Z90" i="10"/>
  <c r="AB90" i="10" s="1"/>
  <c r="Z177" i="10"/>
  <c r="AB177" i="10" s="1"/>
  <c r="Z293" i="10"/>
  <c r="AB293" i="10" s="1"/>
  <c r="Z419" i="10"/>
  <c r="AB419" i="10" s="1"/>
  <c r="Z553" i="10"/>
  <c r="AB553" i="10" s="1"/>
  <c r="Z538" i="10"/>
  <c r="AB538" i="10" s="1"/>
  <c r="Z230" i="10"/>
  <c r="AA230" i="10" s="1"/>
  <c r="Z221" i="10"/>
  <c r="AB221" i="10" s="1"/>
  <c r="Z391" i="10"/>
  <c r="AB391" i="10" s="1"/>
  <c r="Z557" i="10"/>
  <c r="AA557" i="10" s="1"/>
  <c r="Z138" i="10"/>
  <c r="AB138" i="10" s="1"/>
  <c r="Z527" i="10"/>
  <c r="AA527" i="10" s="1"/>
  <c r="Z347" i="10"/>
  <c r="AA347" i="10" s="1"/>
  <c r="Z223" i="10"/>
  <c r="AB223" i="10" s="1"/>
  <c r="Z111" i="10"/>
  <c r="Z292" i="10"/>
  <c r="AA292" i="10" s="1"/>
  <c r="Z74" i="10"/>
  <c r="AB74" i="10" s="1"/>
  <c r="Z285" i="10"/>
  <c r="AA285" i="10" s="1"/>
  <c r="Z544" i="10"/>
  <c r="Z118" i="10"/>
  <c r="AA118" i="10" s="1"/>
  <c r="Z373" i="10"/>
  <c r="AB373" i="10" s="1"/>
  <c r="Z423" i="10"/>
  <c r="AB423" i="10" s="1"/>
  <c r="Z47" i="10"/>
  <c r="Z120" i="10"/>
  <c r="AB120" i="10" s="1"/>
  <c r="Z369" i="10"/>
  <c r="AB369" i="10" s="1"/>
  <c r="Z471" i="10"/>
  <c r="AA471" i="10" s="1"/>
  <c r="Z225" i="10"/>
  <c r="Z445" i="10"/>
  <c r="AA445" i="10" s="1"/>
  <c r="Z203" i="10"/>
  <c r="AB203" i="10" s="1"/>
  <c r="Z415" i="10"/>
  <c r="AB415" i="10" s="1"/>
  <c r="Z451" i="10"/>
  <c r="AA451" i="10" s="1"/>
  <c r="Z288" i="10"/>
  <c r="AA288" i="10" s="1"/>
  <c r="Z541" i="10"/>
  <c r="AA541" i="10" s="1"/>
  <c r="Z398" i="10"/>
  <c r="AA398" i="10" s="1"/>
  <c r="Z271" i="10"/>
  <c r="AB271" i="10" s="1"/>
  <c r="Z159" i="10"/>
  <c r="AA159" i="10" s="1"/>
  <c r="Z158" i="10"/>
  <c r="AA158" i="10" s="1"/>
  <c r="Z281" i="10"/>
  <c r="AB281" i="10" s="1"/>
  <c r="Z233" i="10"/>
  <c r="Z493" i="10"/>
  <c r="AA493" i="10" s="1"/>
  <c r="Z349" i="10"/>
  <c r="AB349" i="10" s="1"/>
  <c r="Z268" i="10"/>
  <c r="AA268" i="10" s="1"/>
  <c r="Z482" i="10"/>
  <c r="Z380" i="10"/>
  <c r="AB380" i="10" s="1"/>
  <c r="Z167" i="10"/>
  <c r="AB167" i="10" s="1"/>
  <c r="Z75" i="10"/>
  <c r="AB75" i="10" s="1"/>
  <c r="Z46" i="10"/>
  <c r="AB46" i="10" s="1"/>
  <c r="Z126" i="10"/>
  <c r="AB126" i="10" s="1"/>
  <c r="Z360" i="10"/>
  <c r="AA360" i="10" s="1"/>
  <c r="Z249" i="10"/>
  <c r="AA249" i="10" s="1"/>
  <c r="Z477" i="10"/>
  <c r="Z376" i="10"/>
  <c r="AB376" i="10" s="1"/>
  <c r="Z145" i="10"/>
  <c r="AB145" i="10" s="1"/>
  <c r="Z44" i="10"/>
  <c r="AB44" i="10" s="1"/>
  <c r="Z312" i="10"/>
  <c r="Z69" i="10"/>
  <c r="AB69" i="10" s="1"/>
  <c r="Z316" i="10"/>
  <c r="AA316" i="10" s="1"/>
  <c r="Z257" i="10"/>
  <c r="AA257" i="10" s="1"/>
  <c r="Z384" i="10"/>
  <c r="Z309" i="10"/>
  <c r="AB309" i="10" s="1"/>
  <c r="Z95" i="10"/>
  <c r="AB95" i="10" s="1"/>
  <c r="Z30" i="10"/>
  <c r="AB30" i="10" s="1"/>
  <c r="Z542" i="10"/>
  <c r="AA542" i="10" s="1"/>
  <c r="Z228" i="10"/>
  <c r="AB228" i="10" s="1"/>
  <c r="Z443" i="10"/>
  <c r="AA443" i="10" s="1"/>
  <c r="Z78" i="10"/>
  <c r="AB78" i="10" s="1"/>
  <c r="Z290" i="10"/>
  <c r="AB290" i="10" s="1"/>
  <c r="Z558" i="10"/>
  <c r="AA558" i="10" s="1"/>
  <c r="Z473" i="10"/>
  <c r="AA473" i="10" s="1"/>
  <c r="Z141" i="10"/>
  <c r="AB141" i="10" s="1"/>
  <c r="Z328" i="10"/>
  <c r="AA328" i="10" s="1"/>
  <c r="Z332" i="10"/>
  <c r="AB332" i="10" s="1"/>
  <c r="Z92" i="10"/>
  <c r="AA92" i="10" s="1"/>
  <c r="Z446" i="10"/>
  <c r="AB446" i="10" s="1"/>
  <c r="Z160" i="10"/>
  <c r="AA160" i="10" s="1"/>
  <c r="Z82" i="10"/>
  <c r="AB82" i="10" s="1"/>
  <c r="Z362" i="10"/>
  <c r="AB362" i="10" s="1"/>
  <c r="Z162" i="10"/>
  <c r="AB162" i="10" s="1"/>
  <c r="Z237" i="10"/>
  <c r="Z331" i="10"/>
  <c r="AA331" i="10" s="1"/>
  <c r="Z93" i="10"/>
  <c r="AB93" i="10" s="1"/>
  <c r="Z200" i="10"/>
  <c r="AA200" i="10" s="1"/>
  <c r="Z556" i="10"/>
  <c r="Z150" i="10"/>
  <c r="AA150" i="10" s="1"/>
  <c r="Z300" i="10"/>
  <c r="AA300" i="10" s="1"/>
  <c r="Z434" i="10"/>
  <c r="Z37" i="10"/>
  <c r="AA37" i="10" s="1"/>
  <c r="Z124" i="10"/>
  <c r="AA124" i="10" s="1"/>
  <c r="Z389" i="10"/>
  <c r="AA389" i="10" s="1"/>
  <c r="Z533" i="10"/>
  <c r="AB533" i="10" s="1"/>
  <c r="Z378" i="10"/>
  <c r="AB378" i="10" s="1"/>
  <c r="Z255" i="10"/>
  <c r="AB255" i="10" s="1"/>
  <c r="Z143" i="10"/>
  <c r="AA143" i="10" s="1"/>
  <c r="Z156" i="10"/>
  <c r="Z427" i="10"/>
  <c r="Z253" i="10"/>
  <c r="AA253" i="10" s="1"/>
  <c r="Z522" i="10"/>
  <c r="AB522" i="10" s="1"/>
  <c r="Z94" i="10"/>
  <c r="AB94" i="10" s="1"/>
  <c r="Z165" i="10"/>
  <c r="AA165" i="10" s="1"/>
  <c r="Z417" i="10"/>
  <c r="AA417" i="10" s="1"/>
  <c r="Z122" i="10"/>
  <c r="AA122" i="10" s="1"/>
  <c r="Z502" i="10"/>
  <c r="AA502" i="10" s="1"/>
  <c r="Z435" i="10"/>
  <c r="AA435" i="10" s="1"/>
  <c r="Z53" i="10"/>
  <c r="AB53" i="10" s="1"/>
  <c r="Z532" i="10"/>
  <c r="AB532" i="10" s="1"/>
  <c r="Z526" i="10"/>
  <c r="AB526" i="10" s="1"/>
  <c r="Z181" i="10"/>
  <c r="Z536" i="10"/>
  <c r="AA536" i="10" s="1"/>
  <c r="Z116" i="10"/>
  <c r="AB116" i="10" s="1"/>
  <c r="Z154" i="10"/>
  <c r="AA154" i="10" s="1"/>
  <c r="Z356" i="10"/>
  <c r="AA356" i="10" s="1"/>
  <c r="Z545" i="10"/>
  <c r="AA545" i="10" s="1"/>
  <c r="Z67" i="10"/>
  <c r="AB67" i="10" s="1"/>
  <c r="Z381" i="10"/>
  <c r="AB381" i="10" s="1"/>
  <c r="Z478" i="10"/>
  <c r="AB478" i="10" s="1"/>
  <c r="Z161" i="10"/>
  <c r="AA161" i="10" s="1"/>
  <c r="Z219" i="10"/>
  <c r="AA219" i="10" s="1"/>
  <c r="Z282" i="10"/>
  <c r="AB282" i="10" s="1"/>
  <c r="Z481" i="10"/>
  <c r="AB481" i="10" s="1"/>
  <c r="Z322" i="10"/>
  <c r="AA322" i="10" s="1"/>
  <c r="Z149" i="10"/>
  <c r="AB149" i="10" s="1"/>
  <c r="Z52" i="10"/>
  <c r="AB52" i="10" s="1"/>
  <c r="Z170" i="10"/>
  <c r="AA170" i="10" s="1"/>
  <c r="Z132" i="10"/>
  <c r="AB132" i="10" s="1"/>
  <c r="Z379" i="10"/>
  <c r="AB379" i="10" s="1"/>
  <c r="Z465" i="10"/>
  <c r="AB465" i="10" s="1"/>
  <c r="Z480" i="10"/>
  <c r="AB480" i="10" s="1"/>
  <c r="Z334" i="10"/>
  <c r="AA334" i="10" s="1"/>
  <c r="Z113" i="10"/>
  <c r="AA113" i="10" s="1"/>
  <c r="Z87" i="10"/>
  <c r="AA87" i="10" s="1"/>
  <c r="Z393" i="10"/>
  <c r="AA393" i="10" s="1"/>
  <c r="Z152" i="10"/>
  <c r="AB152" i="10" s="1"/>
  <c r="Z367" i="10"/>
  <c r="AB367" i="10" s="1"/>
  <c r="Z547" i="10"/>
  <c r="AA547" i="10" s="1"/>
  <c r="Z402" i="10"/>
  <c r="AB402" i="10" s="1"/>
  <c r="Z275" i="10"/>
  <c r="AB275" i="10" s="1"/>
  <c r="Z163" i="10"/>
  <c r="AB163" i="10" s="1"/>
  <c r="Z142" i="10"/>
  <c r="AA142" i="10" s="1"/>
  <c r="Z265" i="10"/>
  <c r="Z217" i="10"/>
  <c r="AA217" i="10" s="1"/>
  <c r="Z487" i="10"/>
  <c r="AA487" i="10" s="1"/>
  <c r="Z134" i="10"/>
  <c r="AA134" i="10" s="1"/>
  <c r="Z352" i="10"/>
  <c r="Z27" i="10"/>
  <c r="AB27" i="10" s="1"/>
  <c r="Z428" i="10"/>
  <c r="AA428" i="10" s="1"/>
  <c r="Z63" i="10"/>
  <c r="AB63" i="10" s="1"/>
  <c r="Z463" i="10"/>
  <c r="Z403" i="10"/>
  <c r="AB403" i="10" s="1"/>
  <c r="Z256" i="10"/>
  <c r="AB256" i="10" s="1"/>
  <c r="Z530" i="10"/>
  <c r="AB530" i="10" s="1"/>
  <c r="Z188" i="10"/>
  <c r="Z80" i="10"/>
  <c r="AA80" i="10" s="1"/>
  <c r="Z314" i="10"/>
  <c r="AB314" i="10" s="1"/>
  <c r="Z236" i="10"/>
  <c r="AB236" i="10" s="1"/>
  <c r="Z375" i="10"/>
  <c r="AA375" i="10" s="1"/>
  <c r="Z346" i="10"/>
  <c r="AB346" i="10" s="1"/>
  <c r="Z186" i="10"/>
  <c r="AA186" i="10" s="1"/>
  <c r="Z136" i="10"/>
  <c r="AB136" i="10" s="1"/>
  <c r="Z270" i="10"/>
  <c r="AA270" i="10" s="1"/>
  <c r="Z148" i="10"/>
  <c r="AB148" i="10" s="1"/>
  <c r="Z274" i="10"/>
  <c r="AA274" i="10" s="1"/>
  <c r="Z455" i="10"/>
  <c r="Z106" i="10"/>
  <c r="Z218" i="10"/>
  <c r="AB218" i="10" s="1"/>
  <c r="Z444" i="10"/>
  <c r="AB444" i="10" s="1"/>
  <c r="Z488" i="10"/>
  <c r="AB488" i="10" s="1"/>
  <c r="Z315" i="10"/>
  <c r="AA315" i="10" s="1"/>
  <c r="Z175" i="10"/>
  <c r="AA175" i="10" s="1"/>
  <c r="Z77" i="10"/>
  <c r="AB77" i="10" s="1"/>
  <c r="Z213" i="10"/>
  <c r="Z130" i="10"/>
  <c r="AA130" i="10" s="1"/>
  <c r="Z262" i="10"/>
  <c r="AA262" i="10" s="1"/>
  <c r="Z232" i="10"/>
  <c r="AA232" i="10" s="1"/>
  <c r="Z196" i="10"/>
  <c r="AA196" i="10" s="1"/>
  <c r="Z205" i="10"/>
  <c r="Z438" i="10"/>
  <c r="AA438" i="10" s="1"/>
  <c r="Z112" i="10"/>
  <c r="AB112" i="10" s="1"/>
  <c r="Z546" i="10"/>
  <c r="AB546" i="10" s="1"/>
  <c r="Z303" i="10"/>
  <c r="AA303" i="10" s="1"/>
  <c r="Z42" i="10"/>
  <c r="AB42" i="10" s="1"/>
  <c r="Z242" i="10"/>
  <c r="AB242" i="10" s="1"/>
  <c r="Z308" i="10"/>
  <c r="Z320" i="10"/>
  <c r="Z96" i="10"/>
  <c r="AB96" i="10" s="1"/>
  <c r="Z98" i="10"/>
  <c r="AA98" i="10" s="1"/>
  <c r="Z172" i="10"/>
  <c r="Z20" i="10"/>
  <c r="AA20" i="10" s="1"/>
  <c r="Z548" i="10"/>
  <c r="AA548" i="10" s="1"/>
  <c r="Z422" i="10"/>
  <c r="AB422" i="10" s="1"/>
  <c r="Z295" i="10"/>
  <c r="AA295" i="10" s="1"/>
  <c r="Z195" i="10"/>
  <c r="Z119" i="10"/>
  <c r="AB119" i="10" s="1"/>
  <c r="Z190" i="10"/>
  <c r="AA190" i="10" s="1"/>
  <c r="Z184" i="10"/>
  <c r="AA184" i="10" s="1"/>
  <c r="Z491" i="10"/>
  <c r="AB491" i="10" s="1"/>
  <c r="Z418" i="10"/>
  <c r="AB418" i="10" s="1"/>
  <c r="Z291" i="10"/>
  <c r="AA291" i="10" s="1"/>
  <c r="Z66" i="10"/>
  <c r="AA66" i="10" s="1"/>
  <c r="Z216" i="10"/>
  <c r="AA216" i="10" s="1"/>
  <c r="Z459" i="10"/>
  <c r="AB459" i="10" s="1"/>
  <c r="Z457" i="10"/>
  <c r="AA457" i="10" s="1"/>
  <c r="Z439" i="10"/>
  <c r="AB439" i="10" s="1"/>
  <c r="Z102" i="10"/>
  <c r="AB102" i="10" s="1"/>
  <c r="Z474" i="10"/>
  <c r="AA474" i="10" s="1"/>
  <c r="Z214" i="10"/>
  <c r="AA214" i="10" s="1"/>
  <c r="Z409" i="10"/>
  <c r="AA409" i="10" s="1"/>
  <c r="Z476" i="10"/>
  <c r="Z518" i="10"/>
  <c r="AA518" i="10" s="1"/>
  <c r="Z301" i="10"/>
  <c r="AA301" i="10" s="1"/>
  <c r="Z241" i="10"/>
  <c r="AB241" i="10" s="1"/>
  <c r="Z64" i="10"/>
  <c r="AB64" i="10" s="1"/>
  <c r="Z24" i="10"/>
  <c r="AA24" i="10" s="1"/>
  <c r="Z272" i="10"/>
  <c r="AB272" i="10" s="1"/>
  <c r="Z250" i="10"/>
  <c r="AA250" i="10" s="1"/>
  <c r="Z395" i="10"/>
  <c r="Z382" i="10"/>
  <c r="AB382" i="10" s="1"/>
  <c r="Z390" i="10"/>
  <c r="AB390" i="10" s="1"/>
  <c r="Z421" i="10"/>
  <c r="AA421" i="10" s="1"/>
  <c r="Z464" i="10"/>
  <c r="AA464" i="10" s="1"/>
  <c r="Z429" i="10"/>
  <c r="AB429" i="10" s="1"/>
  <c r="Z91" i="10"/>
  <c r="AB91" i="10" s="1"/>
  <c r="Z340" i="10"/>
  <c r="AB340" i="10" s="1"/>
  <c r="Z363" i="10"/>
  <c r="Z515" i="10"/>
  <c r="AB515" i="10" s="1"/>
  <c r="Z220" i="10"/>
  <c r="AA220" i="10" s="1"/>
  <c r="Z28" i="10"/>
  <c r="AB28" i="10" s="1"/>
  <c r="Z321" i="10"/>
  <c r="Z501" i="10"/>
  <c r="AB501" i="10" s="1"/>
  <c r="Z108" i="10"/>
  <c r="AB108" i="10" s="1"/>
  <c r="Z401" i="10"/>
  <c r="AA401" i="10" s="1"/>
  <c r="Z70" i="10"/>
  <c r="AB70" i="10" s="1"/>
  <c r="Z365" i="10"/>
  <c r="AB365" i="10" s="1"/>
  <c r="Z458" i="10"/>
  <c r="AA458" i="10" s="1"/>
  <c r="Z199" i="10"/>
  <c r="Z490" i="10"/>
  <c r="Z336" i="10"/>
  <c r="AA336" i="10" s="1"/>
  <c r="Z180" i="10"/>
  <c r="AA180" i="10" s="1"/>
  <c r="Z353" i="10"/>
  <c r="Z450" i="10"/>
  <c r="Z297" i="10"/>
  <c r="AA297" i="10" s="1"/>
  <c r="Z88" i="10"/>
  <c r="AA88" i="10" s="1"/>
  <c r="Z194" i="10"/>
  <c r="AB194" i="10" s="1"/>
  <c r="Z462" i="10"/>
  <c r="Z140" i="10"/>
  <c r="AB140" i="10" s="1"/>
  <c r="Z525" i="10"/>
  <c r="AA525" i="10" s="1"/>
  <c r="Z103" i="10"/>
  <c r="AA103" i="10" s="1"/>
  <c r="Z549" i="10"/>
  <c r="Z289" i="10"/>
  <c r="AB289" i="10" s="1"/>
  <c r="Z266" i="10"/>
  <c r="AA266" i="10" s="1"/>
  <c r="Z528" i="10"/>
  <c r="AB528" i="10" s="1"/>
  <c r="Z397" i="10"/>
  <c r="AB397" i="10" s="1"/>
  <c r="Z109" i="10"/>
  <c r="AA109" i="10" s="1"/>
  <c r="Z209" i="10"/>
  <c r="AB209" i="10" s="1"/>
  <c r="Z264" i="10"/>
  <c r="AA264" i="10" s="1"/>
  <c r="Z191" i="10"/>
  <c r="Z405" i="10"/>
  <c r="AB405" i="10" s="1"/>
  <c r="Z273" i="10"/>
  <c r="AA273" i="10" s="1"/>
  <c r="Z61" i="10"/>
  <c r="AB61" i="10" s="1"/>
  <c r="Z278" i="10"/>
  <c r="Z350" i="10"/>
  <c r="AB350" i="10" s="1"/>
  <c r="Z38" i="10"/>
  <c r="AB38" i="10" s="1"/>
  <c r="Z144" i="10"/>
  <c r="AB144" i="10" s="1"/>
  <c r="Z407" i="10"/>
  <c r="AB407" i="10" s="1"/>
  <c r="Z269" i="10"/>
  <c r="AB269" i="10" s="1"/>
  <c r="Z157" i="10"/>
  <c r="AB157" i="10" s="1"/>
  <c r="Z234" i="10"/>
  <c r="AB234" i="10" s="1"/>
  <c r="Z306" i="10"/>
  <c r="Z302" i="10"/>
  <c r="AA302" i="10" s="1"/>
  <c r="Z210" i="10"/>
  <c r="AB210" i="10" s="1"/>
  <c r="Z50" i="10"/>
  <c r="AB50" i="10" s="1"/>
  <c r="Z330" i="10"/>
  <c r="AB330" i="10" s="1"/>
  <c r="Z494" i="10"/>
  <c r="AA494" i="10" s="1"/>
  <c r="Z208" i="10"/>
  <c r="AB208" i="10" s="1"/>
  <c r="Z364" i="10"/>
  <c r="AB364" i="10" s="1"/>
  <c r="Z509" i="10"/>
  <c r="Z189" i="10"/>
  <c r="AA189" i="10" s="1"/>
  <c r="Z506" i="10"/>
  <c r="AA506" i="10" s="1"/>
  <c r="Z127" i="10"/>
  <c r="AA127" i="10" s="1"/>
  <c r="Z411" i="10"/>
  <c r="Z258" i="10"/>
  <c r="AA258" i="10" s="1"/>
  <c r="Z72" i="10"/>
  <c r="AA72" i="10" s="1"/>
  <c r="Z372" i="10"/>
  <c r="AA372" i="10" s="1"/>
  <c r="Z440" i="10"/>
  <c r="Z305" i="10"/>
  <c r="AB305" i="10" s="1"/>
  <c r="Z146" i="10"/>
  <c r="AB146" i="10" s="1"/>
  <c r="Z55" i="10"/>
  <c r="AB55" i="10" s="1"/>
  <c r="Z499" i="10"/>
  <c r="Z147" i="10"/>
  <c r="AA147" i="10" s="1"/>
  <c r="Z497" i="10"/>
  <c r="AB497" i="10" s="1"/>
  <c r="Z36" i="10"/>
  <c r="AB36" i="10" s="1"/>
  <c r="Z45" i="10"/>
  <c r="Z155" i="10"/>
  <c r="AA155" i="10" s="1"/>
  <c r="Z327" i="10"/>
  <c r="AA327" i="10" s="1"/>
  <c r="T157" i="4"/>
  <c r="Z370" i="10"/>
  <c r="AA370" i="10" s="1"/>
  <c r="Z437" i="10"/>
  <c r="AA437" i="10" s="1"/>
  <c r="Z510" i="10"/>
  <c r="AB510" i="10" s="1"/>
  <c r="Z447" i="10"/>
  <c r="AA447" i="10" s="1"/>
  <c r="Z344" i="10"/>
  <c r="AA344" i="10" s="1"/>
  <c r="Z49" i="10"/>
  <c r="AB49" i="10" s="1"/>
  <c r="Z107" i="10"/>
  <c r="AB107" i="10" s="1"/>
  <c r="Z121" i="10"/>
  <c r="AB121" i="10" s="1"/>
  <c r="Z343" i="10"/>
  <c r="AA343" i="10" s="1"/>
  <c r="T136" i="4"/>
  <c r="T72" i="4"/>
  <c r="T15" i="4"/>
  <c r="T74" i="4"/>
  <c r="T148" i="4"/>
  <c r="T116" i="4"/>
  <c r="T27" i="4"/>
  <c r="T118" i="4"/>
  <c r="T54" i="4"/>
  <c r="T153" i="4"/>
  <c r="T137" i="4"/>
  <c r="T113" i="4"/>
  <c r="T97" i="4"/>
  <c r="T81" i="4"/>
  <c r="T57" i="4"/>
  <c r="T41" i="4"/>
  <c r="BW7" i="4"/>
  <c r="T7" i="4"/>
  <c r="T144" i="4"/>
  <c r="T112" i="4"/>
  <c r="T80" i="4"/>
  <c r="T48" i="4"/>
  <c r="T18" i="4"/>
  <c r="T146" i="4"/>
  <c r="T114" i="4"/>
  <c r="T82" i="4"/>
  <c r="T50" i="4"/>
  <c r="T28" i="4"/>
  <c r="T156" i="4"/>
  <c r="T124" i="4"/>
  <c r="T92" i="4"/>
  <c r="T60" i="4"/>
  <c r="T31" i="4"/>
  <c r="T8" i="4"/>
  <c r="T126" i="4"/>
  <c r="T94" i="4"/>
  <c r="T62" i="4"/>
  <c r="T37" i="4"/>
  <c r="T13" i="4"/>
  <c r="T155" i="4"/>
  <c r="T147" i="4"/>
  <c r="T139" i="4"/>
  <c r="T131" i="4"/>
  <c r="T123" i="4"/>
  <c r="T115" i="4"/>
  <c r="T107" i="4"/>
  <c r="T99" i="4"/>
  <c r="T91" i="4"/>
  <c r="T83" i="4"/>
  <c r="T75" i="4"/>
  <c r="T67" i="4"/>
  <c r="T59" i="4"/>
  <c r="T51" i="4"/>
  <c r="T43" i="4"/>
  <c r="T30" i="4"/>
  <c r="T36" i="4"/>
  <c r="T106" i="4"/>
  <c r="T24" i="4"/>
  <c r="T52" i="4"/>
  <c r="T86" i="4"/>
  <c r="T11" i="4"/>
  <c r="T129" i="4"/>
  <c r="T105" i="4"/>
  <c r="T73" i="4"/>
  <c r="T49" i="4"/>
  <c r="T10" i="4"/>
  <c r="T128" i="4"/>
  <c r="T96" i="4"/>
  <c r="T64" i="4"/>
  <c r="T32" i="4"/>
  <c r="T12" i="4"/>
  <c r="T130" i="4"/>
  <c r="T98" i="4"/>
  <c r="T66" i="4"/>
  <c r="T39" i="4"/>
  <c r="T21" i="4"/>
  <c r="T140" i="4"/>
  <c r="T108" i="4"/>
  <c r="T76" i="4"/>
  <c r="T44" i="4"/>
  <c r="T20" i="4"/>
  <c r="T142" i="4"/>
  <c r="T110" i="4"/>
  <c r="T78" i="4"/>
  <c r="T46" i="4"/>
  <c r="T23" i="4"/>
  <c r="T9" i="4"/>
  <c r="T151" i="4"/>
  <c r="T143" i="4"/>
  <c r="T135" i="4"/>
  <c r="T127" i="4"/>
  <c r="T119" i="4"/>
  <c r="T111" i="4"/>
  <c r="T103" i="4"/>
  <c r="T95" i="4"/>
  <c r="T87" i="4"/>
  <c r="T79" i="4"/>
  <c r="T71" i="4"/>
  <c r="T63" i="4"/>
  <c r="T55" i="4"/>
  <c r="T47" i="4"/>
  <c r="T38" i="4"/>
  <c r="T22" i="4"/>
  <c r="T104" i="4"/>
  <c r="T138" i="4"/>
  <c r="T42" i="4"/>
  <c r="T84" i="4"/>
  <c r="T150" i="4"/>
  <c r="T26" i="4"/>
  <c r="T145" i="4"/>
  <c r="T121" i="4"/>
  <c r="T89" i="4"/>
  <c r="T65" i="4"/>
  <c r="T25" i="4"/>
  <c r="T152" i="4"/>
  <c r="T120" i="4"/>
  <c r="T88" i="4"/>
  <c r="T56" i="4"/>
  <c r="T29" i="4"/>
  <c r="T154" i="4"/>
  <c r="T122" i="4"/>
  <c r="T90" i="4"/>
  <c r="T58" i="4"/>
  <c r="T35" i="4"/>
  <c r="T14" i="4"/>
  <c r="T132" i="4"/>
  <c r="T100" i="4"/>
  <c r="T68" i="4"/>
  <c r="T34" i="4"/>
  <c r="T16" i="4"/>
  <c r="T134" i="4"/>
  <c r="T102" i="4"/>
  <c r="T70" i="4"/>
  <c r="T40" i="4"/>
  <c r="T19" i="4"/>
  <c r="T149" i="4"/>
  <c r="T141" i="4"/>
  <c r="T133" i="4"/>
  <c r="T125" i="4"/>
  <c r="T117" i="4"/>
  <c r="T109" i="4"/>
  <c r="T101" i="4"/>
  <c r="T93" i="4"/>
  <c r="T85" i="4"/>
  <c r="T77" i="4"/>
  <c r="T69" i="4"/>
  <c r="T61" i="4"/>
  <c r="T53" i="4"/>
  <c r="T45" i="4"/>
  <c r="T33" i="4"/>
  <c r="T17" i="4"/>
  <c r="Z133" i="10"/>
  <c r="AB133" i="10" s="1"/>
  <c r="Z231" i="10"/>
  <c r="AB231" i="10" s="1"/>
  <c r="Z313" i="10"/>
  <c r="AB313" i="10" s="1"/>
  <c r="Z338" i="10"/>
  <c r="AB338" i="10" s="1"/>
  <c r="Z355" i="10"/>
  <c r="Z388" i="10"/>
  <c r="AA388" i="10" s="1"/>
  <c r="Z484" i="10"/>
  <c r="AA484" i="10" s="1"/>
  <c r="Z508" i="10"/>
  <c r="AB508" i="10" s="1"/>
  <c r="Z40" i="10"/>
  <c r="AB40" i="10" s="1"/>
  <c r="Z456" i="10"/>
  <c r="AB456" i="10" s="1"/>
  <c r="Z168" i="10"/>
  <c r="AA168" i="10" s="1"/>
  <c r="Z25" i="10"/>
  <c r="AB25" i="10" s="1"/>
  <c r="Z51" i="10"/>
  <c r="AB51" i="10" s="1"/>
  <c r="Z41" i="10"/>
  <c r="AA41" i="10" s="1"/>
  <c r="Z317" i="10"/>
  <c r="AB317" i="10" s="1"/>
  <c r="Z410" i="10"/>
  <c r="AA410" i="10" s="1"/>
  <c r="Z215" i="10"/>
  <c r="AA215" i="10" s="1"/>
  <c r="Z279" i="10"/>
  <c r="AA279" i="10" s="1"/>
  <c r="Z345" i="10"/>
  <c r="AB345" i="10" s="1"/>
  <c r="Z354" i="10"/>
  <c r="AA354" i="10" s="1"/>
  <c r="Z339" i="10"/>
  <c r="AB339" i="10" s="1"/>
  <c r="Z406" i="10"/>
  <c r="AB406" i="10" s="1"/>
  <c r="Z420" i="10"/>
  <c r="AA420" i="10" s="1"/>
  <c r="Z466" i="10"/>
  <c r="AA466" i="10" s="1"/>
  <c r="Z500" i="10"/>
  <c r="AA500" i="10" s="1"/>
  <c r="Z537" i="10"/>
  <c r="AA537" i="10" s="1"/>
  <c r="Z240" i="10"/>
  <c r="AA240" i="10" s="1"/>
  <c r="Z448" i="10"/>
  <c r="AB448" i="10" s="1"/>
  <c r="Z229" i="10"/>
  <c r="AA229" i="10" s="1"/>
  <c r="Z110" i="10"/>
  <c r="AB110" i="10" s="1"/>
  <c r="Z58" i="10"/>
  <c r="AB58" i="10" s="1"/>
  <c r="Z73" i="10"/>
  <c r="AA73" i="10" s="1"/>
  <c r="Z174" i="10"/>
  <c r="Z187" i="10"/>
  <c r="AA187" i="10" s="1"/>
  <c r="Z326" i="10"/>
  <c r="AA326" i="10" s="1"/>
  <c r="Z441" i="10"/>
  <c r="AA441" i="10" s="1"/>
  <c r="Z286" i="10"/>
  <c r="AA286" i="10" s="1"/>
  <c r="Z513" i="10"/>
  <c r="AA513" i="10" s="1"/>
  <c r="Z371" i="10"/>
  <c r="AA371" i="10" s="1"/>
  <c r="Z387" i="10"/>
  <c r="AA387" i="10" s="1"/>
  <c r="Z84" i="10"/>
  <c r="AB84" i="10" s="1"/>
  <c r="Z83" i="10"/>
  <c r="AA83" i="10" s="1"/>
  <c r="Z178" i="10"/>
  <c r="AA178" i="10" s="1"/>
  <c r="Z89" i="10"/>
  <c r="AB89" i="10" s="1"/>
  <c r="Z54" i="10"/>
  <c r="AA54" i="10" s="1"/>
  <c r="Z105" i="10"/>
  <c r="AB105" i="10" s="1"/>
  <c r="Z267" i="10"/>
  <c r="AB267" i="10" s="1"/>
  <c r="Z311" i="10"/>
  <c r="AB311" i="10" s="1"/>
  <c r="Z392" i="10"/>
  <c r="AB392" i="10" s="1"/>
  <c r="Z12" i="10"/>
  <c r="AA12" i="10" s="1"/>
  <c r="Z531" i="10"/>
  <c r="AA531" i="10" s="1"/>
  <c r="Z13" i="10"/>
  <c r="AB13" i="10" s="1"/>
  <c r="Z171" i="10"/>
  <c r="AB171" i="10" s="1"/>
  <c r="Z283" i="10"/>
  <c r="AA283" i="10" s="1"/>
  <c r="Z342" i="10"/>
  <c r="AA342" i="10" s="1"/>
  <c r="Z394" i="10"/>
  <c r="AA394" i="10" s="1"/>
  <c r="Z454" i="10"/>
  <c r="AB454" i="10" s="1"/>
  <c r="Z535" i="10"/>
  <c r="AB535" i="10" s="1"/>
  <c r="Z137" i="10"/>
  <c r="AA137" i="10" s="1"/>
  <c r="Z251" i="10"/>
  <c r="AB251" i="10" s="1"/>
  <c r="Z333" i="10"/>
  <c r="AA333" i="10" s="1"/>
  <c r="Z358" i="10"/>
  <c r="AB358" i="10" s="1"/>
  <c r="Z374" i="10"/>
  <c r="AA374" i="10" s="1"/>
  <c r="Z408" i="10"/>
  <c r="AB408" i="10" s="1"/>
  <c r="Z507" i="10"/>
  <c r="AB507" i="10" s="1"/>
  <c r="Z10" i="10"/>
  <c r="AB10" i="10" s="1"/>
  <c r="Z123" i="10"/>
  <c r="AB123" i="10" s="1"/>
  <c r="Z79" i="10"/>
  <c r="AB79" i="10" s="1"/>
  <c r="Z198" i="10"/>
  <c r="Z153" i="10"/>
  <c r="AB153" i="10" s="1"/>
  <c r="Z235" i="10"/>
  <c r="AA235" i="10" s="1"/>
  <c r="Z299" i="10"/>
  <c r="AA299" i="10" s="1"/>
  <c r="Z310" i="10"/>
  <c r="Z431" i="10"/>
  <c r="AA431" i="10" s="1"/>
  <c r="Z359" i="10"/>
  <c r="AA359" i="10" s="1"/>
  <c r="Z426" i="10"/>
  <c r="AA426" i="10" s="1"/>
  <c r="Z472" i="10"/>
  <c r="Z514" i="10"/>
  <c r="AB514" i="10" s="1"/>
  <c r="Z552" i="10"/>
  <c r="AB552" i="10" s="1"/>
  <c r="Z8" i="10"/>
  <c r="AA8" i="10" s="1"/>
  <c r="Z424" i="10"/>
  <c r="Z486" i="10"/>
  <c r="AB486" i="10" s="1"/>
  <c r="Z511" i="10"/>
  <c r="AB511" i="10" s="1"/>
  <c r="Z555" i="10"/>
  <c r="AA555" i="10" s="1"/>
  <c r="AT12" i="10"/>
  <c r="AU12" i="10"/>
  <c r="AT13" i="10"/>
  <c r="AU13" i="10"/>
  <c r="B41" i="10"/>
  <c r="P19" i="10" s="1"/>
  <c r="B42" i="10"/>
  <c r="Q231" i="10" s="1"/>
  <c r="V10" i="10"/>
  <c r="U10" i="10"/>
  <c r="AH10" i="10"/>
  <c r="AI10" i="10"/>
  <c r="AL10" i="10"/>
  <c r="AK10" i="10"/>
  <c r="AQ10" i="10"/>
  <c r="AR10" i="10"/>
  <c r="AN10" i="10"/>
  <c r="AO10" i="10"/>
  <c r="AS10" i="10"/>
  <c r="W10" i="10"/>
  <c r="W7" i="10"/>
  <c r="W13" i="10"/>
  <c r="W12" i="10"/>
  <c r="W8" i="10"/>
  <c r="AB263" i="10"/>
  <c r="AA263" i="10"/>
  <c r="W544" i="10"/>
  <c r="W540" i="10"/>
  <c r="W539" i="10"/>
  <c r="W543" i="10"/>
  <c r="W519" i="10"/>
  <c r="W515" i="10"/>
  <c r="W503" i="10"/>
  <c r="W499" i="10"/>
  <c r="W495" i="10"/>
  <c r="W538" i="10"/>
  <c r="W518" i="10"/>
  <c r="W498" i="10"/>
  <c r="W486" i="10"/>
  <c r="W489" i="10"/>
  <c r="W479" i="10"/>
  <c r="W475" i="10"/>
  <c r="W452" i="10"/>
  <c r="W448" i="10"/>
  <c r="W444" i="10"/>
  <c r="W440" i="10"/>
  <c r="W434" i="10"/>
  <c r="W494" i="10"/>
  <c r="W467" i="10"/>
  <c r="W459" i="10"/>
  <c r="W463" i="10"/>
  <c r="W455" i="10"/>
  <c r="W385" i="10"/>
  <c r="W383" i="10"/>
  <c r="W379" i="10"/>
  <c r="W375" i="10"/>
  <c r="W371" i="10"/>
  <c r="W429" i="10"/>
  <c r="W425" i="10"/>
  <c r="W421" i="10"/>
  <c r="W417" i="10"/>
  <c r="W413" i="10"/>
  <c r="W409" i="10"/>
  <c r="W405" i="10"/>
  <c r="W401" i="10"/>
  <c r="W397" i="10"/>
  <c r="W393" i="10"/>
  <c r="W389" i="10"/>
  <c r="W387" i="10"/>
  <c r="W367" i="10"/>
  <c r="W363" i="10"/>
  <c r="W306" i="10"/>
  <c r="W302" i="10"/>
  <c r="W298" i="10"/>
  <c r="W294" i="10"/>
  <c r="W290" i="10"/>
  <c r="W286" i="10"/>
  <c r="W282" i="10"/>
  <c r="W278" i="10"/>
  <c r="W274" i="10"/>
  <c r="W270" i="10"/>
  <c r="W266" i="10"/>
  <c r="W262" i="10"/>
  <c r="W258" i="10"/>
  <c r="W254" i="10"/>
  <c r="W250" i="10"/>
  <c r="W246" i="10"/>
  <c r="W241" i="10"/>
  <c r="W237" i="10"/>
  <c r="W233" i="10"/>
  <c r="W229" i="10"/>
  <c r="W225" i="10"/>
  <c r="W221" i="10"/>
  <c r="W217" i="10"/>
  <c r="W213" i="10"/>
  <c r="W209" i="10"/>
  <c r="W244" i="10"/>
  <c r="W240" i="10"/>
  <c r="W236" i="10"/>
  <c r="W232" i="10"/>
  <c r="W228" i="10"/>
  <c r="W224" i="10"/>
  <c r="W220" i="10"/>
  <c r="W216" i="10"/>
  <c r="W212" i="10"/>
  <c r="W193" i="10"/>
  <c r="W189" i="10"/>
  <c r="W185" i="10"/>
  <c r="W181" i="10"/>
  <c r="W177" i="10"/>
  <c r="W173" i="10"/>
  <c r="W169" i="10"/>
  <c r="W165" i="10"/>
  <c r="W201" i="10"/>
  <c r="W162" i="10"/>
  <c r="W154" i="10"/>
  <c r="W102" i="10"/>
  <c r="W192" i="10"/>
  <c r="W188" i="10"/>
  <c r="W184" i="10"/>
  <c r="W180" i="10"/>
  <c r="W176" i="10"/>
  <c r="W172" i="10"/>
  <c r="W168" i="10"/>
  <c r="W164" i="10"/>
  <c r="B46" i="10"/>
  <c r="W142" i="10"/>
  <c r="W138" i="10"/>
  <c r="W126" i="10"/>
  <c r="W118" i="10"/>
  <c r="W110" i="10"/>
  <c r="W106" i="10"/>
  <c r="W242" i="10"/>
  <c r="W238" i="10"/>
  <c r="W234" i="10"/>
  <c r="W230" i="10"/>
  <c r="W226" i="10"/>
  <c r="W222" i="10"/>
  <c r="W218" i="10"/>
  <c r="W214" i="10"/>
  <c r="W210" i="10"/>
  <c r="W205" i="10"/>
  <c r="W197" i="10"/>
  <c r="W61" i="10"/>
  <c r="W158" i="10"/>
  <c r="W150" i="10"/>
  <c r="W146" i="10"/>
  <c r="W134" i="10"/>
  <c r="W130" i="10"/>
  <c r="W122" i="10"/>
  <c r="W114" i="10"/>
  <c r="W40" i="10"/>
  <c r="W37" i="10"/>
  <c r="W34" i="10"/>
  <c r="W27" i="10"/>
  <c r="O9" i="10"/>
  <c r="W32" i="10"/>
  <c r="W30" i="10"/>
  <c r="W21" i="10"/>
  <c r="W200" i="10"/>
  <c r="W69" i="10"/>
  <c r="W74" i="10"/>
  <c r="W90" i="10"/>
  <c r="W47" i="10"/>
  <c r="W23" i="10"/>
  <c r="W31" i="10"/>
  <c r="W43" i="10"/>
  <c r="W58" i="10"/>
  <c r="W49" i="10"/>
  <c r="W22" i="10"/>
  <c r="W33" i="10"/>
  <c r="W46" i="10"/>
  <c r="W80" i="10"/>
  <c r="W96" i="10"/>
  <c r="W204" i="10"/>
  <c r="W65" i="10"/>
  <c r="W75" i="10"/>
  <c r="W91" i="10"/>
  <c r="W147" i="10"/>
  <c r="W163" i="10"/>
  <c r="W73" i="10"/>
  <c r="W89" i="10"/>
  <c r="W101" i="10"/>
  <c r="W109" i="10"/>
  <c r="W117" i="10"/>
  <c r="W125" i="10"/>
  <c r="W133" i="10"/>
  <c r="W149" i="10"/>
  <c r="W198" i="10"/>
  <c r="W206" i="10"/>
  <c r="W373" i="10"/>
  <c r="W171" i="10"/>
  <c r="W187" i="10"/>
  <c r="W203" i="10"/>
  <c r="W219" i="10"/>
  <c r="W235" i="10"/>
  <c r="W316" i="10"/>
  <c r="W332" i="10"/>
  <c r="W348" i="10"/>
  <c r="W310" i="10"/>
  <c r="W318" i="10"/>
  <c r="W326" i="10"/>
  <c r="W334" i="10"/>
  <c r="W342" i="10"/>
  <c r="W350" i="10"/>
  <c r="W358" i="10"/>
  <c r="W376" i="10"/>
  <c r="W465" i="10"/>
  <c r="W247" i="10"/>
  <c r="W263" i="10"/>
  <c r="W279" i="10"/>
  <c r="W295" i="10"/>
  <c r="W403" i="10"/>
  <c r="W419" i="10"/>
  <c r="W370" i="10"/>
  <c r="W433" i="10"/>
  <c r="W442" i="10"/>
  <c r="W450" i="10"/>
  <c r="W451" i="10"/>
  <c r="W483" i="10"/>
  <c r="W476" i="10"/>
  <c r="W484" i="10"/>
  <c r="W493" i="10"/>
  <c r="W466" i="10"/>
  <c r="W474" i="10"/>
  <c r="W492" i="10"/>
  <c r="W516" i="10"/>
  <c r="W500" i="10"/>
  <c r="W527" i="10"/>
  <c r="W532" i="10"/>
  <c r="W521" i="10"/>
  <c r="W535" i="10"/>
  <c r="W533" i="10"/>
  <c r="W542" i="10"/>
  <c r="W553" i="10"/>
  <c r="W548" i="10"/>
  <c r="W557" i="10"/>
  <c r="W559" i="10"/>
  <c r="W549" i="10"/>
  <c r="W199" i="10"/>
  <c r="W368" i="10"/>
  <c r="W337" i="10"/>
  <c r="W345" i="10"/>
  <c r="W369" i="10"/>
  <c r="W259" i="10"/>
  <c r="W307" i="10"/>
  <c r="W331" i="10"/>
  <c r="W399" i="10"/>
  <c r="W388" i="10"/>
  <c r="W420" i="10"/>
  <c r="W382" i="10"/>
  <c r="W406" i="10"/>
  <c r="W456" i="10"/>
  <c r="W485" i="10"/>
  <c r="W462" i="10"/>
  <c r="W508" i="10"/>
  <c r="W526" i="10"/>
  <c r="W555" i="10"/>
  <c r="W42" i="10"/>
  <c r="W208" i="10"/>
  <c r="W50" i="10"/>
  <c r="W54" i="10"/>
  <c r="W57" i="10"/>
  <c r="W78" i="10"/>
  <c r="W94" i="10"/>
  <c r="W56" i="10"/>
  <c r="W64" i="10"/>
  <c r="W166" i="10"/>
  <c r="W174" i="10"/>
  <c r="W182" i="10"/>
  <c r="W190" i="10"/>
  <c r="W25" i="10"/>
  <c r="W35" i="10"/>
  <c r="W41" i="10"/>
  <c r="W24" i="10"/>
  <c r="W29" i="10"/>
  <c r="W36" i="10"/>
  <c r="W53" i="10"/>
  <c r="W84" i="10"/>
  <c r="W67" i="10"/>
  <c r="W87" i="10"/>
  <c r="W143" i="10"/>
  <c r="W159" i="10"/>
  <c r="W248" i="10"/>
  <c r="W256" i="10"/>
  <c r="W264" i="10"/>
  <c r="W272" i="10"/>
  <c r="W280" i="10"/>
  <c r="W288" i="10"/>
  <c r="W296" i="10"/>
  <c r="W100" i="10"/>
  <c r="W108" i="10"/>
  <c r="W116" i="10"/>
  <c r="W124" i="10"/>
  <c r="W132" i="10"/>
  <c r="W140" i="10"/>
  <c r="W148" i="10"/>
  <c r="W156" i="10"/>
  <c r="W77" i="10"/>
  <c r="W93" i="10"/>
  <c r="W145" i="10"/>
  <c r="W161" i="10"/>
  <c r="W245" i="10"/>
  <c r="W249" i="10"/>
  <c r="W253" i="10"/>
  <c r="W257" i="10"/>
  <c r="W261" i="10"/>
  <c r="W265" i="10"/>
  <c r="W269" i="10"/>
  <c r="W273" i="10"/>
  <c r="W277" i="10"/>
  <c r="W281" i="10"/>
  <c r="W285" i="10"/>
  <c r="W289" i="10"/>
  <c r="W293" i="10"/>
  <c r="W297" i="10"/>
  <c r="W301" i="10"/>
  <c r="W300" i="10"/>
  <c r="W175" i="10"/>
  <c r="W191" i="10"/>
  <c r="W207" i="10"/>
  <c r="W223" i="10"/>
  <c r="W239" i="10"/>
  <c r="W320" i="10"/>
  <c r="W336" i="10"/>
  <c r="W352" i="10"/>
  <c r="W364" i="10"/>
  <c r="W309" i="10"/>
  <c r="W317" i="10"/>
  <c r="W325" i="10"/>
  <c r="W333" i="10"/>
  <c r="W341" i="10"/>
  <c r="W349" i="10"/>
  <c r="W357" i="10"/>
  <c r="W365" i="10"/>
  <c r="W380" i="10"/>
  <c r="W435" i="10"/>
  <c r="W251" i="10"/>
  <c r="W267" i="10"/>
  <c r="W283" i="10"/>
  <c r="W299" i="10"/>
  <c r="W311" i="10"/>
  <c r="W319" i="10"/>
  <c r="W327" i="10"/>
  <c r="W335" i="10"/>
  <c r="W343" i="10"/>
  <c r="W351" i="10"/>
  <c r="W359" i="10"/>
  <c r="W469" i="10"/>
  <c r="W391" i="10"/>
  <c r="W407" i="10"/>
  <c r="W423" i="10"/>
  <c r="W384" i="10"/>
  <c r="W392" i="10"/>
  <c r="W400" i="10"/>
  <c r="W408" i="10"/>
  <c r="W416" i="10"/>
  <c r="W432" i="10"/>
  <c r="W436" i="10"/>
  <c r="W374" i="10"/>
  <c r="W386" i="10"/>
  <c r="W394" i="10"/>
  <c r="W402" i="10"/>
  <c r="W410" i="10"/>
  <c r="W418" i="10"/>
  <c r="W426" i="10"/>
  <c r="W437" i="10"/>
  <c r="W441" i="10"/>
  <c r="W445" i="10"/>
  <c r="W449" i="10"/>
  <c r="W453" i="10"/>
  <c r="W460" i="10"/>
  <c r="W468" i="10"/>
  <c r="W490" i="10"/>
  <c r="W439" i="10"/>
  <c r="W454" i="10"/>
  <c r="W470" i="10"/>
  <c r="W505" i="10"/>
  <c r="W497" i="10"/>
  <c r="W506" i="10"/>
  <c r="W514" i="10"/>
  <c r="W504" i="10"/>
  <c r="W523" i="10"/>
  <c r="W524" i="10"/>
  <c r="W551" i="10"/>
  <c r="W531" i="10"/>
  <c r="W550" i="10"/>
  <c r="W541" i="10"/>
  <c r="W558" i="10"/>
  <c r="W556" i="10"/>
  <c r="W153" i="10"/>
  <c r="W381" i="10"/>
  <c r="W304" i="10"/>
  <c r="W215" i="10"/>
  <c r="W312" i="10"/>
  <c r="W344" i="10"/>
  <c r="W360" i="10"/>
  <c r="W321" i="10"/>
  <c r="W291" i="10"/>
  <c r="W323" i="10"/>
  <c r="W347" i="10"/>
  <c r="W396" i="10"/>
  <c r="W390" i="10"/>
  <c r="W422" i="10"/>
  <c r="W477" i="10"/>
  <c r="W491" i="10"/>
  <c r="W501" i="10"/>
  <c r="W510" i="10"/>
  <c r="W517" i="10"/>
  <c r="W536" i="10"/>
  <c r="W537" i="10"/>
  <c r="W552" i="10"/>
  <c r="W82" i="10"/>
  <c r="W98" i="10"/>
  <c r="W66" i="10"/>
  <c r="W48" i="10"/>
  <c r="W19" i="10"/>
  <c r="W20" i="10"/>
  <c r="W44" i="10"/>
  <c r="W59" i="10"/>
  <c r="W72" i="10"/>
  <c r="W88" i="10"/>
  <c r="W196" i="10"/>
  <c r="W60" i="10"/>
  <c r="W83" i="10"/>
  <c r="W99" i="10"/>
  <c r="W103" i="10"/>
  <c r="W107" i="10"/>
  <c r="W111" i="10"/>
  <c r="W115" i="10"/>
  <c r="W119" i="10"/>
  <c r="W123" i="10"/>
  <c r="W127" i="10"/>
  <c r="W131" i="10"/>
  <c r="W139" i="10"/>
  <c r="W155" i="10"/>
  <c r="W81" i="10"/>
  <c r="W97" i="10"/>
  <c r="W105" i="10"/>
  <c r="W113" i="10"/>
  <c r="W121" i="10"/>
  <c r="W129" i="10"/>
  <c r="W141" i="10"/>
  <c r="W157" i="10"/>
  <c r="W202" i="10"/>
  <c r="W305" i="10"/>
  <c r="W377" i="10"/>
  <c r="W179" i="10"/>
  <c r="W195" i="10"/>
  <c r="W211" i="10"/>
  <c r="W227" i="10"/>
  <c r="W243" i="10"/>
  <c r="W308" i="10"/>
  <c r="W324" i="10"/>
  <c r="W340" i="10"/>
  <c r="W356" i="10"/>
  <c r="W361" i="10"/>
  <c r="W314" i="10"/>
  <c r="W322" i="10"/>
  <c r="W330" i="10"/>
  <c r="W338" i="10"/>
  <c r="W346" i="10"/>
  <c r="W354" i="10"/>
  <c r="W255" i="10"/>
  <c r="W271" i="10"/>
  <c r="W287" i="10"/>
  <c r="W303" i="10"/>
  <c r="W461" i="10"/>
  <c r="W395" i="10"/>
  <c r="W411" i="10"/>
  <c r="W427" i="10"/>
  <c r="W431" i="10"/>
  <c r="W457" i="10"/>
  <c r="W424" i="10"/>
  <c r="W428" i="10"/>
  <c r="W362" i="10"/>
  <c r="W378" i="10"/>
  <c r="W430" i="10"/>
  <c r="W502" i="10"/>
  <c r="W438" i="10"/>
  <c r="W446" i="10"/>
  <c r="W471" i="10"/>
  <c r="W443" i="10"/>
  <c r="W472" i="10"/>
  <c r="W480" i="10"/>
  <c r="W458" i="10"/>
  <c r="W482" i="10"/>
  <c r="W487" i="10"/>
  <c r="W488" i="10"/>
  <c r="W520" i="10"/>
  <c r="W513" i="10"/>
  <c r="W522" i="10"/>
  <c r="W507" i="10"/>
  <c r="W511" i="10"/>
  <c r="W534" i="10"/>
  <c r="W512" i="10"/>
  <c r="W530" i="10"/>
  <c r="W529" i="10"/>
  <c r="W546" i="10"/>
  <c r="W547" i="10"/>
  <c r="W554" i="10"/>
  <c r="W545" i="10"/>
  <c r="W45" i="10"/>
  <c r="W52" i="10"/>
  <c r="W70" i="10"/>
  <c r="W86" i="10"/>
  <c r="W62" i="10"/>
  <c r="W71" i="10"/>
  <c r="W170" i="10"/>
  <c r="W178" i="10"/>
  <c r="W186" i="10"/>
  <c r="W194" i="10"/>
  <c r="W28" i="10"/>
  <c r="W38" i="10"/>
  <c r="W39" i="10"/>
  <c r="W26" i="10"/>
  <c r="W51" i="10"/>
  <c r="W55" i="10"/>
  <c r="W68" i="10"/>
  <c r="W76" i="10"/>
  <c r="W92" i="10"/>
  <c r="W63" i="10"/>
  <c r="W79" i="10"/>
  <c r="W95" i="10"/>
  <c r="W135" i="10"/>
  <c r="W151" i="10"/>
  <c r="W252" i="10"/>
  <c r="W260" i="10"/>
  <c r="W268" i="10"/>
  <c r="W276" i="10"/>
  <c r="W284" i="10"/>
  <c r="W292" i="10"/>
  <c r="W104" i="10"/>
  <c r="W112" i="10"/>
  <c r="W120" i="10"/>
  <c r="W128" i="10"/>
  <c r="W136" i="10"/>
  <c r="W144" i="10"/>
  <c r="W152" i="10"/>
  <c r="W160" i="10"/>
  <c r="W85" i="10"/>
  <c r="W137" i="10"/>
  <c r="W167" i="10"/>
  <c r="W183" i="10"/>
  <c r="W231" i="10"/>
  <c r="W328" i="10"/>
  <c r="W313" i="10"/>
  <c r="W329" i="10"/>
  <c r="W353" i="10"/>
  <c r="W372" i="10"/>
  <c r="W275" i="10"/>
  <c r="W315" i="10"/>
  <c r="W339" i="10"/>
  <c r="W355" i="10"/>
  <c r="W415" i="10"/>
  <c r="W404" i="10"/>
  <c r="W412" i="10"/>
  <c r="W366" i="10"/>
  <c r="W398" i="10"/>
  <c r="W414" i="10"/>
  <c r="W464" i="10"/>
  <c r="W447" i="10"/>
  <c r="W473" i="10"/>
  <c r="W481" i="10"/>
  <c r="W478" i="10"/>
  <c r="W509" i="10"/>
  <c r="W496" i="10"/>
  <c r="W528" i="10"/>
  <c r="W525" i="10"/>
  <c r="W560" i="10"/>
  <c r="Z7" i="5"/>
  <c r="P7" i="5"/>
  <c r="Q7" i="5"/>
  <c r="S7" i="5" s="1"/>
  <c r="B42" i="5"/>
  <c r="Q508" i="5" s="1"/>
  <c r="R508" i="5" s="1"/>
  <c r="B181" i="2"/>
  <c r="B260" i="2" s="1"/>
  <c r="B261" i="2" s="1"/>
  <c r="B41" i="5"/>
  <c r="P455" i="5" s="1"/>
  <c r="B187" i="2"/>
  <c r="B122" i="2" s="1"/>
  <c r="W7" i="5"/>
  <c r="B82" i="2"/>
  <c r="H26" i="1" s="1"/>
  <c r="B90" i="2"/>
  <c r="B86" i="2"/>
  <c r="Z10" i="5"/>
  <c r="AB10" i="5" s="1"/>
  <c r="W59" i="5"/>
  <c r="X59" i="5" s="1"/>
  <c r="H36" i="1"/>
  <c r="W525" i="5"/>
  <c r="Y525" i="5" s="1"/>
  <c r="W376" i="5"/>
  <c r="X376" i="5" s="1"/>
  <c r="W515" i="5"/>
  <c r="Y515" i="5" s="1"/>
  <c r="W190" i="5"/>
  <c r="X190" i="5" s="1"/>
  <c r="W554" i="5"/>
  <c r="X554" i="5" s="1"/>
  <c r="W415" i="5"/>
  <c r="X415" i="5" s="1"/>
  <c r="W544" i="5"/>
  <c r="X544" i="5" s="1"/>
  <c r="W536" i="5"/>
  <c r="Y536" i="5" s="1"/>
  <c r="W339" i="5"/>
  <c r="X339" i="5" s="1"/>
  <c r="W154" i="5"/>
  <c r="X154" i="5" s="1"/>
  <c r="W448" i="5"/>
  <c r="Y448" i="5" s="1"/>
  <c r="W214" i="5"/>
  <c r="Y214" i="5" s="1"/>
  <c r="W524" i="5"/>
  <c r="X524" i="5" s="1"/>
  <c r="W373" i="5"/>
  <c r="X373" i="5" s="1"/>
  <c r="W206" i="5"/>
  <c r="X206" i="5" s="1"/>
  <c r="W107" i="5"/>
  <c r="X107" i="5" s="1"/>
  <c r="W379" i="5"/>
  <c r="X379" i="5" s="1"/>
  <c r="W464" i="5"/>
  <c r="X464" i="5" s="1"/>
  <c r="W484" i="5"/>
  <c r="Y484" i="5" s="1"/>
  <c r="W337" i="5"/>
  <c r="X337" i="5" s="1"/>
  <c r="W216" i="5"/>
  <c r="X216" i="5" s="1"/>
  <c r="W45" i="5"/>
  <c r="X45" i="5" s="1"/>
  <c r="W40" i="5"/>
  <c r="Y40" i="5" s="1"/>
  <c r="W94" i="5"/>
  <c r="Y94" i="5" s="1"/>
  <c r="W102" i="5"/>
  <c r="Y102" i="5" s="1"/>
  <c r="W132" i="5"/>
  <c r="Y132" i="5" s="1"/>
  <c r="W150" i="5"/>
  <c r="X150" i="5" s="1"/>
  <c r="W103" i="5"/>
  <c r="Y103" i="5" s="1"/>
  <c r="W194" i="5"/>
  <c r="Y194" i="5" s="1"/>
  <c r="W200" i="5"/>
  <c r="X200" i="5" s="1"/>
  <c r="W211" i="5"/>
  <c r="X211" i="5" s="1"/>
  <c r="W267" i="5"/>
  <c r="X267" i="5" s="1"/>
  <c r="W329" i="5"/>
  <c r="Y329" i="5" s="1"/>
  <c r="W273" i="5"/>
  <c r="Y273" i="5" s="1"/>
  <c r="W332" i="5"/>
  <c r="X332" i="5" s="1"/>
  <c r="W323" i="5"/>
  <c r="X323" i="5" s="1"/>
  <c r="W335" i="5"/>
  <c r="Y335" i="5" s="1"/>
  <c r="W395" i="5"/>
  <c r="X395" i="5" s="1"/>
  <c r="W320" i="5"/>
  <c r="Y320" i="5" s="1"/>
  <c r="W381" i="5"/>
  <c r="X381" i="5" s="1"/>
  <c r="W410" i="5"/>
  <c r="X410" i="5" s="1"/>
  <c r="W285" i="5"/>
  <c r="Y285" i="5" s="1"/>
  <c r="W375" i="5"/>
  <c r="Y375" i="5" s="1"/>
  <c r="W405" i="5"/>
  <c r="X405" i="5" s="1"/>
  <c r="W361" i="5"/>
  <c r="X361" i="5" s="1"/>
  <c r="W455" i="5"/>
  <c r="Y455" i="5" s="1"/>
  <c r="W479" i="5"/>
  <c r="Y479" i="5" s="1"/>
  <c r="W506" i="5"/>
  <c r="X506" i="5" s="1"/>
  <c r="W535" i="5"/>
  <c r="Y535" i="5" s="1"/>
  <c r="W411" i="5"/>
  <c r="X411" i="5" s="1"/>
  <c r="W447" i="5"/>
  <c r="Y447" i="5" s="1"/>
  <c r="W489" i="5"/>
  <c r="X489" i="5" s="1"/>
  <c r="W514" i="5"/>
  <c r="X514" i="5" s="1"/>
  <c r="W404" i="5"/>
  <c r="Y404" i="5" s="1"/>
  <c r="W460" i="5"/>
  <c r="X460" i="5" s="1"/>
  <c r="W496" i="5"/>
  <c r="Y496" i="5" s="1"/>
  <c r="W523" i="5"/>
  <c r="X523" i="5" s="1"/>
  <c r="W558" i="5"/>
  <c r="X558" i="5" s="1"/>
  <c r="W531" i="5"/>
  <c r="X531" i="5" s="1"/>
  <c r="W457" i="5"/>
  <c r="Y457" i="5" s="1"/>
  <c r="W546" i="5"/>
  <c r="Y546" i="5" s="1"/>
  <c r="W500" i="5"/>
  <c r="X500" i="5" s="1"/>
  <c r="W553" i="5"/>
  <c r="Y553" i="5" s="1"/>
  <c r="W442" i="5"/>
  <c r="Y442" i="5" s="1"/>
  <c r="W492" i="5"/>
  <c r="X492" i="5" s="1"/>
  <c r="W549" i="5"/>
  <c r="Y549" i="5" s="1"/>
  <c r="W19" i="5"/>
  <c r="Y19" i="5" s="1"/>
  <c r="W10" i="5"/>
  <c r="W44" i="5"/>
  <c r="Y44" i="5" s="1"/>
  <c r="W43" i="5"/>
  <c r="Y43" i="5" s="1"/>
  <c r="W76" i="5"/>
  <c r="X76" i="5" s="1"/>
  <c r="W66" i="5"/>
  <c r="X66" i="5" s="1"/>
  <c r="W158" i="5"/>
  <c r="X158" i="5" s="1"/>
  <c r="W128" i="5"/>
  <c r="Y128" i="5" s="1"/>
  <c r="W176" i="5"/>
  <c r="X176" i="5" s="1"/>
  <c r="W184" i="5"/>
  <c r="Y184" i="5" s="1"/>
  <c r="W248" i="5"/>
  <c r="Y248" i="5" s="1"/>
  <c r="W227" i="5"/>
  <c r="Y227" i="5" s="1"/>
  <c r="W207" i="5"/>
  <c r="Y207" i="5" s="1"/>
  <c r="W309" i="5"/>
  <c r="Y309" i="5" s="1"/>
  <c r="W255" i="5"/>
  <c r="X255" i="5" s="1"/>
  <c r="W308" i="5"/>
  <c r="X308" i="5" s="1"/>
  <c r="W292" i="5"/>
  <c r="Y292" i="5" s="1"/>
  <c r="W355" i="5"/>
  <c r="Y355" i="5" s="1"/>
  <c r="W370" i="5"/>
  <c r="Y370" i="5" s="1"/>
  <c r="W434" i="5"/>
  <c r="Y434" i="5" s="1"/>
  <c r="W366" i="5"/>
  <c r="X366" i="5" s="1"/>
  <c r="W400" i="5"/>
  <c r="Y400" i="5" s="1"/>
  <c r="W253" i="5"/>
  <c r="X253" i="5" s="1"/>
  <c r="W369" i="5"/>
  <c r="X369" i="5" s="1"/>
  <c r="W391" i="5"/>
  <c r="X391" i="5" s="1"/>
  <c r="W269" i="5"/>
  <c r="X269" i="5" s="1"/>
  <c r="W444" i="5"/>
  <c r="X444" i="5" s="1"/>
  <c r="W470" i="5"/>
  <c r="Y470" i="5" s="1"/>
  <c r="W495" i="5"/>
  <c r="Y495" i="5" s="1"/>
  <c r="W526" i="5"/>
  <c r="X526" i="5" s="1"/>
  <c r="W353" i="5"/>
  <c r="X353" i="5" s="1"/>
  <c r="W430" i="5"/>
  <c r="X430" i="5" s="1"/>
  <c r="W469" i="5"/>
  <c r="X469" i="5" s="1"/>
  <c r="W507" i="5"/>
  <c r="Y507" i="5" s="1"/>
  <c r="W365" i="5"/>
  <c r="X365" i="5" s="1"/>
  <c r="W453" i="5"/>
  <c r="Y453" i="5" s="1"/>
  <c r="W480" i="5"/>
  <c r="X480" i="5" s="1"/>
  <c r="W516" i="5"/>
  <c r="Y516" i="5" s="1"/>
  <c r="W545" i="5"/>
  <c r="X545" i="5" s="1"/>
  <c r="W462" i="5"/>
  <c r="Y462" i="5" s="1"/>
  <c r="W422" i="5"/>
  <c r="Y422" i="5" s="1"/>
  <c r="W539" i="5"/>
  <c r="X539" i="5" s="1"/>
  <c r="W474" i="5"/>
  <c r="Y474" i="5" s="1"/>
  <c r="W552" i="5"/>
  <c r="Y552" i="5" s="1"/>
  <c r="W425" i="5"/>
  <c r="X425" i="5" s="1"/>
  <c r="W482" i="5"/>
  <c r="Y482" i="5" s="1"/>
  <c r="W533" i="5"/>
  <c r="Y533" i="5" s="1"/>
  <c r="W560" i="5"/>
  <c r="Y560" i="5" s="1"/>
  <c r="W559" i="5"/>
  <c r="Y559" i="5" s="1"/>
  <c r="W459" i="5"/>
  <c r="X459" i="5" s="1"/>
  <c r="W551" i="5"/>
  <c r="Y551" i="5" s="1"/>
  <c r="W534" i="5"/>
  <c r="Y534" i="5" s="1"/>
  <c r="W439" i="5"/>
  <c r="X439" i="5" s="1"/>
  <c r="W512" i="5"/>
  <c r="Y512" i="5" s="1"/>
  <c r="W438" i="5"/>
  <c r="Y438" i="5" s="1"/>
  <c r="W502" i="5"/>
  <c r="X502" i="5" s="1"/>
  <c r="W429" i="5"/>
  <c r="X429" i="5" s="1"/>
  <c r="W520" i="5"/>
  <c r="X520" i="5" s="1"/>
  <c r="W467" i="5"/>
  <c r="X467" i="5" s="1"/>
  <c r="W236" i="5"/>
  <c r="X236" i="5" s="1"/>
  <c r="W354" i="5"/>
  <c r="X354" i="5" s="1"/>
  <c r="W398" i="5"/>
  <c r="Y398" i="5" s="1"/>
  <c r="W427" i="5"/>
  <c r="Y427" i="5" s="1"/>
  <c r="W345" i="5"/>
  <c r="X345" i="5" s="1"/>
  <c r="W301" i="5"/>
  <c r="Y301" i="5" s="1"/>
  <c r="W297" i="5"/>
  <c r="X297" i="5" s="1"/>
  <c r="W223" i="5"/>
  <c r="Y223" i="5" s="1"/>
  <c r="W181" i="5"/>
  <c r="X181" i="5" s="1"/>
  <c r="W123" i="5"/>
  <c r="Y123" i="5" s="1"/>
  <c r="W99" i="5"/>
  <c r="X99" i="5" s="1"/>
  <c r="W27" i="5"/>
  <c r="Y27" i="5" s="1"/>
  <c r="W556" i="5"/>
  <c r="X556" i="5" s="1"/>
  <c r="W452" i="5"/>
  <c r="X452" i="5" s="1"/>
  <c r="W521" i="5"/>
  <c r="X521" i="5" s="1"/>
  <c r="W486" i="5"/>
  <c r="X486" i="5" s="1"/>
  <c r="W310" i="5"/>
  <c r="Y310" i="5" s="1"/>
  <c r="W498" i="5"/>
  <c r="Y498" i="5" s="1"/>
  <c r="W431" i="5"/>
  <c r="Y431" i="5" s="1"/>
  <c r="W491" i="5"/>
  <c r="Y491" i="5" s="1"/>
  <c r="W414" i="5"/>
  <c r="Y414" i="5" s="1"/>
  <c r="W509" i="5"/>
  <c r="Y509" i="5" s="1"/>
  <c r="W461" i="5"/>
  <c r="X461" i="5" s="1"/>
  <c r="W407" i="5"/>
  <c r="X407" i="5" s="1"/>
  <c r="W305" i="5"/>
  <c r="Y305" i="5" s="1"/>
  <c r="W387" i="5"/>
  <c r="Y387" i="5" s="1"/>
  <c r="W401" i="5"/>
  <c r="W328" i="5"/>
  <c r="Y328" i="5" s="1"/>
  <c r="W277" i="5"/>
  <c r="X277" i="5" s="1"/>
  <c r="W275" i="5"/>
  <c r="Y275" i="5" s="1"/>
  <c r="W203" i="5"/>
  <c r="Y203" i="5" s="1"/>
  <c r="W139" i="5"/>
  <c r="W97" i="5"/>
  <c r="X97" i="5" s="1"/>
  <c r="W85" i="5"/>
  <c r="Y85" i="5" s="1"/>
  <c r="W34" i="5"/>
  <c r="Y34" i="5" s="1"/>
  <c r="W530" i="5"/>
  <c r="X530" i="5" s="1"/>
  <c r="W385" i="5"/>
  <c r="X385" i="5" s="1"/>
  <c r="W446" i="5"/>
  <c r="X446" i="5" s="1"/>
  <c r="W388" i="5"/>
  <c r="X388" i="5" s="1"/>
  <c r="W540" i="5"/>
  <c r="Y540" i="5" s="1"/>
  <c r="W475" i="5"/>
  <c r="Y475" i="5" s="1"/>
  <c r="W296" i="5"/>
  <c r="Y296" i="5" s="1"/>
  <c r="W466" i="5"/>
  <c r="X466" i="5" s="1"/>
  <c r="W343" i="5"/>
  <c r="X343" i="5" s="1"/>
  <c r="W490" i="5"/>
  <c r="X490" i="5" s="1"/>
  <c r="W440" i="5"/>
  <c r="X440" i="5" s="1"/>
  <c r="W390" i="5"/>
  <c r="Y390" i="5" s="1"/>
  <c r="W186" i="5"/>
  <c r="X186" i="5" s="1"/>
  <c r="W364" i="5"/>
  <c r="Y364" i="5" s="1"/>
  <c r="W360" i="5"/>
  <c r="Y360" i="5" s="1"/>
  <c r="W288" i="5"/>
  <c r="X288" i="5" s="1"/>
  <c r="W252" i="5"/>
  <c r="X252" i="5" s="1"/>
  <c r="W243" i="5"/>
  <c r="Y243" i="5" s="1"/>
  <c r="W246" i="5"/>
  <c r="X246" i="5" s="1"/>
  <c r="W164" i="5"/>
  <c r="Y164" i="5" s="1"/>
  <c r="W152" i="5"/>
  <c r="Y152" i="5" s="1"/>
  <c r="W58" i="5"/>
  <c r="Y58" i="5" s="1"/>
  <c r="W29" i="5"/>
  <c r="X29" i="5" s="1"/>
  <c r="AN10" i="5"/>
  <c r="AO10" i="5"/>
  <c r="AH10" i="5"/>
  <c r="AI10" i="5"/>
  <c r="AP10" i="5"/>
  <c r="AQ13" i="5"/>
  <c r="AR13" i="5"/>
  <c r="O9" i="5"/>
  <c r="W8" i="5"/>
  <c r="W12" i="5"/>
  <c r="W13" i="5"/>
  <c r="W35" i="5"/>
  <c r="Y35" i="5" s="1"/>
  <c r="W21" i="5"/>
  <c r="Y21" i="5" s="1"/>
  <c r="W49" i="5"/>
  <c r="Y49" i="5" s="1"/>
  <c r="W64" i="5"/>
  <c r="Y64" i="5" s="1"/>
  <c r="W65" i="5"/>
  <c r="X65" i="5" s="1"/>
  <c r="W74" i="5"/>
  <c r="Y74" i="5" s="1"/>
  <c r="W73" i="5"/>
  <c r="Y73" i="5" s="1"/>
  <c r="W87" i="5"/>
  <c r="X87" i="5" s="1"/>
  <c r="W119" i="5"/>
  <c r="X119" i="5" s="1"/>
  <c r="W115" i="5"/>
  <c r="Y115" i="5" s="1"/>
  <c r="W110" i="5"/>
  <c r="W134" i="5"/>
  <c r="X134" i="5" s="1"/>
  <c r="W137" i="5"/>
  <c r="Y137" i="5" s="1"/>
  <c r="W171" i="5"/>
  <c r="X171" i="5" s="1"/>
  <c r="W148" i="5"/>
  <c r="X148" i="5" s="1"/>
  <c r="W202" i="5"/>
  <c r="Y202" i="5" s="1"/>
  <c r="W226" i="5"/>
  <c r="Y226" i="5" s="1"/>
  <c r="W172" i="5"/>
  <c r="X172" i="5" s="1"/>
  <c r="W209" i="5"/>
  <c r="X209" i="5" s="1"/>
  <c r="W239" i="5"/>
  <c r="X239" i="5" s="1"/>
  <c r="W229" i="5"/>
  <c r="X229" i="5" s="1"/>
  <c r="W225" i="5"/>
  <c r="Y225" i="5" s="1"/>
  <c r="W283" i="5"/>
  <c r="Y283" i="5" s="1"/>
  <c r="W315" i="5"/>
  <c r="Y315" i="5" s="1"/>
  <c r="W213" i="5"/>
  <c r="X213" i="5" s="1"/>
  <c r="W260" i="5"/>
  <c r="Y260" i="5" s="1"/>
  <c r="W279" i="5"/>
  <c r="X279" i="5" s="1"/>
  <c r="W318" i="5"/>
  <c r="X318" i="5" s="1"/>
  <c r="W251" i="5"/>
  <c r="X251" i="5" s="1"/>
  <c r="W302" i="5"/>
  <c r="Y302" i="5" s="1"/>
  <c r="W333" i="5"/>
  <c r="Y333" i="5" s="1"/>
  <c r="W268" i="5"/>
  <c r="X268" i="5" s="1"/>
  <c r="W351" i="5"/>
  <c r="Y351" i="5" s="1"/>
  <c r="W377" i="5"/>
  <c r="Y377" i="5" s="1"/>
  <c r="W412" i="5"/>
  <c r="X412" i="5" s="1"/>
  <c r="W259" i="5"/>
  <c r="Y259" i="5" s="1"/>
  <c r="W346" i="5"/>
  <c r="X346" i="5" s="1"/>
  <c r="W367" i="5"/>
  <c r="Y367" i="5" s="1"/>
  <c r="W394" i="5"/>
  <c r="X394" i="5" s="1"/>
  <c r="W403" i="5"/>
  <c r="W420" i="5"/>
  <c r="Y420" i="5" s="1"/>
  <c r="W256" i="5"/>
  <c r="Y256" i="5" s="1"/>
  <c r="W341" i="5"/>
  <c r="Y341" i="5" s="1"/>
  <c r="W371" i="5"/>
  <c r="X371" i="5" s="1"/>
  <c r="W380" i="5"/>
  <c r="X380" i="5" s="1"/>
  <c r="W393" i="5"/>
  <c r="Y393" i="5" s="1"/>
  <c r="W409" i="5"/>
  <c r="W281" i="5"/>
  <c r="X281" i="5" s="1"/>
  <c r="W423" i="5"/>
  <c r="X423" i="5" s="1"/>
  <c r="W445" i="5"/>
  <c r="Y445" i="5" s="1"/>
  <c r="W463" i="5"/>
  <c r="W473" i="5"/>
  <c r="X473" i="5" s="1"/>
  <c r="W487" i="5"/>
  <c r="X487" i="5" s="1"/>
  <c r="W497" i="5"/>
  <c r="Y497" i="5" s="1"/>
  <c r="W510" i="5"/>
  <c r="W528" i="5"/>
  <c r="Y528" i="5" s="1"/>
  <c r="W217" i="5"/>
  <c r="X217" i="5" s="1"/>
  <c r="W363" i="5"/>
  <c r="Y363" i="5" s="1"/>
  <c r="W417" i="5"/>
  <c r="X417" i="5" s="1"/>
  <c r="W441" i="5"/>
  <c r="Y441" i="5" s="1"/>
  <c r="W450" i="5"/>
  <c r="X450" i="5" s="1"/>
  <c r="W478" i="5"/>
  <c r="Y478" i="5" s="1"/>
  <c r="W494" i="5"/>
  <c r="X494" i="5" s="1"/>
  <c r="W508" i="5"/>
  <c r="Y508" i="5" s="1"/>
  <c r="W284" i="5"/>
  <c r="X284" i="5" s="1"/>
  <c r="W383" i="5"/>
  <c r="X383" i="5" s="1"/>
  <c r="W433" i="5"/>
  <c r="X433" i="5" s="1"/>
  <c r="W456" i="5"/>
  <c r="X456" i="5" s="1"/>
  <c r="W471" i="5"/>
  <c r="Y471" i="5" s="1"/>
  <c r="W483" i="5"/>
  <c r="Y483" i="5" s="1"/>
  <c r="W501" i="5"/>
  <c r="Y501" i="5" s="1"/>
  <c r="W517" i="5"/>
  <c r="W527" i="5"/>
  <c r="X527" i="5" s="1"/>
  <c r="W550" i="5"/>
  <c r="Y550" i="5" s="1"/>
  <c r="W435" i="5"/>
  <c r="Y435" i="5" s="1"/>
  <c r="W468" i="5"/>
  <c r="Y468" i="5" s="1"/>
  <c r="W557" i="5"/>
  <c r="Y557" i="5" s="1"/>
  <c r="W424" i="5"/>
  <c r="X424" i="5" s="1"/>
  <c r="W511" i="5"/>
  <c r="W541" i="5"/>
  <c r="Y541" i="5" s="1"/>
  <c r="W538" i="5"/>
  <c r="Y538" i="5" s="1"/>
  <c r="W477" i="5"/>
  <c r="X477" i="5" s="1"/>
  <c r="W522" i="5"/>
  <c r="W41" i="5"/>
  <c r="X41" i="5" s="1"/>
  <c r="W31" i="5"/>
  <c r="Y31" i="5" s="1"/>
  <c r="W69" i="5"/>
  <c r="Y69" i="5" s="1"/>
  <c r="W22" i="5"/>
  <c r="X22" i="5" s="1"/>
  <c r="W72" i="5"/>
  <c r="X72" i="5" s="1"/>
  <c r="W86" i="5"/>
  <c r="Y86" i="5" s="1"/>
  <c r="W96" i="5"/>
  <c r="Y96" i="5" s="1"/>
  <c r="W92" i="5"/>
  <c r="X92" i="5" s="1"/>
  <c r="W143" i="5"/>
  <c r="X143" i="5" s="1"/>
  <c r="W126" i="5"/>
  <c r="X126" i="5" s="1"/>
  <c r="W116" i="5"/>
  <c r="X116" i="5" s="1"/>
  <c r="W147" i="5"/>
  <c r="X147" i="5" s="1"/>
  <c r="W160" i="5"/>
  <c r="Y160" i="5" s="1"/>
  <c r="W177" i="5"/>
  <c r="Y177" i="5" s="1"/>
  <c r="W169" i="5"/>
  <c r="X169" i="5" s="1"/>
  <c r="W167" i="5"/>
  <c r="W231" i="5"/>
  <c r="Y231" i="5" s="1"/>
  <c r="W196" i="5"/>
  <c r="X196" i="5" s="1"/>
  <c r="W218" i="5"/>
  <c r="X218" i="5" s="1"/>
  <c r="W189" i="5"/>
  <c r="X189" i="5" s="1"/>
  <c r="W238" i="5"/>
  <c r="Y238" i="5" s="1"/>
  <c r="W235" i="5"/>
  <c r="X235" i="5" s="1"/>
  <c r="W287" i="5"/>
  <c r="X287" i="5" s="1"/>
  <c r="W319" i="5"/>
  <c r="W240" i="5"/>
  <c r="W265" i="5"/>
  <c r="X265" i="5" s="1"/>
  <c r="W289" i="5"/>
  <c r="Y289" i="5" s="1"/>
  <c r="W324" i="5"/>
  <c r="Y324" i="5" s="1"/>
  <c r="W266" i="5"/>
  <c r="X266" i="5" s="1"/>
  <c r="W313" i="5"/>
  <c r="Y313" i="5" s="1"/>
  <c r="W340" i="5"/>
  <c r="Y340" i="5" s="1"/>
  <c r="W298" i="5"/>
  <c r="X298" i="5" s="1"/>
  <c r="W357" i="5"/>
  <c r="X357" i="5" s="1"/>
  <c r="W384" i="5"/>
  <c r="X384" i="5" s="1"/>
  <c r="W416" i="5"/>
  <c r="X416" i="5" s="1"/>
  <c r="W300" i="5"/>
  <c r="W356" i="5"/>
  <c r="W378" i="5"/>
  <c r="Y378" i="5" s="1"/>
  <c r="W397" i="5"/>
  <c r="X397" i="5" s="1"/>
  <c r="W406" i="5"/>
  <c r="W421" i="5"/>
  <c r="X421" i="5" s="1"/>
  <c r="W261" i="5"/>
  <c r="Y261" i="5" s="1"/>
  <c r="W349" i="5"/>
  <c r="Y349" i="5" s="1"/>
  <c r="W372" i="5"/>
  <c r="Y372" i="5" s="1"/>
  <c r="W386" i="5"/>
  <c r="X386" i="5" s="1"/>
  <c r="W396" i="5"/>
  <c r="X396" i="5" s="1"/>
  <c r="W418" i="5"/>
  <c r="X418" i="5" s="1"/>
  <c r="W293" i="5"/>
  <c r="X293" i="5" s="1"/>
  <c r="W426" i="5"/>
  <c r="W449" i="5"/>
  <c r="Y449" i="5" s="1"/>
  <c r="W465" i="5"/>
  <c r="Y465" i="5" s="1"/>
  <c r="W476" i="5"/>
  <c r="W488" i="5"/>
  <c r="Y488" i="5" s="1"/>
  <c r="W503" i="5"/>
  <c r="X503" i="5" s="1"/>
  <c r="W518" i="5"/>
  <c r="X518" i="5" s="1"/>
  <c r="W529" i="5"/>
  <c r="W307" i="5"/>
  <c r="X307" i="5" s="1"/>
  <c r="W402" i="5"/>
  <c r="X402" i="5" s="1"/>
  <c r="W428" i="5"/>
  <c r="Y428" i="5" s="1"/>
  <c r="W443" i="5"/>
  <c r="X443" i="5" s="1"/>
  <c r="W451" i="5"/>
  <c r="Y451" i="5" s="1"/>
  <c r="W481" i="5"/>
  <c r="Y481" i="5" s="1"/>
  <c r="W499" i="5"/>
  <c r="Y499" i="5" s="1"/>
  <c r="W513" i="5"/>
  <c r="X513" i="5" s="1"/>
  <c r="W290" i="5"/>
  <c r="W389" i="5"/>
  <c r="X389" i="5" s="1"/>
  <c r="W436" i="5"/>
  <c r="X436" i="5" s="1"/>
  <c r="W458" i="5"/>
  <c r="W472" i="5"/>
  <c r="Y472" i="5" s="1"/>
  <c r="W485" i="5"/>
  <c r="X485" i="5" s="1"/>
  <c r="W504" i="5"/>
  <c r="Y504" i="5" s="1"/>
  <c r="W519" i="5"/>
  <c r="W537" i="5"/>
  <c r="Y537" i="5" s="1"/>
  <c r="W555" i="5"/>
  <c r="X555" i="5" s="1"/>
  <c r="W437" i="5"/>
  <c r="X437" i="5" s="1"/>
  <c r="W505" i="5"/>
  <c r="Y505" i="5" s="1"/>
  <c r="W547" i="5"/>
  <c r="Y547" i="5" s="1"/>
  <c r="W454" i="5"/>
  <c r="X454" i="5" s="1"/>
  <c r="W532" i="5"/>
  <c r="Y532" i="5" s="1"/>
  <c r="W542" i="5"/>
  <c r="Y542" i="5" s="1"/>
  <c r="W543" i="5"/>
  <c r="W493" i="5"/>
  <c r="X493" i="5" s="1"/>
  <c r="W548" i="5"/>
  <c r="Y548" i="5" s="1"/>
  <c r="AQ12" i="5"/>
  <c r="AR12" i="5"/>
  <c r="Z8" i="5"/>
  <c r="Z12" i="5"/>
  <c r="Z13" i="5"/>
  <c r="AK10" i="5"/>
  <c r="AL10" i="5"/>
  <c r="U10" i="5"/>
  <c r="V10" i="5"/>
  <c r="Z34" i="5"/>
  <c r="AA34" i="5" s="1"/>
  <c r="Z540" i="5"/>
  <c r="AB540" i="5" s="1"/>
  <c r="W23" i="5"/>
  <c r="Y23" i="5" s="1"/>
  <c r="Z482" i="5"/>
  <c r="AB482" i="5" s="1"/>
  <c r="Z244" i="5"/>
  <c r="Z497" i="5"/>
  <c r="Z426" i="5"/>
  <c r="AA426" i="5" s="1"/>
  <c r="Z232" i="5"/>
  <c r="AA232" i="5" s="1"/>
  <c r="Z559" i="5"/>
  <c r="Z308" i="5"/>
  <c r="Z94" i="5"/>
  <c r="Z488" i="5"/>
  <c r="Z276" i="5"/>
  <c r="Z110" i="5"/>
  <c r="AA110" i="5" s="1"/>
  <c r="Z551" i="5"/>
  <c r="AA551" i="5" s="1"/>
  <c r="Z491" i="5"/>
  <c r="AB491" i="5" s="1"/>
  <c r="Z428" i="5"/>
  <c r="Z424" i="5"/>
  <c r="Z373" i="5"/>
  <c r="AB373" i="5" s="1"/>
  <c r="Z249" i="5"/>
  <c r="AB249" i="5" s="1"/>
  <c r="Z79" i="5"/>
  <c r="AA79" i="5" s="1"/>
  <c r="Z534" i="5"/>
  <c r="Z512" i="5"/>
  <c r="Z470" i="5"/>
  <c r="Z359" i="5"/>
  <c r="Z229" i="5"/>
  <c r="Z160" i="5"/>
  <c r="AA160" i="5" s="1"/>
  <c r="Z22" i="5"/>
  <c r="AA22" i="5" s="1"/>
  <c r="Z496" i="5"/>
  <c r="Z480" i="5"/>
  <c r="Z552" i="5"/>
  <c r="Z543" i="5"/>
  <c r="Z372" i="5"/>
  <c r="Z381" i="5"/>
  <c r="Z211" i="5"/>
  <c r="AA211" i="5" s="1"/>
  <c r="Z413" i="5"/>
  <c r="AB413" i="5" s="1"/>
  <c r="Z353" i="5"/>
  <c r="Z296" i="5"/>
  <c r="Z210" i="5"/>
  <c r="Z162" i="5"/>
  <c r="AB162" i="5" s="1"/>
  <c r="Z64" i="5"/>
  <c r="W241" i="5"/>
  <c r="W197" i="5"/>
  <c r="X197" i="5" s="1"/>
  <c r="W191" i="5"/>
  <c r="Y191" i="5" s="1"/>
  <c r="W163" i="5"/>
  <c r="W179" i="5"/>
  <c r="W168" i="5"/>
  <c r="W112" i="5"/>
  <c r="W140" i="5"/>
  <c r="Y140" i="5" s="1"/>
  <c r="W118" i="5"/>
  <c r="Y118" i="5" s="1"/>
  <c r="W141" i="5"/>
  <c r="X141" i="5" s="1"/>
  <c r="W108" i="5"/>
  <c r="Y108" i="5" s="1"/>
  <c r="W130" i="5"/>
  <c r="W95" i="5"/>
  <c r="W106" i="5"/>
  <c r="X106" i="5" s="1"/>
  <c r="W91" i="5"/>
  <c r="Y91" i="5" s="1"/>
  <c r="W81" i="5"/>
  <c r="X81" i="5" s="1"/>
  <c r="W79" i="5"/>
  <c r="W50" i="5"/>
  <c r="Y50" i="5" s="1"/>
  <c r="W53" i="5"/>
  <c r="X53" i="5" s="1"/>
  <c r="W60" i="5"/>
  <c r="Y60" i="5" s="1"/>
  <c r="W39" i="5"/>
  <c r="W33" i="5"/>
  <c r="X33" i="5" s="1"/>
  <c r="Z550" i="5"/>
  <c r="Z434" i="5"/>
  <c r="Z549" i="5"/>
  <c r="AB549" i="5" s="1"/>
  <c r="Z502" i="5"/>
  <c r="Z495" i="5"/>
  <c r="AB495" i="5" s="1"/>
  <c r="Z504" i="5"/>
  <c r="AB504" i="5" s="1"/>
  <c r="Z382" i="5"/>
  <c r="Z371" i="5"/>
  <c r="Z278" i="5"/>
  <c r="AA278" i="5" s="1"/>
  <c r="Z223" i="5"/>
  <c r="Z136" i="5"/>
  <c r="AB136" i="5" s="1"/>
  <c r="Z104" i="5"/>
  <c r="AB104" i="5" s="1"/>
  <c r="Z44" i="5"/>
  <c r="AB44" i="5" s="1"/>
  <c r="W20" i="5"/>
  <c r="W37" i="5"/>
  <c r="X37" i="5" s="1"/>
  <c r="W30" i="5"/>
  <c r="X30" i="5" s="1"/>
  <c r="W46" i="5"/>
  <c r="W32" i="5"/>
  <c r="Y32" i="5" s="1"/>
  <c r="W51" i="5"/>
  <c r="X51" i="5" s="1"/>
  <c r="W57" i="5"/>
  <c r="W71" i="5"/>
  <c r="W52" i="5"/>
  <c r="W68" i="5"/>
  <c r="X68" i="5" s="1"/>
  <c r="W48" i="5"/>
  <c r="X48" i="5" s="1"/>
  <c r="W62" i="5"/>
  <c r="W75" i="5"/>
  <c r="X75" i="5" s="1"/>
  <c r="W70" i="5"/>
  <c r="X70" i="5" s="1"/>
  <c r="W77" i="5"/>
  <c r="X77" i="5" s="1"/>
  <c r="W90" i="5"/>
  <c r="X90" i="5" s="1"/>
  <c r="W88" i="5"/>
  <c r="W82" i="5"/>
  <c r="X82" i="5" s="1"/>
  <c r="W104" i="5"/>
  <c r="Y104" i="5" s="1"/>
  <c r="W84" i="5"/>
  <c r="X84" i="5" s="1"/>
  <c r="W93" i="5"/>
  <c r="X93" i="5" s="1"/>
  <c r="W105" i="5"/>
  <c r="X105" i="5" s="1"/>
  <c r="W122" i="5"/>
  <c r="Y122" i="5" s="1"/>
  <c r="W146" i="5"/>
  <c r="Y146" i="5" s="1"/>
  <c r="W159" i="5"/>
  <c r="W121" i="5"/>
  <c r="X121" i="5" s="1"/>
  <c r="W136" i="5"/>
  <c r="Y136" i="5" s="1"/>
  <c r="W101" i="5"/>
  <c r="Y101" i="5" s="1"/>
  <c r="W117" i="5"/>
  <c r="Y117" i="5" s="1"/>
  <c r="W125" i="5"/>
  <c r="Y125" i="5" s="1"/>
  <c r="W135" i="5"/>
  <c r="Y135" i="5" s="1"/>
  <c r="W149" i="5"/>
  <c r="W155" i="5"/>
  <c r="W156" i="5"/>
  <c r="Y156" i="5" s="1"/>
  <c r="W166" i="5"/>
  <c r="Y166" i="5" s="1"/>
  <c r="W180" i="5"/>
  <c r="X180" i="5" s="1"/>
  <c r="W178" i="5"/>
  <c r="Y178" i="5" s="1"/>
  <c r="W124" i="5"/>
  <c r="Y124" i="5" s="1"/>
  <c r="W151" i="5"/>
  <c r="Y151" i="5" s="1"/>
  <c r="W170" i="5"/>
  <c r="Y170" i="5" s="1"/>
  <c r="W188" i="5"/>
  <c r="W205" i="5"/>
  <c r="X205" i="5" s="1"/>
  <c r="W195" i="5"/>
  <c r="Y195" i="5" s="1"/>
  <c r="W219" i="5"/>
  <c r="W237" i="5"/>
  <c r="X237" i="5" s="1"/>
  <c r="W247" i="5"/>
  <c r="Y247" i="5" s="1"/>
  <c r="W175" i="5"/>
  <c r="X175" i="5" s="1"/>
  <c r="W201" i="5"/>
  <c r="W215" i="5"/>
  <c r="W224" i="5"/>
  <c r="Y224" i="5" s="1"/>
  <c r="W245" i="5"/>
  <c r="X245" i="5" s="1"/>
  <c r="W212" i="5"/>
  <c r="Y212" i="5" s="1"/>
  <c r="W232" i="5"/>
  <c r="W129" i="5"/>
  <c r="Y129" i="5" s="1"/>
  <c r="W230" i="5"/>
  <c r="X230" i="5" s="1"/>
  <c r="W272" i="5"/>
  <c r="Y272" i="5" s="1"/>
  <c r="W286" i="5"/>
  <c r="W304" i="5"/>
  <c r="Y304" i="5" s="1"/>
  <c r="W317" i="5"/>
  <c r="Y317" i="5" s="1"/>
  <c r="W330" i="5"/>
  <c r="X330" i="5" s="1"/>
  <c r="W221" i="5"/>
  <c r="X221" i="5" s="1"/>
  <c r="W254" i="5"/>
  <c r="Y254" i="5" s="1"/>
  <c r="W263" i="5"/>
  <c r="Y263" i="5" s="1"/>
  <c r="W274" i="5"/>
  <c r="X274" i="5" s="1"/>
  <c r="W282" i="5"/>
  <c r="W306" i="5"/>
  <c r="Y306" i="5" s="1"/>
  <c r="W322" i="5"/>
  <c r="W185" i="5"/>
  <c r="X185" i="5" s="1"/>
  <c r="W258" i="5"/>
  <c r="X258" i="5" s="1"/>
  <c r="W291" i="5"/>
  <c r="Y291" i="5" s="1"/>
  <c r="W311" i="5"/>
  <c r="Y311" i="5" s="1"/>
  <c r="W325" i="5"/>
  <c r="Y325" i="5" s="1"/>
  <c r="W336" i="5"/>
  <c r="W347" i="5"/>
  <c r="X347" i="5" s="1"/>
  <c r="W271" i="5"/>
  <c r="Y271" i="5" s="1"/>
  <c r="W338" i="5"/>
  <c r="W352" i="5"/>
  <c r="X352" i="5" s="1"/>
  <c r="W368" i="5"/>
  <c r="Y368" i="5" s="1"/>
  <c r="W382" i="5"/>
  <c r="Y382" i="5" s="1"/>
  <c r="W399" i="5"/>
  <c r="X399" i="5" s="1"/>
  <c r="W413" i="5"/>
  <c r="W432" i="5"/>
  <c r="Y432" i="5" s="1"/>
  <c r="W264" i="5"/>
  <c r="X264" i="5" s="1"/>
  <c r="W334" i="5"/>
  <c r="W350" i="5"/>
  <c r="Y350" i="5" s="1"/>
  <c r="W25" i="5"/>
  <c r="Y25" i="5" s="1"/>
  <c r="W28" i="5"/>
  <c r="X28" i="5" s="1"/>
  <c r="W38" i="5"/>
  <c r="W24" i="5"/>
  <c r="Y24" i="5" s="1"/>
  <c r="W42" i="5"/>
  <c r="W47" i="5"/>
  <c r="X47" i="5" s="1"/>
  <c r="W61" i="5"/>
  <c r="X61" i="5" s="1"/>
  <c r="W36" i="5"/>
  <c r="Y36" i="5" s="1"/>
  <c r="W54" i="5"/>
  <c r="W26" i="5"/>
  <c r="X26" i="5" s="1"/>
  <c r="W56" i="5"/>
  <c r="W67" i="5"/>
  <c r="W55" i="5"/>
  <c r="X55" i="5" s="1"/>
  <c r="W80" i="5"/>
  <c r="W83" i="5"/>
  <c r="W78" i="5"/>
  <c r="W63" i="5"/>
  <c r="X63" i="5" s="1"/>
  <c r="W98" i="5"/>
  <c r="X98" i="5" s="1"/>
  <c r="W109" i="5"/>
  <c r="W89" i="5"/>
  <c r="W100" i="5"/>
  <c r="W114" i="5"/>
  <c r="Y114" i="5" s="1"/>
  <c r="W138" i="5"/>
  <c r="W157" i="5"/>
  <c r="X157" i="5" s="1"/>
  <c r="W113" i="5"/>
  <c r="W127" i="5"/>
  <c r="X127" i="5" s="1"/>
  <c r="W145" i="5"/>
  <c r="W111" i="5"/>
  <c r="W120" i="5"/>
  <c r="Y120" i="5" s="1"/>
  <c r="W133" i="5"/>
  <c r="Y133" i="5" s="1"/>
  <c r="W144" i="5"/>
  <c r="W153" i="5"/>
  <c r="W131" i="5"/>
  <c r="X131" i="5" s="1"/>
  <c r="W162" i="5"/>
  <c r="X162" i="5" s="1"/>
  <c r="W174" i="5"/>
  <c r="W173" i="5"/>
  <c r="W183" i="5"/>
  <c r="W142" i="5"/>
  <c r="X142" i="5" s="1"/>
  <c r="W165" i="5"/>
  <c r="Y165" i="5" s="1"/>
  <c r="W182" i="5"/>
  <c r="W199" i="5"/>
  <c r="W187" i="5"/>
  <c r="X187" i="5" s="1"/>
  <c r="W204" i="5"/>
  <c r="W228" i="5"/>
  <c r="W244" i="5"/>
  <c r="X244" i="5" s="1"/>
  <c r="W161" i="5"/>
  <c r="Y161" i="5" s="1"/>
  <c r="W198" i="5"/>
  <c r="W208" i="5"/>
  <c r="W220" i="5"/>
  <c r="X220" i="5" s="1"/>
  <c r="W234" i="5"/>
  <c r="X234" i="5" s="1"/>
  <c r="W193" i="5"/>
  <c r="W222" i="5"/>
  <c r="Y222" i="5" s="1"/>
  <c r="W242" i="5"/>
  <c r="W210" i="5"/>
  <c r="Y210" i="5" s="1"/>
  <c r="W262" i="5"/>
  <c r="W280" i="5"/>
  <c r="Y280" i="5" s="1"/>
  <c r="W294" i="5"/>
  <c r="W312" i="5"/>
  <c r="Y312" i="5" s="1"/>
  <c r="W326" i="5"/>
  <c r="X326" i="5" s="1"/>
  <c r="W192" i="5"/>
  <c r="W249" i="5"/>
  <c r="X249" i="5" s="1"/>
  <c r="W257" i="5"/>
  <c r="W270" i="5"/>
  <c r="W278" i="5"/>
  <c r="W295" i="5"/>
  <c r="Y295" i="5" s="1"/>
  <c r="W314" i="5"/>
  <c r="X314" i="5" s="1"/>
  <c r="W327" i="5"/>
  <c r="Y327" i="5" s="1"/>
  <c r="W250" i="5"/>
  <c r="W276" i="5"/>
  <c r="W299" i="5"/>
  <c r="X299" i="5" s="1"/>
  <c r="W316" i="5"/>
  <c r="Y316" i="5" s="1"/>
  <c r="W331" i="5"/>
  <c r="W344" i="5"/>
  <c r="W359" i="5"/>
  <c r="X359" i="5" s="1"/>
  <c r="W321" i="5"/>
  <c r="X321" i="5" s="1"/>
  <c r="W348" i="5"/>
  <c r="Y348" i="5" s="1"/>
  <c r="W358" i="5"/>
  <c r="X358" i="5" s="1"/>
  <c r="W374" i="5"/>
  <c r="X374" i="5" s="1"/>
  <c r="W392" i="5"/>
  <c r="W408" i="5"/>
  <c r="Y408" i="5" s="1"/>
  <c r="W419" i="5"/>
  <c r="X419" i="5" s="1"/>
  <c r="W233" i="5"/>
  <c r="X233" i="5" s="1"/>
  <c r="W303" i="5"/>
  <c r="Y303" i="5" s="1"/>
  <c r="W342" i="5"/>
  <c r="W362" i="5"/>
  <c r="Z485" i="5"/>
  <c r="Z532" i="5"/>
  <c r="Z464" i="5"/>
  <c r="Z529" i="5"/>
  <c r="AB529" i="5" s="1"/>
  <c r="Z535" i="5"/>
  <c r="Z448" i="5"/>
  <c r="Z538" i="5"/>
  <c r="Z469" i="5"/>
  <c r="AB469" i="5" s="1"/>
  <c r="Z246" i="5"/>
  <c r="AB246" i="5" s="1"/>
  <c r="Z463" i="5"/>
  <c r="Z313" i="5"/>
  <c r="Z474" i="5"/>
  <c r="AA474" i="5" s="1"/>
  <c r="Z415" i="5"/>
  <c r="AA415" i="5" s="1"/>
  <c r="Z350" i="5"/>
  <c r="Z401" i="5"/>
  <c r="Z431" i="5"/>
  <c r="AB431" i="5" s="1"/>
  <c r="Z334" i="5"/>
  <c r="AA334" i="5" s="1"/>
  <c r="Z317" i="5"/>
  <c r="Z271" i="5"/>
  <c r="AA271" i="5" s="1"/>
  <c r="Z226" i="5"/>
  <c r="Z182" i="5"/>
  <c r="AA182" i="5" s="1"/>
  <c r="Z186" i="5"/>
  <c r="Z150" i="5"/>
  <c r="AA150" i="5" s="1"/>
  <c r="Z95" i="5"/>
  <c r="AA95" i="5" s="1"/>
  <c r="Z52" i="5"/>
  <c r="AA52" i="5" s="1"/>
  <c r="Z43" i="5"/>
  <c r="Z19" i="5"/>
  <c r="AA19" i="5" s="1"/>
  <c r="Z554" i="5"/>
  <c r="Z514" i="5"/>
  <c r="Z436" i="5"/>
  <c r="AB436" i="5" s="1"/>
  <c r="Z501" i="5"/>
  <c r="Z555" i="5"/>
  <c r="AA555" i="5" s="1"/>
  <c r="Z342" i="5"/>
  <c r="Z513" i="5"/>
  <c r="Z443" i="5"/>
  <c r="AB443" i="5" s="1"/>
  <c r="Z509" i="5"/>
  <c r="AA509" i="5" s="1"/>
  <c r="Z446" i="5"/>
  <c r="Z525" i="5"/>
  <c r="Z453" i="5"/>
  <c r="AA453" i="5" s="1"/>
  <c r="Z397" i="5"/>
  <c r="AB397" i="5" s="1"/>
  <c r="Z328" i="5"/>
  <c r="Z384" i="5"/>
  <c r="AA384" i="5" s="1"/>
  <c r="Z390" i="5"/>
  <c r="AA390" i="5" s="1"/>
  <c r="Z295" i="5"/>
  <c r="Z272" i="5"/>
  <c r="Z216" i="5"/>
  <c r="Z169" i="5"/>
  <c r="Z178" i="5"/>
  <c r="AB178" i="5" s="1"/>
  <c r="Z137" i="5"/>
  <c r="Z120" i="5"/>
  <c r="AB120" i="5" s="1"/>
  <c r="Z76" i="5"/>
  <c r="Z58" i="5"/>
  <c r="Z528" i="5"/>
  <c r="AA528" i="5" s="1"/>
  <c r="Z456" i="5"/>
  <c r="Z546" i="5"/>
  <c r="AB546" i="5" s="1"/>
  <c r="Z527" i="5"/>
  <c r="AA527" i="5" s="1"/>
  <c r="Z490" i="5"/>
  <c r="Z460" i="5"/>
  <c r="Z545" i="5"/>
  <c r="AB545" i="5" s="1"/>
  <c r="Z523" i="5"/>
  <c r="Z475" i="5"/>
  <c r="Z560" i="5"/>
  <c r="Z526" i="5"/>
  <c r="Z433" i="5"/>
  <c r="Z557" i="5"/>
  <c r="Z536" i="5"/>
  <c r="Z499" i="5"/>
  <c r="AB499" i="5" s="1"/>
  <c r="Z466" i="5"/>
  <c r="Z427" i="5"/>
  <c r="Z521" i="5"/>
  <c r="Z484" i="5"/>
  <c r="Z461" i="5"/>
  <c r="Z405" i="5"/>
  <c r="Z258" i="5"/>
  <c r="AA258" i="5" s="1"/>
  <c r="Z500" i="5"/>
  <c r="Z468" i="5"/>
  <c r="AA468" i="5" s="1"/>
  <c r="Z391" i="5"/>
  <c r="AB391" i="5" s="1"/>
  <c r="Z406" i="5"/>
  <c r="Z378" i="5"/>
  <c r="Z348" i="5"/>
  <c r="AA348" i="5" s="1"/>
  <c r="Z266" i="5"/>
  <c r="AB266" i="5" s="1"/>
  <c r="Z399" i="5"/>
  <c r="AA399" i="5" s="1"/>
  <c r="Z370" i="5"/>
  <c r="Z423" i="5"/>
  <c r="AB423" i="5" s="1"/>
  <c r="Z363" i="5"/>
  <c r="AA363" i="5" s="1"/>
  <c r="Z322" i="5"/>
  <c r="AA322" i="5" s="1"/>
  <c r="Z273" i="5"/>
  <c r="AB273" i="5" s="1"/>
  <c r="Z298" i="5"/>
  <c r="AA298" i="5" s="1"/>
  <c r="Z323" i="5"/>
  <c r="AA323" i="5" s="1"/>
  <c r="Z261" i="5"/>
  <c r="AB261" i="5" s="1"/>
  <c r="Z215" i="5"/>
  <c r="AB215" i="5" s="1"/>
  <c r="Z205" i="5"/>
  <c r="Z235" i="5"/>
  <c r="AA235" i="5" s="1"/>
  <c r="Z207" i="5"/>
  <c r="Z109" i="5"/>
  <c r="AA109" i="5" s="1"/>
  <c r="Z172" i="5"/>
  <c r="AB172" i="5" s="1"/>
  <c r="Z152" i="5"/>
  <c r="AB152" i="5" s="1"/>
  <c r="Z144" i="5"/>
  <c r="AA144" i="5" s="1"/>
  <c r="Z105" i="5"/>
  <c r="AA105" i="5" s="1"/>
  <c r="Z84" i="5"/>
  <c r="AB84" i="5" s="1"/>
  <c r="Z71" i="5"/>
  <c r="Z69" i="5"/>
  <c r="Z30" i="5"/>
  <c r="AB30" i="5" s="1"/>
  <c r="Z47" i="5"/>
  <c r="Z35" i="5"/>
  <c r="Z46" i="5"/>
  <c r="AB46" i="5" s="1"/>
  <c r="Z73" i="5"/>
  <c r="AA73" i="5" s="1"/>
  <c r="Z53" i="5"/>
  <c r="Z77" i="5"/>
  <c r="Z42" i="5"/>
  <c r="AB42" i="5" s="1"/>
  <c r="Z87" i="5"/>
  <c r="AB87" i="5" s="1"/>
  <c r="Z88" i="5"/>
  <c r="Z97" i="5"/>
  <c r="Z111" i="5"/>
  <c r="AB111" i="5" s="1"/>
  <c r="Z131" i="5"/>
  <c r="Z153" i="5"/>
  <c r="AB153" i="5" s="1"/>
  <c r="Z130" i="5"/>
  <c r="AA130" i="5" s="1"/>
  <c r="Z100" i="5"/>
  <c r="AA100" i="5" s="1"/>
  <c r="Z151" i="5"/>
  <c r="AB151" i="5" s="1"/>
  <c r="Z99" i="5"/>
  <c r="Z174" i="5"/>
  <c r="AA174" i="5" s="1"/>
  <c r="Z145" i="5"/>
  <c r="AB145" i="5" s="1"/>
  <c r="Z193" i="5"/>
  <c r="AA193" i="5" s="1"/>
  <c r="Z190" i="5"/>
  <c r="Z222" i="5"/>
  <c r="AB222" i="5" s="1"/>
  <c r="Z250" i="5"/>
  <c r="AA250" i="5" s="1"/>
  <c r="Z194" i="5"/>
  <c r="AB194" i="5" s="1"/>
  <c r="Z228" i="5"/>
  <c r="Z200" i="5"/>
  <c r="AB200" i="5" s="1"/>
  <c r="Z224" i="5"/>
  <c r="AB224" i="5" s="1"/>
  <c r="Z247" i="5"/>
  <c r="Z281" i="5"/>
  <c r="Z305" i="5"/>
  <c r="AA305" i="5" s="1"/>
  <c r="Z248" i="5"/>
  <c r="AB248" i="5" s="1"/>
  <c r="Z284" i="5"/>
  <c r="AB284" i="5" s="1"/>
  <c r="Z326" i="5"/>
  <c r="Z260" i="5"/>
  <c r="AA260" i="5" s="1"/>
  <c r="Z279" i="5"/>
  <c r="Z312" i="5"/>
  <c r="AA312" i="5" s="1"/>
  <c r="Z337" i="5"/>
  <c r="AA337" i="5" s="1"/>
  <c r="Z318" i="5"/>
  <c r="Z375" i="5"/>
  <c r="Z414" i="5"/>
  <c r="AB414" i="5" s="1"/>
  <c r="Z435" i="5"/>
  <c r="Z338" i="5"/>
  <c r="AB338" i="5" s="1"/>
  <c r="Z377" i="5"/>
  <c r="Z392" i="5"/>
  <c r="Z408" i="5"/>
  <c r="Z419" i="5"/>
  <c r="AA419" i="5" s="1"/>
  <c r="Z311" i="5"/>
  <c r="Z344" i="5"/>
  <c r="Z356" i="5"/>
  <c r="Z366" i="5"/>
  <c r="Z388" i="5"/>
  <c r="Z400" i="5"/>
  <c r="Z420" i="5"/>
  <c r="Z367" i="5"/>
  <c r="Z437" i="5"/>
  <c r="Z459" i="5"/>
  <c r="Z477" i="5"/>
  <c r="Z492" i="5"/>
  <c r="Z505" i="5"/>
  <c r="Z537" i="5"/>
  <c r="Z341" i="5"/>
  <c r="AB341" i="5" s="1"/>
  <c r="Z393" i="5"/>
  <c r="Z432" i="5"/>
  <c r="Z454" i="5"/>
  <c r="Z465" i="5"/>
  <c r="Z476" i="5"/>
  <c r="AB476" i="5" s="1"/>
  <c r="Z503" i="5"/>
  <c r="Z519" i="5"/>
  <c r="Z327" i="5"/>
  <c r="Z407" i="5"/>
  <c r="AB407" i="5" s="1"/>
  <c r="Z429" i="5"/>
  <c r="Z450" i="5"/>
  <c r="Z481" i="5"/>
  <c r="AB481" i="5" s="1"/>
  <c r="Z493" i="5"/>
  <c r="Z508" i="5"/>
  <c r="Z522" i="5"/>
  <c r="AA522" i="5" s="1"/>
  <c r="Z539" i="5"/>
  <c r="Z548" i="5"/>
  <c r="Z316" i="5"/>
  <c r="Z362" i="5"/>
  <c r="Z458" i="5"/>
  <c r="Z31" i="5"/>
  <c r="AA31" i="5" s="1"/>
  <c r="Z20" i="5"/>
  <c r="AA20" i="5" s="1"/>
  <c r="Z29" i="5"/>
  <c r="AB29" i="5" s="1"/>
  <c r="Z39" i="5"/>
  <c r="AA39" i="5" s="1"/>
  <c r="Z60" i="5"/>
  <c r="AB60" i="5" s="1"/>
  <c r="Z61" i="5"/>
  <c r="AA61" i="5" s="1"/>
  <c r="Z65" i="5"/>
  <c r="AB65" i="5" s="1"/>
  <c r="Z70" i="5"/>
  <c r="Z83" i="5"/>
  <c r="AB83" i="5" s="1"/>
  <c r="Z108" i="5"/>
  <c r="AA108" i="5" s="1"/>
  <c r="Z103" i="5"/>
  <c r="AA103" i="5" s="1"/>
  <c r="Z118" i="5"/>
  <c r="AB118" i="5" s="1"/>
  <c r="Z140" i="5"/>
  <c r="AB140" i="5" s="1"/>
  <c r="Z161" i="5"/>
  <c r="AB161" i="5" s="1"/>
  <c r="Z146" i="5"/>
  <c r="AA146" i="5" s="1"/>
  <c r="Z129" i="5"/>
  <c r="Z167" i="5"/>
  <c r="AB167" i="5" s="1"/>
  <c r="Z159" i="5"/>
  <c r="AB159" i="5" s="1"/>
  <c r="Z106" i="5"/>
  <c r="AA106" i="5" s="1"/>
  <c r="Z177" i="5"/>
  <c r="Z203" i="5"/>
  <c r="AB203" i="5" s="1"/>
  <c r="Z206" i="5"/>
  <c r="Z233" i="5"/>
  <c r="AA233" i="5" s="1"/>
  <c r="Z132" i="5"/>
  <c r="Z204" i="5"/>
  <c r="AB204" i="5" s="1"/>
  <c r="Z241" i="5"/>
  <c r="AB241" i="5" s="1"/>
  <c r="Z209" i="5"/>
  <c r="Z239" i="5"/>
  <c r="Z259" i="5"/>
  <c r="Z291" i="5"/>
  <c r="AA291" i="5" s="1"/>
  <c r="Z321" i="5"/>
  <c r="AA321" i="5" s="1"/>
  <c r="Z268" i="5"/>
  <c r="Z294" i="5"/>
  <c r="AB294" i="5" s="1"/>
  <c r="Z212" i="5"/>
  <c r="AB212" i="5" s="1"/>
  <c r="Z270" i="5"/>
  <c r="AA270" i="5" s="1"/>
  <c r="Z289" i="5"/>
  <c r="Z320" i="5"/>
  <c r="Z351" i="5"/>
  <c r="Z347" i="5"/>
  <c r="AB347" i="5" s="1"/>
  <c r="Z385" i="5"/>
  <c r="Z422" i="5"/>
  <c r="AB422" i="5" s="1"/>
  <c r="Z442" i="5"/>
  <c r="Z360" i="5"/>
  <c r="Z380" i="5"/>
  <c r="Z395" i="5"/>
  <c r="Z412" i="5"/>
  <c r="AB412" i="5" s="1"/>
  <c r="Z251" i="5"/>
  <c r="Z325" i="5"/>
  <c r="AA325" i="5" s="1"/>
  <c r="Z345" i="5"/>
  <c r="Z358" i="5"/>
  <c r="AB358" i="5" s="1"/>
  <c r="Z374" i="5"/>
  <c r="AB374" i="5" s="1"/>
  <c r="Z394" i="5"/>
  <c r="Z403" i="5"/>
  <c r="AA403" i="5" s="1"/>
  <c r="Z421" i="5"/>
  <c r="Z376" i="5"/>
  <c r="Z452" i="5"/>
  <c r="Z462" i="5"/>
  <c r="Z478" i="5"/>
  <c r="Z498" i="5"/>
  <c r="Z507" i="5"/>
  <c r="Z189" i="5"/>
  <c r="Z355" i="5"/>
  <c r="Z396" i="5"/>
  <c r="Z444" i="5"/>
  <c r="AA444" i="5" s="1"/>
  <c r="Z455" i="5"/>
  <c r="Z467" i="5"/>
  <c r="Z479" i="5"/>
  <c r="Z506" i="5"/>
  <c r="Z520" i="5"/>
  <c r="Z349" i="5"/>
  <c r="Z410" i="5"/>
  <c r="Z441" i="5"/>
  <c r="Z451" i="5"/>
  <c r="AA451" i="5" s="1"/>
  <c r="Z487" i="5"/>
  <c r="Z494" i="5"/>
  <c r="Z510" i="5"/>
  <c r="Z530" i="5"/>
  <c r="Z541" i="5"/>
  <c r="Z553" i="5"/>
  <c r="Z340" i="5"/>
  <c r="Z368" i="5"/>
  <c r="AA368" i="5" s="1"/>
  <c r="Z472" i="5"/>
  <c r="Z533" i="5"/>
  <c r="Z558" i="5"/>
  <c r="Z447" i="5"/>
  <c r="Z517" i="5"/>
  <c r="Z409" i="5"/>
  <c r="Z542" i="5"/>
  <c r="Z524" i="5"/>
  <c r="Z483" i="5"/>
  <c r="Z438" i="5"/>
  <c r="Z547" i="5"/>
  <c r="Z515" i="5"/>
  <c r="Z471" i="5"/>
  <c r="Z556" i="5"/>
  <c r="Z516" i="5"/>
  <c r="Z354" i="5"/>
  <c r="Z544" i="5"/>
  <c r="AB544" i="5" s="1"/>
  <c r="Z518" i="5"/>
  <c r="AB518" i="5" s="1"/>
  <c r="Z489" i="5"/>
  <c r="AB489" i="5" s="1"/>
  <c r="Z445" i="5"/>
  <c r="Z386" i="5"/>
  <c r="Z511" i="5"/>
  <c r="AB511" i="5" s="1"/>
  <c r="Z473" i="5"/>
  <c r="Z449" i="5"/>
  <c r="Z387" i="5"/>
  <c r="AA387" i="5" s="1"/>
  <c r="Z531" i="5"/>
  <c r="Z486" i="5"/>
  <c r="AA486" i="5" s="1"/>
  <c r="Z457" i="5"/>
  <c r="Z299" i="5"/>
  <c r="Z398" i="5"/>
  <c r="AB398" i="5" s="1"/>
  <c r="Z364" i="5"/>
  <c r="AB364" i="5" s="1"/>
  <c r="Z336" i="5"/>
  <c r="Z416" i="5"/>
  <c r="AA416" i="5" s="1"/>
  <c r="Z389" i="5"/>
  <c r="AA389" i="5" s="1"/>
  <c r="Z335" i="5"/>
  <c r="AA335" i="5" s="1"/>
  <c r="Z411" i="5"/>
  <c r="Z304" i="5"/>
  <c r="AB304" i="5" s="1"/>
  <c r="Z306" i="5"/>
  <c r="Z257" i="5"/>
  <c r="AA257" i="5" s="1"/>
  <c r="Z283" i="5"/>
  <c r="Z303" i="5"/>
  <c r="AB303" i="5" s="1"/>
  <c r="Z245" i="5"/>
  <c r="Z199" i="5"/>
  <c r="AB199" i="5" s="1"/>
  <c r="Z188" i="5"/>
  <c r="AB188" i="5" s="1"/>
  <c r="Z221" i="5"/>
  <c r="AA221" i="5" s="1"/>
  <c r="Z187" i="5"/>
  <c r="AA187" i="5" s="1"/>
  <c r="Z168" i="5"/>
  <c r="AB168" i="5" s="1"/>
  <c r="Z148" i="5"/>
  <c r="Z122" i="5"/>
  <c r="AA122" i="5" s="1"/>
  <c r="Z128" i="5"/>
  <c r="Z96" i="5"/>
  <c r="AA96" i="5" s="1"/>
  <c r="Z85" i="5"/>
  <c r="Z56" i="5"/>
  <c r="AB56" i="5" s="1"/>
  <c r="Z66" i="5"/>
  <c r="Z26" i="5"/>
  <c r="AA26" i="5" s="1"/>
  <c r="Z36" i="5"/>
  <c r="AB36" i="5" s="1"/>
  <c r="Z48" i="5"/>
  <c r="Z23" i="5"/>
  <c r="Z37" i="5"/>
  <c r="Z33" i="5"/>
  <c r="Z21" i="5"/>
  <c r="Z59" i="5"/>
  <c r="AA59" i="5" s="1"/>
  <c r="Z24" i="5"/>
  <c r="Z45" i="5"/>
  <c r="AA45" i="5" s="1"/>
  <c r="Z54" i="5"/>
  <c r="Z68" i="5"/>
  <c r="AA68" i="5" s="1"/>
  <c r="Z78" i="5"/>
  <c r="Z72" i="5"/>
  <c r="Z50" i="5"/>
  <c r="Z80" i="5"/>
  <c r="AB80" i="5" s="1"/>
  <c r="Z91" i="5"/>
  <c r="AA91" i="5" s="1"/>
  <c r="Z90" i="5"/>
  <c r="AB90" i="5" s="1"/>
  <c r="Z89" i="5"/>
  <c r="Z74" i="5"/>
  <c r="AA74" i="5" s="1"/>
  <c r="Z98" i="5"/>
  <c r="AA98" i="5" s="1"/>
  <c r="Z107" i="5"/>
  <c r="Z116" i="5"/>
  <c r="Z123" i="5"/>
  <c r="AA123" i="5" s="1"/>
  <c r="Z133" i="5"/>
  <c r="AA133" i="5" s="1"/>
  <c r="Z147" i="5"/>
  <c r="AA147" i="5" s="1"/>
  <c r="Z154" i="5"/>
  <c r="Z114" i="5"/>
  <c r="AB114" i="5" s="1"/>
  <c r="Z134" i="5"/>
  <c r="Z157" i="5"/>
  <c r="AA157" i="5" s="1"/>
  <c r="Z112" i="5"/>
  <c r="Z139" i="5"/>
  <c r="AA139" i="5" s="1"/>
  <c r="Z156" i="5"/>
  <c r="Z175" i="5"/>
  <c r="Z115" i="5"/>
  <c r="Z164" i="5"/>
  <c r="AB164" i="5" s="1"/>
  <c r="Z176" i="5"/>
  <c r="AB176" i="5" s="1"/>
  <c r="Z121" i="5"/>
  <c r="Z171" i="5"/>
  <c r="AB171" i="5" s="1"/>
  <c r="Z179" i="5"/>
  <c r="AA179" i="5" s="1"/>
  <c r="Z195" i="5"/>
  <c r="Z113" i="5"/>
  <c r="Z191" i="5"/>
  <c r="Z213" i="5"/>
  <c r="AA213" i="5" s="1"/>
  <c r="Z225" i="5"/>
  <c r="Z236" i="5"/>
  <c r="AA236" i="5" s="1"/>
  <c r="Z252" i="5"/>
  <c r="AB252" i="5" s="1"/>
  <c r="Z181" i="5"/>
  <c r="AA181" i="5" s="1"/>
  <c r="Z197" i="5"/>
  <c r="AB197" i="5" s="1"/>
  <c r="Z214" i="5"/>
  <c r="AA214" i="5" s="1"/>
  <c r="Z231" i="5"/>
  <c r="Z163" i="5"/>
  <c r="Z201" i="5"/>
  <c r="Z218" i="5"/>
  <c r="Z227" i="5"/>
  <c r="Z238" i="5"/>
  <c r="Z253" i="5"/>
  <c r="Z264" i="5"/>
  <c r="AB264" i="5" s="1"/>
  <c r="Z285" i="5"/>
  <c r="Z300" i="5"/>
  <c r="Z307" i="5"/>
  <c r="AA307" i="5" s="1"/>
  <c r="Z331" i="5"/>
  <c r="AB331" i="5" s="1"/>
  <c r="Z262" i="5"/>
  <c r="AB262" i="5" s="1"/>
  <c r="Z275" i="5"/>
  <c r="AB275" i="5" s="1"/>
  <c r="Z290" i="5"/>
  <c r="Z309" i="5"/>
  <c r="Z329" i="5"/>
  <c r="Z254" i="5"/>
  <c r="Z263" i="5"/>
  <c r="Z274" i="5"/>
  <c r="AB274" i="5" s="1"/>
  <c r="Z282" i="5"/>
  <c r="Z297" i="5"/>
  <c r="AA297" i="5" s="1"/>
  <c r="Z314" i="5"/>
  <c r="AA314" i="5" s="1"/>
  <c r="Z324" i="5"/>
  <c r="Z339" i="5"/>
  <c r="Z361" i="5"/>
  <c r="AA361" i="5" s="1"/>
  <c r="Z333" i="5"/>
  <c r="Z365" i="5"/>
  <c r="Z379" i="5"/>
  <c r="Z402" i="5"/>
  <c r="Z417" i="5"/>
  <c r="Z425" i="5"/>
  <c r="Z439" i="5"/>
  <c r="AB439" i="5" s="1"/>
  <c r="Z286" i="5"/>
  <c r="AB286" i="5" s="1"/>
  <c r="Z352" i="5"/>
  <c r="Z27" i="5"/>
  <c r="Z40" i="5"/>
  <c r="AA40" i="5" s="1"/>
  <c r="Z49" i="5"/>
  <c r="Z25" i="5"/>
  <c r="AB25" i="5" s="1"/>
  <c r="Z41" i="5"/>
  <c r="Z38" i="5"/>
  <c r="AB38" i="5" s="1"/>
  <c r="Z28" i="5"/>
  <c r="AB28" i="5" s="1"/>
  <c r="Z63" i="5"/>
  <c r="AB63" i="5" s="1"/>
  <c r="Z55" i="5"/>
  <c r="AB55" i="5" s="1"/>
  <c r="Z51" i="5"/>
  <c r="AB51" i="5" s="1"/>
  <c r="Z57" i="5"/>
  <c r="Z32" i="5"/>
  <c r="AA32" i="5" s="1"/>
  <c r="Z62" i="5"/>
  <c r="Z75" i="5"/>
  <c r="Z67" i="5"/>
  <c r="AB67" i="5" s="1"/>
  <c r="Z82" i="5"/>
  <c r="AB82" i="5" s="1"/>
  <c r="Z93" i="5"/>
  <c r="AB93" i="5" s="1"/>
  <c r="Z92" i="5"/>
  <c r="AA92" i="5" s="1"/>
  <c r="Z101" i="5"/>
  <c r="Z86" i="5"/>
  <c r="Z102" i="5"/>
  <c r="AA102" i="5" s="1"/>
  <c r="Z81" i="5"/>
  <c r="AB81" i="5" s="1"/>
  <c r="Z117" i="5"/>
  <c r="AA117" i="5" s="1"/>
  <c r="Z125" i="5"/>
  <c r="AB125" i="5" s="1"/>
  <c r="Z135" i="5"/>
  <c r="Z149" i="5"/>
  <c r="AB149" i="5" s="1"/>
  <c r="Z155" i="5"/>
  <c r="Z119" i="5"/>
  <c r="Z138" i="5"/>
  <c r="AA138" i="5" s="1"/>
  <c r="Z158" i="5"/>
  <c r="Z124" i="5"/>
  <c r="AA124" i="5" s="1"/>
  <c r="Z142" i="5"/>
  <c r="Z141" i="5"/>
  <c r="AA141" i="5" s="1"/>
  <c r="Z185" i="5"/>
  <c r="AA185" i="5" s="1"/>
  <c r="Z143" i="5"/>
  <c r="Z166" i="5"/>
  <c r="AB166" i="5" s="1"/>
  <c r="Z180" i="5"/>
  <c r="Z127" i="5"/>
  <c r="Z173" i="5"/>
  <c r="Z183" i="5"/>
  <c r="Z196" i="5"/>
  <c r="Z170" i="5"/>
  <c r="AA170" i="5" s="1"/>
  <c r="Z192" i="5"/>
  <c r="Z217" i="5"/>
  <c r="Z230" i="5"/>
  <c r="Z240" i="5"/>
  <c r="AB240" i="5" s="1"/>
  <c r="Z126" i="5"/>
  <c r="AB126" i="5" s="1"/>
  <c r="Z184" i="5"/>
  <c r="AB184" i="5" s="1"/>
  <c r="Z202" i="5"/>
  <c r="Z219" i="5"/>
  <c r="Z237" i="5"/>
  <c r="Z198" i="5"/>
  <c r="Z208" i="5"/>
  <c r="Z220" i="5"/>
  <c r="AB220" i="5" s="1"/>
  <c r="Z234" i="5"/>
  <c r="AB234" i="5" s="1"/>
  <c r="Z242" i="5"/>
  <c r="AA242" i="5" s="1"/>
  <c r="Z256" i="5"/>
  <c r="Z269" i="5"/>
  <c r="Z288" i="5"/>
  <c r="Z302" i="5"/>
  <c r="AA302" i="5" s="1"/>
  <c r="Z310" i="5"/>
  <c r="Z165" i="5"/>
  <c r="Z267" i="5"/>
  <c r="Z280" i="5"/>
  <c r="AA280" i="5" s="1"/>
  <c r="Z293" i="5"/>
  <c r="Z315" i="5"/>
  <c r="Z330" i="5"/>
  <c r="Z255" i="5"/>
  <c r="AB255" i="5" s="1"/>
  <c r="Z265" i="5"/>
  <c r="AB265" i="5" s="1"/>
  <c r="Z277" i="5"/>
  <c r="AB277" i="5" s="1"/>
  <c r="Z287" i="5"/>
  <c r="Z301" i="5"/>
  <c r="Z319" i="5"/>
  <c r="Z332" i="5"/>
  <c r="Z346" i="5"/>
  <c r="Z243" i="5"/>
  <c r="AB243" i="5" s="1"/>
  <c r="Z343" i="5"/>
  <c r="AA343" i="5" s="1"/>
  <c r="Z369" i="5"/>
  <c r="AB369" i="5" s="1"/>
  <c r="Z383" i="5"/>
  <c r="AB383" i="5" s="1"/>
  <c r="Z404" i="5"/>
  <c r="AA404" i="5" s="1"/>
  <c r="Z418" i="5"/>
  <c r="Z430" i="5"/>
  <c r="Z440" i="5"/>
  <c r="Z292" i="5"/>
  <c r="AA292" i="5" s="1"/>
  <c r="Z357" i="5"/>
  <c r="V8" i="4" l="1"/>
  <c r="Y8" i="4" s="1"/>
  <c r="AI8" i="4" s="1"/>
  <c r="B144" i="2"/>
  <c r="V41" i="1" s="1"/>
  <c r="B136" i="2"/>
  <c r="N41" i="1" s="1"/>
  <c r="B128" i="2"/>
  <c r="H41" i="1" s="1"/>
  <c r="AB12" i="10"/>
  <c r="AB521" i="10"/>
  <c r="AB280" i="10"/>
  <c r="AA164" i="10"/>
  <c r="AB76" i="10"/>
  <c r="AA182" i="10"/>
  <c r="AB348" i="10"/>
  <c r="AB268" i="10"/>
  <c r="AB193" i="10"/>
  <c r="AA423" i="10"/>
  <c r="AA488" i="10"/>
  <c r="V112" i="4"/>
  <c r="W112" i="4" s="1"/>
  <c r="V156" i="4"/>
  <c r="Z156" i="4" s="1"/>
  <c r="V146" i="4"/>
  <c r="W146" i="4" s="1"/>
  <c r="V107" i="4"/>
  <c r="Y107" i="4" s="1"/>
  <c r="AI107" i="4" s="1"/>
  <c r="V62" i="4"/>
  <c r="W62" i="4" s="1"/>
  <c r="V67" i="4"/>
  <c r="W67" i="4" s="1"/>
  <c r="V152" i="4"/>
  <c r="W152" i="4" s="1"/>
  <c r="V69" i="4"/>
  <c r="W69" i="4" s="1"/>
  <c r="V137" i="4"/>
  <c r="W137" i="4" s="1"/>
  <c r="V84" i="4"/>
  <c r="Y84" i="4" s="1"/>
  <c r="V133" i="4"/>
  <c r="V147" i="4"/>
  <c r="Y147" i="4" s="1"/>
  <c r="V56" i="4"/>
  <c r="V129" i="4"/>
  <c r="Y129" i="4" s="1"/>
  <c r="V100" i="4"/>
  <c r="Y100" i="4" s="1"/>
  <c r="V54" i="4"/>
  <c r="W54" i="4" s="1"/>
  <c r="V47" i="4"/>
  <c r="W47" i="4" s="1"/>
  <c r="V39" i="4"/>
  <c r="V57" i="4"/>
  <c r="Y57" i="4" s="1"/>
  <c r="V74" i="4"/>
  <c r="Y74" i="4" s="1"/>
  <c r="V150" i="4"/>
  <c r="W150" i="4" s="1"/>
  <c r="V89" i="4"/>
  <c r="Y89" i="4" s="1"/>
  <c r="V50" i="4"/>
  <c r="Y50" i="4" s="1"/>
  <c r="V40" i="4"/>
  <c r="Y40" i="4" s="1"/>
  <c r="V143" i="4"/>
  <c r="Z143" i="4" s="1"/>
  <c r="V140" i="4"/>
  <c r="Z140" i="4" s="1"/>
  <c r="V145" i="4"/>
  <c r="W145" i="4" s="1"/>
  <c r="V113" i="4"/>
  <c r="W113" i="4" s="1"/>
  <c r="V126" i="4"/>
  <c r="W126" i="4" s="1"/>
  <c r="V131" i="4"/>
  <c r="Y131" i="4" s="1"/>
  <c r="V120" i="4"/>
  <c r="Y120" i="4" s="1"/>
  <c r="V111" i="4"/>
  <c r="W111" i="4" s="1"/>
  <c r="V75" i="4"/>
  <c r="V132" i="4"/>
  <c r="Y132" i="4" s="1"/>
  <c r="V79" i="4"/>
  <c r="W79" i="4" s="1"/>
  <c r="V64" i="4"/>
  <c r="W64" i="4" s="1"/>
  <c r="V52" i="4"/>
  <c r="W52" i="4" s="1"/>
  <c r="V157" i="4"/>
  <c r="Z157" i="4" s="1"/>
  <c r="V59" i="4"/>
  <c r="Z59" i="4" s="1"/>
  <c r="V102" i="4"/>
  <c r="W102" i="4" s="1"/>
  <c r="V122" i="4"/>
  <c r="Z122" i="4" s="1"/>
  <c r="V88" i="4"/>
  <c r="Y88" i="4" s="1"/>
  <c r="V142" i="4"/>
  <c r="W142" i="4" s="1"/>
  <c r="V76" i="4"/>
  <c r="Y76" i="4" s="1"/>
  <c r="V81" i="4"/>
  <c r="W81" i="4" s="1"/>
  <c r="V91" i="4"/>
  <c r="W91" i="4" s="1"/>
  <c r="V37" i="4"/>
  <c r="W37" i="4" s="1"/>
  <c r="V124" i="4"/>
  <c r="Z124" i="4" s="1"/>
  <c r="V108" i="4"/>
  <c r="Z108" i="4" s="1"/>
  <c r="V130" i="4"/>
  <c r="W130" i="4" s="1"/>
  <c r="V68" i="4"/>
  <c r="Y68" i="4" s="1"/>
  <c r="V41" i="4"/>
  <c r="V65" i="4"/>
  <c r="W65" i="4" s="1"/>
  <c r="V114" i="4"/>
  <c r="Y114" i="4" s="1"/>
  <c r="V92" i="4"/>
  <c r="Y92" i="4" s="1"/>
  <c r="V106" i="4"/>
  <c r="W106" i="4" s="1"/>
  <c r="V104" i="4"/>
  <c r="W104" i="4" s="1"/>
  <c r="V82" i="4"/>
  <c r="Z82" i="4" s="1"/>
  <c r="V123" i="4"/>
  <c r="W123" i="4" s="1"/>
  <c r="V155" i="4"/>
  <c r="Y155" i="4" s="1"/>
  <c r="V94" i="4"/>
  <c r="Z94" i="4" s="1"/>
  <c r="V60" i="4"/>
  <c r="Y60" i="4" s="1"/>
  <c r="V45" i="4"/>
  <c r="Y45" i="4" s="1"/>
  <c r="V61" i="4"/>
  <c r="Y61" i="4" s="1"/>
  <c r="V90" i="4"/>
  <c r="W90" i="4" s="1"/>
  <c r="V154" i="4"/>
  <c r="W154" i="4" s="1"/>
  <c r="V46" i="4"/>
  <c r="W46" i="4" s="1"/>
  <c r="V110" i="4"/>
  <c r="W110" i="4" s="1"/>
  <c r="V97" i="4"/>
  <c r="W97" i="4" s="1"/>
  <c r="V153" i="4"/>
  <c r="Y153" i="4" s="1"/>
  <c r="V116" i="4"/>
  <c r="W116" i="4" s="1"/>
  <c r="AB468" i="10"/>
  <c r="AA243" i="10"/>
  <c r="AB249" i="10"/>
  <c r="AB151" i="10"/>
  <c r="AB401" i="10"/>
  <c r="AA526" i="10"/>
  <c r="AB7" i="10"/>
  <c r="AB357" i="10"/>
  <c r="AA252" i="10"/>
  <c r="AB200" i="10"/>
  <c r="AB319" i="10"/>
  <c r="AB396" i="10"/>
  <c r="AA194" i="10"/>
  <c r="AA361" i="10"/>
  <c r="AB473" i="10"/>
  <c r="AA444" i="10"/>
  <c r="AB72" i="10"/>
  <c r="AB125" i="10"/>
  <c r="W25" i="4"/>
  <c r="X25" i="4" s="1"/>
  <c r="W55" i="4"/>
  <c r="X55" i="4" s="1"/>
  <c r="W20" i="4"/>
  <c r="W14" i="4"/>
  <c r="X14" i="4" s="1"/>
  <c r="W21" i="4"/>
  <c r="Y11" i="4"/>
  <c r="W15" i="4"/>
  <c r="W13" i="4"/>
  <c r="X13" i="4" s="1"/>
  <c r="W36" i="4"/>
  <c r="X36" i="4" s="1"/>
  <c r="W17" i="4"/>
  <c r="W19" i="4"/>
  <c r="W34" i="4"/>
  <c r="W29" i="4"/>
  <c r="X29" i="4" s="1"/>
  <c r="W63" i="4"/>
  <c r="X63" i="4" s="1"/>
  <c r="W9" i="4"/>
  <c r="W12" i="4"/>
  <c r="W10" i="4"/>
  <c r="W27" i="4"/>
  <c r="Y28" i="4"/>
  <c r="Y38" i="4"/>
  <c r="W71" i="4"/>
  <c r="X71" i="4" s="1"/>
  <c r="W87" i="4"/>
  <c r="X87" i="4" s="1"/>
  <c r="W30" i="4"/>
  <c r="W18" i="4"/>
  <c r="Y35" i="4"/>
  <c r="W26" i="4"/>
  <c r="W31" i="4"/>
  <c r="W33" i="4"/>
  <c r="W22" i="4"/>
  <c r="W23" i="4"/>
  <c r="X23" i="4" s="1"/>
  <c r="W32" i="4"/>
  <c r="W24" i="4"/>
  <c r="W7" i="4"/>
  <c r="X7" i="4" s="1"/>
  <c r="W80" i="4"/>
  <c r="X80" i="4" s="1"/>
  <c r="W70" i="4"/>
  <c r="X70" i="4" s="1"/>
  <c r="W44" i="4"/>
  <c r="X44" i="4" s="1"/>
  <c r="Y121" i="4"/>
  <c r="AP121" i="4" s="1"/>
  <c r="W83" i="4"/>
  <c r="X83" i="4" s="1"/>
  <c r="W77" i="4"/>
  <c r="X77" i="4" s="1"/>
  <c r="W95" i="4"/>
  <c r="X95" i="4" s="1"/>
  <c r="W127" i="4"/>
  <c r="X127" i="4" s="1"/>
  <c r="W78" i="4"/>
  <c r="X78" i="4" s="1"/>
  <c r="W98" i="4"/>
  <c r="X98" i="4" s="1"/>
  <c r="W96" i="4"/>
  <c r="X96" i="4" s="1"/>
  <c r="W86" i="4"/>
  <c r="X86" i="4" s="1"/>
  <c r="Y138" i="4"/>
  <c r="W115" i="4"/>
  <c r="X115" i="4" s="1"/>
  <c r="W139" i="4"/>
  <c r="X139" i="4" s="1"/>
  <c r="W85" i="4"/>
  <c r="X85" i="4" s="1"/>
  <c r="Y103" i="4"/>
  <c r="W119" i="4"/>
  <c r="X119" i="4" s="1"/>
  <c r="W135" i="4"/>
  <c r="X135" i="4" s="1"/>
  <c r="W151" i="4"/>
  <c r="X151" i="4" s="1"/>
  <c r="W66" i="4"/>
  <c r="X66" i="4" s="1"/>
  <c r="AA63" i="10"/>
  <c r="AA530" i="10"/>
  <c r="AA533" i="10"/>
  <c r="AA307" i="10"/>
  <c r="AB43" i="10"/>
  <c r="AA57" i="10"/>
  <c r="AA50" i="10"/>
  <c r="AA44" i="10"/>
  <c r="AA162" i="10"/>
  <c r="AB134" i="10"/>
  <c r="AA75" i="10"/>
  <c r="AA81" i="10"/>
  <c r="AA223" i="10"/>
  <c r="AB471" i="10"/>
  <c r="AB457" i="10"/>
  <c r="AA94" i="10"/>
  <c r="AB425" i="10"/>
  <c r="AB180" i="10"/>
  <c r="Y63" i="4"/>
  <c r="AA282" i="10"/>
  <c r="AB62" i="10"/>
  <c r="AB264" i="10"/>
  <c r="AA141" i="10"/>
  <c r="AB142" i="10"/>
  <c r="AB295" i="10"/>
  <c r="AA177" i="10"/>
  <c r="AA222" i="10"/>
  <c r="AB238" i="10"/>
  <c r="AA261" i="10"/>
  <c r="AB337" i="10"/>
  <c r="AA439" i="10"/>
  <c r="AB257" i="10"/>
  <c r="AA236" i="10"/>
  <c r="AA169" i="10"/>
  <c r="AA341" i="10"/>
  <c r="AB285" i="10"/>
  <c r="AA281" i="10"/>
  <c r="AB534" i="10"/>
  <c r="AB372" i="10"/>
  <c r="AB502" i="10"/>
  <c r="AB129" i="10"/>
  <c r="AA467" i="10"/>
  <c r="Y95" i="4"/>
  <c r="AA528" i="10"/>
  <c r="AB103" i="10"/>
  <c r="AB464" i="10"/>
  <c r="W105" i="4"/>
  <c r="X105" i="4" s="1"/>
  <c r="W49" i="4"/>
  <c r="X49" i="4" s="1"/>
  <c r="W148" i="4"/>
  <c r="X148" i="4" s="1"/>
  <c r="W144" i="4"/>
  <c r="X144" i="4" s="1"/>
  <c r="W101" i="4"/>
  <c r="X101" i="4" s="1"/>
  <c r="W117" i="4"/>
  <c r="X117" i="4" s="1"/>
  <c r="W149" i="4"/>
  <c r="X149" i="4" s="1"/>
  <c r="W128" i="4"/>
  <c r="X128" i="4" s="1"/>
  <c r="W118" i="4"/>
  <c r="X118" i="4" s="1"/>
  <c r="W72" i="4"/>
  <c r="X72" i="4" s="1"/>
  <c r="W73" i="4"/>
  <c r="X73" i="4" s="1"/>
  <c r="W51" i="4"/>
  <c r="X51" i="4" s="1"/>
  <c r="W99" i="4"/>
  <c r="X99" i="4" s="1"/>
  <c r="W42" i="4"/>
  <c r="X42" i="4" s="1"/>
  <c r="W134" i="4"/>
  <c r="X134" i="4" s="1"/>
  <c r="W43" i="4"/>
  <c r="X43" i="4" s="1"/>
  <c r="W48" i="4"/>
  <c r="X48" i="4" s="1"/>
  <c r="W53" i="4"/>
  <c r="X53" i="4" s="1"/>
  <c r="W93" i="4"/>
  <c r="X93" i="4" s="1"/>
  <c r="W109" i="4"/>
  <c r="X109" i="4" s="1"/>
  <c r="W125" i="4"/>
  <c r="X125" i="4" s="1"/>
  <c r="Y58" i="4"/>
  <c r="W136" i="4"/>
  <c r="X136" i="4" s="1"/>
  <c r="W141" i="4"/>
  <c r="X141" i="4" s="1"/>
  <c r="AA234" i="10"/>
  <c r="AA340" i="10"/>
  <c r="AB176" i="10"/>
  <c r="W138" i="4"/>
  <c r="X138" i="4" s="1"/>
  <c r="Z18" i="4"/>
  <c r="Y25" i="4"/>
  <c r="Y101" i="4"/>
  <c r="Y33" i="4"/>
  <c r="Y71" i="4"/>
  <c r="Y18" i="4"/>
  <c r="Y93" i="4"/>
  <c r="W28" i="4"/>
  <c r="W103" i="4"/>
  <c r="X103" i="4" s="1"/>
  <c r="Y44" i="4"/>
  <c r="Y22" i="4"/>
  <c r="Y43" i="4"/>
  <c r="Y125" i="4"/>
  <c r="Y127" i="4"/>
  <c r="Y99" i="4"/>
  <c r="W121" i="4"/>
  <c r="X121" i="4" s="1"/>
  <c r="Y115" i="4"/>
  <c r="Y17" i="4"/>
  <c r="W35" i="4"/>
  <c r="W11" i="4"/>
  <c r="Y51" i="4"/>
  <c r="W58" i="4"/>
  <c r="X58" i="4" s="1"/>
  <c r="Y135" i="4"/>
  <c r="Y80" i="4"/>
  <c r="Y109" i="4"/>
  <c r="Y16" i="4"/>
  <c r="W16" i="4"/>
  <c r="W38" i="4"/>
  <c r="X38" i="4" s="1"/>
  <c r="Y23" i="4"/>
  <c r="Y83" i="4"/>
  <c r="Y29" i="4"/>
  <c r="Y141" i="4"/>
  <c r="Y128" i="4"/>
  <c r="Y73" i="4"/>
  <c r="Y72" i="4"/>
  <c r="Y78" i="4"/>
  <c r="Y85" i="4"/>
  <c r="Y87" i="4"/>
  <c r="Y27" i="4"/>
  <c r="Y36" i="4"/>
  <c r="Y139" i="4"/>
  <c r="Y77" i="4"/>
  <c r="Y96" i="4"/>
  <c r="Y34" i="4"/>
  <c r="Y14" i="4"/>
  <c r="Y53" i="4"/>
  <c r="Y55" i="4"/>
  <c r="Y31" i="4"/>
  <c r="Y98" i="4"/>
  <c r="Y144" i="4"/>
  <c r="Y134" i="4"/>
  <c r="Y30" i="4"/>
  <c r="Y151" i="4"/>
  <c r="Y15" i="4"/>
  <c r="Y86" i="4"/>
  <c r="Y66" i="4"/>
  <c r="Y9" i="4"/>
  <c r="Y70" i="4"/>
  <c r="Y20" i="4"/>
  <c r="Y10" i="4"/>
  <c r="Y12" i="4"/>
  <c r="Y105" i="4"/>
  <c r="Y13" i="4"/>
  <c r="Y42" i="4"/>
  <c r="Z117" i="4"/>
  <c r="Y119" i="4"/>
  <c r="AA210" i="10"/>
  <c r="AB250" i="10"/>
  <c r="AA135" i="10"/>
  <c r="AB100" i="10"/>
  <c r="AB542" i="10"/>
  <c r="AB212" i="10"/>
  <c r="AB216" i="10"/>
  <c r="AB518" i="10"/>
  <c r="AA95" i="10"/>
  <c r="AB190" i="10"/>
  <c r="AB101" i="10"/>
  <c r="AA208" i="10"/>
  <c r="AB360" i="10"/>
  <c r="AB92" i="10"/>
  <c r="AA93" i="10"/>
  <c r="AB232" i="10"/>
  <c r="AA324" i="10"/>
  <c r="AA19" i="10"/>
  <c r="AA430" i="10"/>
  <c r="AA67" i="10"/>
  <c r="AA139" i="10"/>
  <c r="AA39" i="10"/>
  <c r="AA33" i="10"/>
  <c r="AB204" i="10"/>
  <c r="AA145" i="10"/>
  <c r="AA77" i="10"/>
  <c r="AA149" i="10"/>
  <c r="AB506" i="10"/>
  <c r="AA404" i="10"/>
  <c r="AA157" i="10"/>
  <c r="AB316" i="10"/>
  <c r="AB443" i="10"/>
  <c r="AA362" i="10"/>
  <c r="AB274" i="10"/>
  <c r="AB219" i="10"/>
  <c r="AA497" i="10"/>
  <c r="AB88" i="10"/>
  <c r="AA483" i="10"/>
  <c r="AB248" i="10"/>
  <c r="AB292" i="10"/>
  <c r="AB417" i="10"/>
  <c r="AB548" i="10"/>
  <c r="AA224" i="10"/>
  <c r="AB197" i="10"/>
  <c r="AB489" i="10"/>
  <c r="AB554" i="10"/>
  <c r="AA350" i="10"/>
  <c r="AA403" i="10"/>
  <c r="AB288" i="10"/>
  <c r="AB524" i="10"/>
  <c r="AB442" i="10"/>
  <c r="AA269" i="10"/>
  <c r="AA82" i="10"/>
  <c r="AA152" i="10"/>
  <c r="AA380" i="10"/>
  <c r="AA46" i="10"/>
  <c r="AA560" i="10"/>
  <c r="AA64" i="10"/>
  <c r="AA329" i="10"/>
  <c r="AA245" i="10"/>
  <c r="AA453" i="10"/>
  <c r="AA207" i="10"/>
  <c r="AA376" i="10"/>
  <c r="AB217" i="10"/>
  <c r="AA346" i="10"/>
  <c r="AB539" i="10"/>
  <c r="AB24" i="10"/>
  <c r="AB150" i="10"/>
  <c r="AB104" i="10"/>
  <c r="AA21" i="10"/>
  <c r="AB479" i="10"/>
  <c r="AA68" i="10"/>
  <c r="AA309" i="10"/>
  <c r="AB558" i="10"/>
  <c r="AB160" i="10"/>
  <c r="AB435" i="10"/>
  <c r="AA132" i="10"/>
  <c r="AA293" i="10"/>
  <c r="AB545" i="10"/>
  <c r="AB297" i="10"/>
  <c r="AB45" i="10"/>
  <c r="AA45" i="10"/>
  <c r="AB440" i="10"/>
  <c r="AA440" i="10"/>
  <c r="AA509" i="10"/>
  <c r="AB509" i="10"/>
  <c r="AB306" i="10"/>
  <c r="AA306" i="10"/>
  <c r="AB278" i="10"/>
  <c r="AA278" i="10"/>
  <c r="AB462" i="10"/>
  <c r="AA462" i="10"/>
  <c r="AB490" i="10"/>
  <c r="AA490" i="10"/>
  <c r="AB321" i="10"/>
  <c r="AA321" i="10"/>
  <c r="AB363" i="10"/>
  <c r="AA363" i="10"/>
  <c r="AB476" i="10"/>
  <c r="AA476" i="10"/>
  <c r="AB195" i="10"/>
  <c r="AA195" i="10"/>
  <c r="AB320" i="10"/>
  <c r="AA320" i="10"/>
  <c r="AB205" i="10"/>
  <c r="AA205" i="10"/>
  <c r="AA188" i="10"/>
  <c r="AB188" i="10"/>
  <c r="AA352" i="10"/>
  <c r="AB352" i="10"/>
  <c r="AB427" i="10"/>
  <c r="AA427" i="10"/>
  <c r="AB237" i="10"/>
  <c r="AA237" i="10"/>
  <c r="AB312" i="10"/>
  <c r="AA312" i="10"/>
  <c r="AA233" i="10"/>
  <c r="AB233" i="10"/>
  <c r="AA47" i="10"/>
  <c r="AB47" i="10"/>
  <c r="AB111" i="10"/>
  <c r="AA111" i="10"/>
  <c r="AA56" i="10"/>
  <c r="AB56" i="10"/>
  <c r="AB519" i="10"/>
  <c r="AA519" i="10"/>
  <c r="AB206" i="10"/>
  <c r="AA206" i="10"/>
  <c r="AA277" i="10"/>
  <c r="AB277" i="10"/>
  <c r="AB498" i="10"/>
  <c r="AA498" i="10"/>
  <c r="AA540" i="10"/>
  <c r="AB540" i="10"/>
  <c r="AB504" i="10"/>
  <c r="AA284" i="10"/>
  <c r="AB559" i="10"/>
  <c r="AB517" i="10"/>
  <c r="AA452" i="10"/>
  <c r="AB37" i="10"/>
  <c r="AA480" i="10"/>
  <c r="AA173" i="10"/>
  <c r="AA478" i="10"/>
  <c r="AB34" i="10"/>
  <c r="AA330" i="10"/>
  <c r="AA102" i="10"/>
  <c r="AA290" i="10"/>
  <c r="AB328" i="10"/>
  <c r="AA378" i="10"/>
  <c r="AB356" i="10"/>
  <c r="AB270" i="10"/>
  <c r="AB20" i="10"/>
  <c r="AA35" i="10"/>
  <c r="AA496" i="10"/>
  <c r="AA138" i="10"/>
  <c r="AA505" i="10"/>
  <c r="AB499" i="10"/>
  <c r="AA499" i="10"/>
  <c r="AA411" i="10"/>
  <c r="AB411" i="10"/>
  <c r="AA191" i="10"/>
  <c r="AB191" i="10"/>
  <c r="AB549" i="10"/>
  <c r="AA549" i="10"/>
  <c r="AA450" i="10"/>
  <c r="AB450" i="10"/>
  <c r="AB395" i="10"/>
  <c r="AA395" i="10"/>
  <c r="AA106" i="10"/>
  <c r="AB106" i="10"/>
  <c r="AA463" i="10"/>
  <c r="AB463" i="10"/>
  <c r="AA265" i="10"/>
  <c r="AB265" i="10"/>
  <c r="AA181" i="10"/>
  <c r="AB181" i="10"/>
  <c r="AB556" i="10"/>
  <c r="AA556" i="10"/>
  <c r="AA384" i="10"/>
  <c r="AB384" i="10"/>
  <c r="AA477" i="10"/>
  <c r="AB477" i="10"/>
  <c r="AB482" i="10"/>
  <c r="AA482" i="10"/>
  <c r="AB225" i="10"/>
  <c r="AA225" i="10"/>
  <c r="AA544" i="10"/>
  <c r="AB544" i="10"/>
  <c r="AA211" i="10"/>
  <c r="AB211" i="10"/>
  <c r="AA325" i="10"/>
  <c r="AB325" i="10"/>
  <c r="AB399" i="10"/>
  <c r="AA399" i="10"/>
  <c r="AB449" i="10"/>
  <c r="AA449" i="10"/>
  <c r="AB85" i="10"/>
  <c r="AA85" i="10"/>
  <c r="AB304" i="10"/>
  <c r="AA304" i="10"/>
  <c r="AB259" i="10"/>
  <c r="AA259" i="10"/>
  <c r="AB247" i="10"/>
  <c r="AA413" i="10"/>
  <c r="AA397" i="10"/>
  <c r="AA402" i="10"/>
  <c r="AB315" i="10"/>
  <c r="AB276" i="10"/>
  <c r="AB230" i="10"/>
  <c r="AB451" i="10"/>
  <c r="AA70" i="10"/>
  <c r="AA491" i="10"/>
  <c r="AB512" i="10"/>
  <c r="AA377" i="10"/>
  <c r="AB227" i="10"/>
  <c r="AB244" i="10"/>
  <c r="AA71" i="10"/>
  <c r="AB26" i="10"/>
  <c r="AA407" i="10"/>
  <c r="AB165" i="10"/>
  <c r="AB529" i="10"/>
  <c r="AB170" i="10"/>
  <c r="AB393" i="10"/>
  <c r="AB375" i="10"/>
  <c r="AB130" i="10"/>
  <c r="AA481" i="10"/>
  <c r="AA271" i="10"/>
  <c r="AB303" i="10"/>
  <c r="AB353" i="10"/>
  <c r="AA353" i="10"/>
  <c r="AA308" i="10"/>
  <c r="AB308" i="10"/>
  <c r="AB156" i="10"/>
  <c r="AA156" i="10"/>
  <c r="AA434" i="10"/>
  <c r="AB434" i="10"/>
  <c r="AA99" i="10"/>
  <c r="AA460" i="10"/>
  <c r="AA550" i="10"/>
  <c r="AA128" i="10"/>
  <c r="AA294" i="10"/>
  <c r="AA364" i="10"/>
  <c r="AA52" i="10"/>
  <c r="AA30" i="10"/>
  <c r="AA78" i="10"/>
  <c r="AB87" i="10"/>
  <c r="AB547" i="10"/>
  <c r="AA546" i="10"/>
  <c r="AA386" i="10"/>
  <c r="AA86" i="10"/>
  <c r="AA185" i="10"/>
  <c r="AB557" i="10"/>
  <c r="AA415" i="10"/>
  <c r="AB398" i="10"/>
  <c r="AA192" i="10"/>
  <c r="AA28" i="10"/>
  <c r="AA36" i="10"/>
  <c r="AB184" i="10"/>
  <c r="AA381" i="10"/>
  <c r="AA55" i="10"/>
  <c r="AB127" i="10"/>
  <c r="AB154" i="10"/>
  <c r="AB196" i="10"/>
  <c r="AA199" i="10"/>
  <c r="AB199" i="10"/>
  <c r="AA172" i="10"/>
  <c r="AB172" i="10"/>
  <c r="AB213" i="10"/>
  <c r="AA213" i="10"/>
  <c r="AA455" i="10"/>
  <c r="AB455" i="10"/>
  <c r="AB368" i="10"/>
  <c r="AA368" i="10"/>
  <c r="AB409" i="10"/>
  <c r="AA144" i="10"/>
  <c r="AA446" i="10"/>
  <c r="AA465" i="10"/>
  <c r="AA136" i="10"/>
  <c r="AA114" i="10"/>
  <c r="AA538" i="10"/>
  <c r="AB421" i="10"/>
  <c r="AB66" i="10"/>
  <c r="AA61" i="10"/>
  <c r="AA241" i="10"/>
  <c r="AB431" i="10"/>
  <c r="AB322" i="10"/>
  <c r="AA59" i="10"/>
  <c r="AA65" i="10"/>
  <c r="AB131" i="10"/>
  <c r="AA414" i="10"/>
  <c r="AA239" i="10"/>
  <c r="AB109" i="10"/>
  <c r="AB302" i="10"/>
  <c r="AB41" i="10"/>
  <c r="AB334" i="10"/>
  <c r="AA275" i="10"/>
  <c r="AA27" i="10"/>
  <c r="AB80" i="10"/>
  <c r="AA179" i="10"/>
  <c r="AA29" i="10"/>
  <c r="AB527" i="10"/>
  <c r="AB445" i="10"/>
  <c r="AA429" i="10"/>
  <c r="AA405" i="10"/>
  <c r="AB189" i="10"/>
  <c r="AB124" i="10"/>
  <c r="AA53" i="10"/>
  <c r="AA382" i="10"/>
  <c r="AB147" i="10"/>
  <c r="AB336" i="10"/>
  <c r="Q403" i="10"/>
  <c r="R403" i="10" s="1"/>
  <c r="AB523" i="10"/>
  <c r="AB469" i="10"/>
  <c r="AB461" i="10"/>
  <c r="AA520" i="10"/>
  <c r="AA296" i="10"/>
  <c r="AA166" i="10"/>
  <c r="AA289" i="10"/>
  <c r="AB298" i="10"/>
  <c r="AB246" i="10"/>
  <c r="AA419" i="10"/>
  <c r="AB118" i="10"/>
  <c r="AB159" i="10"/>
  <c r="AA501" i="10"/>
  <c r="AA418" i="10"/>
  <c r="AA459" i="10"/>
  <c r="AB161" i="10"/>
  <c r="AA305" i="10"/>
  <c r="AB253" i="10"/>
  <c r="AA365" i="10"/>
  <c r="AA148" i="10"/>
  <c r="AA218" i="10"/>
  <c r="AB175" i="10"/>
  <c r="AB262" i="10"/>
  <c r="AA96" i="10"/>
  <c r="AA433" i="10"/>
  <c r="AA366" i="10"/>
  <c r="AA383" i="10"/>
  <c r="AA254" i="10"/>
  <c r="AB494" i="10"/>
  <c r="AB474" i="10"/>
  <c r="AB327" i="10"/>
  <c r="AA126" i="10"/>
  <c r="AA69" i="10"/>
  <c r="AA228" i="10"/>
  <c r="AA332" i="10"/>
  <c r="AB331" i="10"/>
  <c r="AB343" i="10"/>
  <c r="AB344" i="10"/>
  <c r="AA119" i="10"/>
  <c r="AA492" i="10"/>
  <c r="AA416" i="10"/>
  <c r="AA221" i="10"/>
  <c r="AA120" i="10"/>
  <c r="AB493" i="10"/>
  <c r="AA515" i="10"/>
  <c r="AB155" i="10"/>
  <c r="AA146" i="10"/>
  <c r="AB258" i="10"/>
  <c r="AA255" i="10"/>
  <c r="AB536" i="10"/>
  <c r="AA38" i="10"/>
  <c r="AB458" i="10"/>
  <c r="AA167" i="10"/>
  <c r="AA22" i="10"/>
  <c r="AB351" i="10"/>
  <c r="AA32" i="10"/>
  <c r="AA318" i="10"/>
  <c r="AB226" i="10"/>
  <c r="AB485" i="10"/>
  <c r="AA201" i="10"/>
  <c r="AB495" i="10"/>
  <c r="AB412" i="10"/>
  <c r="AA209" i="10"/>
  <c r="AB266" i="10"/>
  <c r="AB389" i="10"/>
  <c r="AA522" i="10"/>
  <c r="AA532" i="10"/>
  <c r="AA436" i="10"/>
  <c r="AA23" i="10"/>
  <c r="AA432" i="10"/>
  <c r="AB97" i="10"/>
  <c r="AA553" i="10"/>
  <c r="AB347" i="10"/>
  <c r="AA373" i="10"/>
  <c r="AB541" i="10"/>
  <c r="AA108" i="10"/>
  <c r="AB220" i="10"/>
  <c r="AB291" i="10"/>
  <c r="AB273" i="10"/>
  <c r="AB301" i="10"/>
  <c r="AA470" i="10"/>
  <c r="AB370" i="10"/>
  <c r="AB551" i="10"/>
  <c r="AB115" i="10"/>
  <c r="AA543" i="10"/>
  <c r="AB202" i="10"/>
  <c r="AA475" i="10"/>
  <c r="AA287" i="10"/>
  <c r="AB385" i="10"/>
  <c r="AA260" i="10"/>
  <c r="AA503" i="10"/>
  <c r="AB214" i="10"/>
  <c r="AA406" i="10"/>
  <c r="AB300" i="10"/>
  <c r="AB143" i="10"/>
  <c r="AB122" i="10"/>
  <c r="AA116" i="10"/>
  <c r="AA390" i="10"/>
  <c r="AB117" i="10"/>
  <c r="AA379" i="10"/>
  <c r="AB113" i="10"/>
  <c r="AA367" i="10"/>
  <c r="AA163" i="10"/>
  <c r="AB487" i="10"/>
  <c r="AB428" i="10"/>
  <c r="AA256" i="10"/>
  <c r="AA314" i="10"/>
  <c r="AB186" i="10"/>
  <c r="AB438" i="10"/>
  <c r="AA42" i="10"/>
  <c r="AA349" i="10"/>
  <c r="AA60" i="10"/>
  <c r="AB31" i="10"/>
  <c r="AA422" i="10"/>
  <c r="AA231" i="10"/>
  <c r="AB48" i="10"/>
  <c r="AA400" i="10"/>
  <c r="AB516" i="10"/>
  <c r="AA335" i="10"/>
  <c r="AA90" i="10"/>
  <c r="AA391" i="10"/>
  <c r="AA74" i="10"/>
  <c r="AA369" i="10"/>
  <c r="AA203" i="10"/>
  <c r="AB158" i="10"/>
  <c r="AA91" i="10"/>
  <c r="AA272" i="10"/>
  <c r="AA323" i="10"/>
  <c r="AA183" i="10"/>
  <c r="AB525" i="10"/>
  <c r="AA140" i="10"/>
  <c r="AA112" i="10"/>
  <c r="AA242" i="10"/>
  <c r="AB98" i="10"/>
  <c r="AA317" i="10"/>
  <c r="AB447" i="10"/>
  <c r="AA535" i="10"/>
  <c r="AB73" i="10"/>
  <c r="AA49" i="10"/>
  <c r="AB229" i="10"/>
  <c r="AB286" i="10"/>
  <c r="AA133" i="10"/>
  <c r="AA107" i="10"/>
  <c r="AA510" i="10"/>
  <c r="AA339" i="10"/>
  <c r="Q300" i="10"/>
  <c r="R300" i="10" s="1"/>
  <c r="AB388" i="10"/>
  <c r="AB537" i="10"/>
  <c r="AA110" i="10"/>
  <c r="AA456" i="10"/>
  <c r="AB279" i="10"/>
  <c r="AA121" i="10"/>
  <c r="AB83" i="10"/>
  <c r="AA392" i="10"/>
  <c r="AB500" i="10"/>
  <c r="Z7" i="4"/>
  <c r="AA7" i="4" s="1"/>
  <c r="AB7" i="4" s="1"/>
  <c r="BU7" i="4" s="1"/>
  <c r="P545" i="10"/>
  <c r="P370" i="10"/>
  <c r="AB174" i="10"/>
  <c r="AA174" i="10"/>
  <c r="AA355" i="10"/>
  <c r="AB355" i="10"/>
  <c r="AA51" i="10"/>
  <c r="AA40" i="10"/>
  <c r="AB54" i="10"/>
  <c r="AA84" i="10"/>
  <c r="AB215" i="10"/>
  <c r="AB437" i="10"/>
  <c r="AA508" i="10"/>
  <c r="AA338" i="10"/>
  <c r="AB168" i="10"/>
  <c r="AA25" i="10"/>
  <c r="AB410" i="10"/>
  <c r="AA448" i="10"/>
  <c r="Q185" i="10"/>
  <c r="R185" i="10" s="1"/>
  <c r="AB187" i="10"/>
  <c r="AB513" i="10"/>
  <c r="AB283" i="10"/>
  <c r="AA105" i="10"/>
  <c r="AA313" i="10"/>
  <c r="AB420" i="10"/>
  <c r="AB484" i="10"/>
  <c r="AB240" i="10"/>
  <c r="AB326" i="10"/>
  <c r="AA345" i="10"/>
  <c r="Q365" i="10"/>
  <c r="R365" i="10" s="1"/>
  <c r="Q92" i="10"/>
  <c r="R92" i="10" s="1"/>
  <c r="AA58" i="10"/>
  <c r="Q353" i="10"/>
  <c r="S353" i="10" s="1"/>
  <c r="AA123" i="10"/>
  <c r="AA486" i="10"/>
  <c r="AB441" i="10"/>
  <c r="AB354" i="10"/>
  <c r="AB466" i="10"/>
  <c r="AA267" i="10"/>
  <c r="AB531" i="10"/>
  <c r="AA79" i="10"/>
  <c r="AB426" i="10"/>
  <c r="AA552" i="10"/>
  <c r="AA408" i="10"/>
  <c r="AA89" i="10"/>
  <c r="AB387" i="10"/>
  <c r="AA311" i="10"/>
  <c r="AB178" i="10"/>
  <c r="AB371" i="10"/>
  <c r="AB374" i="10"/>
  <c r="AB235" i="10"/>
  <c r="AB342" i="10"/>
  <c r="AA13" i="10"/>
  <c r="P156" i="10"/>
  <c r="P73" i="10"/>
  <c r="P453" i="10"/>
  <c r="P9" i="10"/>
  <c r="P74" i="10"/>
  <c r="P51" i="10"/>
  <c r="P23" i="10"/>
  <c r="P72" i="10"/>
  <c r="P315" i="10"/>
  <c r="P365" i="10"/>
  <c r="P556" i="10"/>
  <c r="AB299" i="10"/>
  <c r="AB394" i="10"/>
  <c r="AA251" i="10"/>
  <c r="P28" i="10"/>
  <c r="P158" i="10"/>
  <c r="P200" i="10"/>
  <c r="P306" i="10"/>
  <c r="P481" i="10"/>
  <c r="AA454" i="10"/>
  <c r="P157" i="10"/>
  <c r="P139" i="10"/>
  <c r="P186" i="10"/>
  <c r="P394" i="10"/>
  <c r="P511" i="10"/>
  <c r="P29" i="10"/>
  <c r="P56" i="10"/>
  <c r="P37" i="10"/>
  <c r="P141" i="10"/>
  <c r="P27" i="10"/>
  <c r="P95" i="10"/>
  <c r="P142" i="10"/>
  <c r="P123" i="10"/>
  <c r="P207" i="10"/>
  <c r="P140" i="10"/>
  <c r="P243" i="10"/>
  <c r="P304" i="10"/>
  <c r="P289" i="10"/>
  <c r="P348" i="10"/>
  <c r="P282" i="10"/>
  <c r="P412" i="10"/>
  <c r="P447" i="10"/>
  <c r="P478" i="10"/>
  <c r="P457" i="10"/>
  <c r="P521" i="10"/>
  <c r="P557" i="10"/>
  <c r="P181" i="10"/>
  <c r="P97" i="10"/>
  <c r="P101" i="10"/>
  <c r="P283" i="10"/>
  <c r="P48" i="10"/>
  <c r="P102" i="10"/>
  <c r="P229" i="10"/>
  <c r="P163" i="10"/>
  <c r="P100" i="10"/>
  <c r="P184" i="10"/>
  <c r="P240" i="10"/>
  <c r="P226" i="10"/>
  <c r="P355" i="10"/>
  <c r="P333" i="10"/>
  <c r="P346" i="10"/>
  <c r="P387" i="10"/>
  <c r="P405" i="10"/>
  <c r="P459" i="10"/>
  <c r="P505" i="10"/>
  <c r="P520" i="10"/>
  <c r="AA171" i="10"/>
  <c r="P197" i="10"/>
  <c r="P193" i="10"/>
  <c r="P117" i="10"/>
  <c r="P55" i="10"/>
  <c r="P65" i="10"/>
  <c r="P118" i="10"/>
  <c r="P307" i="10"/>
  <c r="P179" i="10"/>
  <c r="P116" i="10"/>
  <c r="P215" i="10"/>
  <c r="P264" i="10"/>
  <c r="P249" i="10"/>
  <c r="P308" i="10"/>
  <c r="P357" i="10"/>
  <c r="P372" i="10"/>
  <c r="P411" i="10"/>
  <c r="P429" i="10"/>
  <c r="P479" i="10"/>
  <c r="P519" i="10"/>
  <c r="AB359" i="10"/>
  <c r="AB137" i="10"/>
  <c r="AA511" i="10"/>
  <c r="AB8" i="10"/>
  <c r="Q174" i="10"/>
  <c r="R174" i="10" s="1"/>
  <c r="Q122" i="10"/>
  <c r="S122" i="10" s="1"/>
  <c r="Q455" i="10"/>
  <c r="R455" i="10" s="1"/>
  <c r="Q513" i="10"/>
  <c r="R513" i="10" s="1"/>
  <c r="Q377" i="10"/>
  <c r="R377" i="10" s="1"/>
  <c r="Q348" i="10"/>
  <c r="R348" i="10" s="1"/>
  <c r="Q56" i="10"/>
  <c r="Q291" i="10"/>
  <c r="R291" i="10" s="1"/>
  <c r="Q548" i="10"/>
  <c r="S548" i="10" s="1"/>
  <c r="AA10" i="10"/>
  <c r="Q54" i="10"/>
  <c r="S54" i="10" s="1"/>
  <c r="Q165" i="10"/>
  <c r="R165" i="10" s="1"/>
  <c r="Q127" i="10"/>
  <c r="S127" i="10" s="1"/>
  <c r="Q465" i="10"/>
  <c r="R465" i="10" s="1"/>
  <c r="Q444" i="10"/>
  <c r="R444" i="10" s="1"/>
  <c r="Q502" i="10"/>
  <c r="Q116" i="10"/>
  <c r="S116" i="10" s="1"/>
  <c r="AA514" i="10"/>
  <c r="AB333" i="10"/>
  <c r="AA507" i="10"/>
  <c r="AA358" i="10"/>
  <c r="Q544" i="10"/>
  <c r="R544" i="10" s="1"/>
  <c r="Q13" i="10"/>
  <c r="S13" i="10" s="1"/>
  <c r="Q514" i="10"/>
  <c r="Q82" i="10"/>
  <c r="S82" i="10" s="1"/>
  <c r="Q325" i="10"/>
  <c r="S325" i="10" s="1"/>
  <c r="Q126" i="10"/>
  <c r="R126" i="10" s="1"/>
  <c r="Q356" i="10"/>
  <c r="S356" i="10" s="1"/>
  <c r="Q558" i="10"/>
  <c r="S558" i="10" s="1"/>
  <c r="Q440" i="10"/>
  <c r="R440" i="10" s="1"/>
  <c r="Q129" i="10"/>
  <c r="S129" i="10" s="1"/>
  <c r="Q164" i="10"/>
  <c r="S164" i="10" s="1"/>
  <c r="Q141" i="10"/>
  <c r="S141" i="10" s="1"/>
  <c r="Q326" i="10"/>
  <c r="R326" i="10" s="1"/>
  <c r="Q432" i="10"/>
  <c r="S432" i="10" s="1"/>
  <c r="AA153" i="10"/>
  <c r="P13" i="10"/>
  <c r="P559" i="10"/>
  <c r="P544" i="10"/>
  <c r="P543" i="10"/>
  <c r="P538" i="10"/>
  <c r="P527" i="10"/>
  <c r="P503" i="10"/>
  <c r="P506" i="10"/>
  <c r="P500" i="10"/>
  <c r="P491" i="10"/>
  <c r="P473" i="10"/>
  <c r="P484" i="10"/>
  <c r="P489" i="10"/>
  <c r="P442" i="10"/>
  <c r="P445" i="10"/>
  <c r="P444" i="10"/>
  <c r="P421" i="10"/>
  <c r="P389" i="10"/>
  <c r="P468" i="10"/>
  <c r="P433" i="10"/>
  <c r="P403" i="10"/>
  <c r="P418" i="10"/>
  <c r="P428" i="10"/>
  <c r="P396" i="10"/>
  <c r="P362" i="10"/>
  <c r="P330" i="10"/>
  <c r="P298" i="10"/>
  <c r="P266" i="10"/>
  <c r="P349" i="10"/>
  <c r="P317" i="10"/>
  <c r="P364" i="10"/>
  <c r="P332" i="10"/>
  <c r="P386" i="10"/>
  <c r="P339" i="10"/>
  <c r="P305" i="10"/>
  <c r="P273" i="10"/>
  <c r="P242" i="10"/>
  <c r="P210" i="10"/>
  <c r="P178" i="10"/>
  <c r="P288" i="10"/>
  <c r="P256" i="10"/>
  <c r="P224" i="10"/>
  <c r="P456" i="10"/>
  <c r="P231" i="10"/>
  <c r="AC231" i="10" s="1"/>
  <c r="P211" i="10"/>
  <c r="P172" i="10"/>
  <c r="P152" i="10"/>
  <c r="P132" i="10"/>
  <c r="P108" i="10"/>
  <c r="P88" i="10"/>
  <c r="P70" i="10"/>
  <c r="P195" i="10"/>
  <c r="P175" i="10"/>
  <c r="P155" i="10"/>
  <c r="P131" i="10"/>
  <c r="P111" i="10"/>
  <c r="P241" i="10"/>
  <c r="P217" i="10"/>
  <c r="P154" i="10"/>
  <c r="P134" i="10"/>
  <c r="P110" i="10"/>
  <c r="P90" i="10"/>
  <c r="P71" i="10"/>
  <c r="P83" i="10"/>
  <c r="P63" i="10"/>
  <c r="P41" i="10"/>
  <c r="P38" i="10"/>
  <c r="P189" i="10"/>
  <c r="P46" i="10"/>
  <c r="P259" i="10"/>
  <c r="P153" i="10"/>
  <c r="P133" i="10"/>
  <c r="P109" i="10"/>
  <c r="P52" i="10"/>
  <c r="P22" i="10"/>
  <c r="P287" i="10"/>
  <c r="P177" i="10"/>
  <c r="P89" i="10"/>
  <c r="P64" i="10"/>
  <c r="P30" i="10"/>
  <c r="P11" i="10"/>
  <c r="P551" i="10"/>
  <c r="P553" i="10"/>
  <c r="P536" i="10"/>
  <c r="P528" i="10"/>
  <c r="P530" i="10"/>
  <c r="P495" i="10"/>
  <c r="P529" i="10"/>
  <c r="P512" i="10"/>
  <c r="P497" i="10"/>
  <c r="P465" i="10"/>
  <c r="P476" i="10"/>
  <c r="P467" i="10"/>
  <c r="P466" i="10"/>
  <c r="P486" i="10"/>
  <c r="P436" i="10"/>
  <c r="P413" i="10"/>
  <c r="P381" i="10"/>
  <c r="P460" i="10"/>
  <c r="P427" i="10"/>
  <c r="P395" i="10"/>
  <c r="P410" i="10"/>
  <c r="P420" i="10"/>
  <c r="P388" i="10"/>
  <c r="P354" i="10"/>
  <c r="P322" i="10"/>
  <c r="P290" i="10"/>
  <c r="P258" i="10"/>
  <c r="P341" i="10"/>
  <c r="P309" i="10"/>
  <c r="P356" i="10"/>
  <c r="P324" i="10"/>
  <c r="P363" i="10"/>
  <c r="P331" i="10"/>
  <c r="P297" i="10"/>
  <c r="P265" i="10"/>
  <c r="P234" i="10"/>
  <c r="P202" i="10"/>
  <c r="P170" i="10"/>
  <c r="P280" i="10"/>
  <c r="P248" i="10"/>
  <c r="P216" i="10"/>
  <c r="P371" i="10"/>
  <c r="P227" i="10"/>
  <c r="P188" i="10"/>
  <c r="P168" i="10"/>
  <c r="P148" i="10"/>
  <c r="P124" i="10"/>
  <c r="P104" i="10"/>
  <c r="P84" i="10"/>
  <c r="P303" i="10"/>
  <c r="P191" i="10"/>
  <c r="P171" i="10"/>
  <c r="P147" i="10"/>
  <c r="P127" i="10"/>
  <c r="P107" i="10"/>
  <c r="P233" i="10"/>
  <c r="P213" i="10"/>
  <c r="P150" i="10"/>
  <c r="P126" i="10"/>
  <c r="P106" i="10"/>
  <c r="P86" i="10"/>
  <c r="P99" i="10"/>
  <c r="P79" i="10"/>
  <c r="P60" i="10"/>
  <c r="P33" i="10"/>
  <c r="P25" i="10"/>
  <c r="P185" i="10"/>
  <c r="P291" i="10"/>
  <c r="P251" i="10"/>
  <c r="P149" i="10"/>
  <c r="P125" i="10"/>
  <c r="P105" i="10"/>
  <c r="P50" i="10"/>
  <c r="P40" i="10"/>
  <c r="P271" i="10"/>
  <c r="P169" i="10"/>
  <c r="P81" i="10"/>
  <c r="P62" i="10"/>
  <c r="P295" i="10"/>
  <c r="AA424" i="10"/>
  <c r="AB424" i="10"/>
  <c r="AB472" i="10"/>
  <c r="AA472" i="10"/>
  <c r="AA310" i="10"/>
  <c r="AB310" i="10"/>
  <c r="AA198" i="10"/>
  <c r="AB198" i="10"/>
  <c r="Q526" i="10"/>
  <c r="S526" i="10" s="1"/>
  <c r="Q85" i="10"/>
  <c r="S85" i="10" s="1"/>
  <c r="Q69" i="10"/>
  <c r="R69" i="10" s="1"/>
  <c r="Q412" i="10"/>
  <c r="S412" i="10" s="1"/>
  <c r="Q317" i="10"/>
  <c r="R317" i="10" s="1"/>
  <c r="Q272" i="10"/>
  <c r="S272" i="10" s="1"/>
  <c r="Q110" i="10"/>
  <c r="R110" i="10" s="1"/>
  <c r="Q509" i="10"/>
  <c r="S509" i="10" s="1"/>
  <c r="Q340" i="10"/>
  <c r="Q77" i="10"/>
  <c r="R77" i="10" s="1"/>
  <c r="Q543" i="10"/>
  <c r="S543" i="10" s="1"/>
  <c r="Q534" i="10"/>
  <c r="Q426" i="10"/>
  <c r="Q301" i="10"/>
  <c r="S301" i="10" s="1"/>
  <c r="Q113" i="10"/>
  <c r="R113" i="10" s="1"/>
  <c r="Q58" i="10"/>
  <c r="Q180" i="10"/>
  <c r="R180" i="10" s="1"/>
  <c r="Q157" i="10"/>
  <c r="S157" i="10" s="1"/>
  <c r="Q259" i="10"/>
  <c r="R259" i="10" s="1"/>
  <c r="Q342" i="10"/>
  <c r="Q335" i="10"/>
  <c r="Q437" i="10"/>
  <c r="S437" i="10" s="1"/>
  <c r="Q478" i="10"/>
  <c r="R478" i="10" s="1"/>
  <c r="Q552" i="10"/>
  <c r="P24" i="10"/>
  <c r="P53" i="10"/>
  <c r="P255" i="10"/>
  <c r="P77" i="10"/>
  <c r="P247" i="10"/>
  <c r="P35" i="10"/>
  <c r="P121" i="10"/>
  <c r="P201" i="10"/>
  <c r="P59" i="10"/>
  <c r="P31" i="10"/>
  <c r="P75" i="10"/>
  <c r="P78" i="10"/>
  <c r="P122" i="10"/>
  <c r="P209" i="10"/>
  <c r="P375" i="10"/>
  <c r="P143" i="10"/>
  <c r="P187" i="10"/>
  <c r="P76" i="10"/>
  <c r="P120" i="10"/>
  <c r="P164" i="10"/>
  <c r="P219" i="10"/>
  <c r="P208" i="10"/>
  <c r="P272" i="10"/>
  <c r="P194" i="10"/>
  <c r="P257" i="10"/>
  <c r="P323" i="10"/>
  <c r="P316" i="10"/>
  <c r="P378" i="10"/>
  <c r="P250" i="10"/>
  <c r="P314" i="10"/>
  <c r="P380" i="10"/>
  <c r="P402" i="10"/>
  <c r="P419" i="10"/>
  <c r="P373" i="10"/>
  <c r="P438" i="10"/>
  <c r="P458" i="10"/>
  <c r="P490" i="10"/>
  <c r="P488" i="10"/>
  <c r="P513" i="10"/>
  <c r="P522" i="10"/>
  <c r="P542" i="10"/>
  <c r="P554" i="10"/>
  <c r="Q222" i="10"/>
  <c r="R222" i="10" s="1"/>
  <c r="Q420" i="10"/>
  <c r="S420" i="10" s="1"/>
  <c r="Q280" i="10"/>
  <c r="S280" i="10" s="1"/>
  <c r="Q522" i="10"/>
  <c r="R522" i="10" s="1"/>
  <c r="Q93" i="10"/>
  <c r="R93" i="10" s="1"/>
  <c r="Q510" i="10"/>
  <c r="R510" i="10" s="1"/>
  <c r="Q304" i="10"/>
  <c r="Q33" i="10"/>
  <c r="R33" i="10" s="1"/>
  <c r="Q251" i="10"/>
  <c r="S251" i="10" s="1"/>
  <c r="Q319" i="10"/>
  <c r="S319" i="10" s="1"/>
  <c r="Q462" i="10"/>
  <c r="S462" i="10" s="1"/>
  <c r="Q556" i="10"/>
  <c r="Q380" i="10"/>
  <c r="R380" i="10" s="1"/>
  <c r="Q182" i="10"/>
  <c r="S182" i="10" s="1"/>
  <c r="Q516" i="10"/>
  <c r="S516" i="10" s="1"/>
  <c r="Q393" i="10"/>
  <c r="R393" i="10" s="1"/>
  <c r="Q197" i="10"/>
  <c r="S197" i="10" s="1"/>
  <c r="Q73" i="10"/>
  <c r="S73" i="10" s="1"/>
  <c r="Q413" i="10"/>
  <c r="S413" i="10" s="1"/>
  <c r="Q475" i="10"/>
  <c r="R475" i="10" s="1"/>
  <c r="Q202" i="10"/>
  <c r="S202" i="10" s="1"/>
  <c r="Q138" i="10"/>
  <c r="R138" i="10" s="1"/>
  <c r="Q364" i="10"/>
  <c r="Q471" i="10"/>
  <c r="R471" i="10" s="1"/>
  <c r="Q361" i="10"/>
  <c r="S361" i="10" s="1"/>
  <c r="Q253" i="10"/>
  <c r="Q118" i="10"/>
  <c r="R118" i="10" s="1"/>
  <c r="Q100" i="10"/>
  <c r="R100" i="10" s="1"/>
  <c r="Q244" i="10"/>
  <c r="R244" i="10" s="1"/>
  <c r="Q111" i="10"/>
  <c r="R111" i="10" s="1"/>
  <c r="Q283" i="10"/>
  <c r="S283" i="10" s="1"/>
  <c r="Q215" i="10"/>
  <c r="R215" i="10" s="1"/>
  <c r="Q382" i="10"/>
  <c r="R382" i="10" s="1"/>
  <c r="Q422" i="10"/>
  <c r="S422" i="10" s="1"/>
  <c r="Q503" i="10"/>
  <c r="P26" i="10"/>
  <c r="P165" i="10"/>
  <c r="P47" i="10"/>
  <c r="P93" i="10"/>
  <c r="P34" i="10"/>
  <c r="P54" i="10"/>
  <c r="P137" i="10"/>
  <c r="P275" i="10"/>
  <c r="P279" i="10"/>
  <c r="P43" i="10"/>
  <c r="P91" i="10"/>
  <c r="P94" i="10"/>
  <c r="P138" i="10"/>
  <c r="P225" i="10"/>
  <c r="P115" i="10"/>
  <c r="P159" i="10"/>
  <c r="P203" i="10"/>
  <c r="P92" i="10"/>
  <c r="P136" i="10"/>
  <c r="P180" i="10"/>
  <c r="AC180" i="10" s="1"/>
  <c r="P235" i="10"/>
  <c r="P232" i="10"/>
  <c r="P296" i="10"/>
  <c r="P218" i="10"/>
  <c r="P281" i="10"/>
  <c r="P347" i="10"/>
  <c r="P340" i="10"/>
  <c r="P325" i="10"/>
  <c r="P274" i="10"/>
  <c r="P338" i="10"/>
  <c r="P404" i="10"/>
  <c r="P426" i="10"/>
  <c r="AC426" i="10" s="1"/>
  <c r="P439" i="10"/>
  <c r="P397" i="10"/>
  <c r="P452" i="10"/>
  <c r="P450" i="10"/>
  <c r="P501" i="10"/>
  <c r="P498" i="10"/>
  <c r="P514" i="10"/>
  <c r="P537" i="10"/>
  <c r="P550" i="10"/>
  <c r="AB555" i="10"/>
  <c r="P8" i="10"/>
  <c r="P7" i="10"/>
  <c r="P555" i="10"/>
  <c r="P560" i="10"/>
  <c r="P540" i="10"/>
  <c r="P552" i="10"/>
  <c r="P539" i="10"/>
  <c r="P549" i="10"/>
  <c r="P534" i="10"/>
  <c r="P516" i="10"/>
  <c r="P531" i="10"/>
  <c r="P518" i="10"/>
  <c r="P499" i="10"/>
  <c r="P517" i="10"/>
  <c r="P533" i="10"/>
  <c r="P509" i="10"/>
  <c r="P496" i="10"/>
  <c r="P502" i="10"/>
  <c r="P487" i="10"/>
  <c r="P485" i="10"/>
  <c r="P469" i="10"/>
  <c r="P504" i="10"/>
  <c r="P480" i="10"/>
  <c r="P483" i="10"/>
  <c r="P471" i="10"/>
  <c r="P455" i="10"/>
  <c r="P470" i="10"/>
  <c r="P454" i="10"/>
  <c r="P441" i="10"/>
  <c r="P474" i="10"/>
  <c r="P440" i="10"/>
  <c r="P435" i="10"/>
  <c r="P417" i="10"/>
  <c r="P401" i="10"/>
  <c r="P385" i="10"/>
  <c r="P369" i="10"/>
  <c r="P464" i="10"/>
  <c r="P443" i="10"/>
  <c r="P431" i="10"/>
  <c r="P415" i="10"/>
  <c r="P399" i="10"/>
  <c r="P430" i="10"/>
  <c r="P414" i="10"/>
  <c r="P398" i="10"/>
  <c r="P424" i="10"/>
  <c r="P408" i="10"/>
  <c r="P392" i="10"/>
  <c r="P376" i="10"/>
  <c r="P358" i="10"/>
  <c r="P342" i="10"/>
  <c r="P326" i="10"/>
  <c r="P310" i="10"/>
  <c r="P294" i="10"/>
  <c r="P278" i="10"/>
  <c r="P262" i="10"/>
  <c r="P246" i="10"/>
  <c r="P345" i="10"/>
  <c r="P329" i="10"/>
  <c r="P313" i="10"/>
  <c r="P374" i="10"/>
  <c r="P360" i="10"/>
  <c r="P344" i="10"/>
  <c r="P328" i="10"/>
  <c r="P312" i="10"/>
  <c r="P367" i="10"/>
  <c r="P351" i="10"/>
  <c r="P335" i="10"/>
  <c r="P319" i="10"/>
  <c r="P301" i="10"/>
  <c r="P285" i="10"/>
  <c r="P269" i="10"/>
  <c r="P253" i="10"/>
  <c r="P238" i="10"/>
  <c r="P222" i="10"/>
  <c r="P206" i="10"/>
  <c r="P190" i="10"/>
  <c r="P174" i="10"/>
  <c r="P300" i="10"/>
  <c r="P284" i="10"/>
  <c r="P268" i="10"/>
  <c r="P252" i="10"/>
  <c r="P236" i="10"/>
  <c r="P220" i="10"/>
  <c r="P204" i="10"/>
  <c r="P379" i="10"/>
  <c r="P239" i="10"/>
  <c r="P223" i="10"/>
  <c r="P192" i="10"/>
  <c r="P176" i="10"/>
  <c r="P160" i="10"/>
  <c r="P144" i="10"/>
  <c r="P128" i="10"/>
  <c r="P112" i="10"/>
  <c r="P96" i="10"/>
  <c r="P80" i="10"/>
  <c r="P68" i="10"/>
  <c r="P199" i="10"/>
  <c r="P183" i="10"/>
  <c r="P167" i="10"/>
  <c r="P151" i="10"/>
  <c r="P135" i="10"/>
  <c r="P119" i="10"/>
  <c r="P103" i="10"/>
  <c r="P237" i="10"/>
  <c r="P221" i="10"/>
  <c r="P162" i="10"/>
  <c r="P146" i="10"/>
  <c r="P130" i="10"/>
  <c r="P114" i="10"/>
  <c r="P98" i="10"/>
  <c r="P82" i="10"/>
  <c r="P69" i="10"/>
  <c r="P87" i="10"/>
  <c r="P67" i="10"/>
  <c r="P58" i="10"/>
  <c r="P39" i="10"/>
  <c r="P21" i="10"/>
  <c r="P61" i="10"/>
  <c r="P299" i="10"/>
  <c r="P267" i="10"/>
  <c r="P161" i="10"/>
  <c r="P145" i="10"/>
  <c r="P129" i="10"/>
  <c r="P113" i="10"/>
  <c r="P57" i="10"/>
  <c r="P45" i="10"/>
  <c r="P42" i="10"/>
  <c r="P32" i="10"/>
  <c r="P205" i="10"/>
  <c r="P44" i="10"/>
  <c r="P85" i="10"/>
  <c r="P66" i="10"/>
  <c r="P49" i="10"/>
  <c r="P263" i="10"/>
  <c r="P173" i="10"/>
  <c r="P36" i="10"/>
  <c r="P20" i="10"/>
  <c r="P10" i="10"/>
  <c r="P12" i="10"/>
  <c r="P558" i="10"/>
  <c r="P548" i="10"/>
  <c r="P547" i="10"/>
  <c r="P546" i="10"/>
  <c r="P532" i="10"/>
  <c r="P541" i="10"/>
  <c r="P524" i="10"/>
  <c r="P535" i="10"/>
  <c r="P526" i="10"/>
  <c r="P507" i="10"/>
  <c r="P523" i="10"/>
  <c r="P510" i="10"/>
  <c r="P525" i="10"/>
  <c r="P515" i="10"/>
  <c r="P508" i="10"/>
  <c r="P494" i="10"/>
  <c r="P492" i="10"/>
  <c r="P477" i="10"/>
  <c r="P461" i="10"/>
  <c r="P493" i="10"/>
  <c r="P472" i="10"/>
  <c r="P475" i="10"/>
  <c r="P463" i="10"/>
  <c r="P446" i="10"/>
  <c r="P462" i="10"/>
  <c r="P449" i="10"/>
  <c r="P482" i="10"/>
  <c r="P448" i="10"/>
  <c r="P432" i="10"/>
  <c r="P425" i="10"/>
  <c r="P409" i="10"/>
  <c r="P393" i="10"/>
  <c r="P377" i="10"/>
  <c r="P361" i="10"/>
  <c r="P451" i="10"/>
  <c r="P437" i="10"/>
  <c r="P423" i="10"/>
  <c r="P407" i="10"/>
  <c r="P391" i="10"/>
  <c r="P422" i="10"/>
  <c r="P406" i="10"/>
  <c r="P390" i="10"/>
  <c r="P416" i="10"/>
  <c r="P400" i="10"/>
  <c r="P384" i="10"/>
  <c r="P366" i="10"/>
  <c r="P350" i="10"/>
  <c r="P334" i="10"/>
  <c r="P318" i="10"/>
  <c r="P302" i="10"/>
  <c r="P286" i="10"/>
  <c r="P270" i="10"/>
  <c r="P254" i="10"/>
  <c r="P353" i="10"/>
  <c r="P337" i="10"/>
  <c r="P321" i="10"/>
  <c r="P382" i="10"/>
  <c r="P368" i="10"/>
  <c r="P352" i="10"/>
  <c r="P336" i="10"/>
  <c r="P320" i="10"/>
  <c r="P434" i="10"/>
  <c r="P359" i="10"/>
  <c r="P343" i="10"/>
  <c r="P327" i="10"/>
  <c r="P311" i="10"/>
  <c r="P293" i="10"/>
  <c r="P277" i="10"/>
  <c r="P261" i="10"/>
  <c r="P245" i="10"/>
  <c r="P230" i="10"/>
  <c r="P214" i="10"/>
  <c r="P198" i="10"/>
  <c r="P182" i="10"/>
  <c r="P166" i="10"/>
  <c r="P292" i="10"/>
  <c r="P276" i="10"/>
  <c r="P260" i="10"/>
  <c r="P244" i="10"/>
  <c r="P228" i="10"/>
  <c r="P212" i="10"/>
  <c r="P196" i="10"/>
  <c r="P383" i="10"/>
  <c r="Q553" i="10"/>
  <c r="Q430" i="10"/>
  <c r="Q159" i="10"/>
  <c r="S159" i="10" s="1"/>
  <c r="Q62" i="10"/>
  <c r="S62" i="10" s="1"/>
  <c r="Q130" i="10"/>
  <c r="Q533" i="10"/>
  <c r="R533" i="10" s="1"/>
  <c r="Q472" i="10"/>
  <c r="S472" i="10" s="1"/>
  <c r="Q448" i="10"/>
  <c r="S448" i="10" s="1"/>
  <c r="Q349" i="10"/>
  <c r="Q312" i="10"/>
  <c r="Q147" i="10"/>
  <c r="S147" i="10" s="1"/>
  <c r="Q234" i="10"/>
  <c r="S234" i="10" s="1"/>
  <c r="Q196" i="10"/>
  <c r="Q37" i="10"/>
  <c r="Q523" i="10"/>
  <c r="S523" i="10" s="1"/>
  <c r="Q493" i="10"/>
  <c r="S493" i="10" s="1"/>
  <c r="Q372" i="10"/>
  <c r="R372" i="10" s="1"/>
  <c r="Q225" i="10"/>
  <c r="Q230" i="10"/>
  <c r="S230" i="10" s="1"/>
  <c r="Q178" i="10"/>
  <c r="Q200" i="10"/>
  <c r="Q443" i="10"/>
  <c r="Q201" i="10"/>
  <c r="S201" i="10" s="1"/>
  <c r="Q480" i="10"/>
  <c r="R480" i="10" s="1"/>
  <c r="Q400" i="10"/>
  <c r="Q401" i="10"/>
  <c r="R401" i="10" s="1"/>
  <c r="Q320" i="10"/>
  <c r="Q269" i="10"/>
  <c r="S269" i="10" s="1"/>
  <c r="Q252" i="10"/>
  <c r="Q35" i="10"/>
  <c r="O11" i="10"/>
  <c r="Q11" i="10" s="1"/>
  <c r="Q53" i="10"/>
  <c r="Q148" i="10"/>
  <c r="Q228" i="10"/>
  <c r="S228" i="10" s="1"/>
  <c r="Q88" i="10"/>
  <c r="Q95" i="10"/>
  <c r="Q191" i="10"/>
  <c r="Q275" i="10"/>
  <c r="R275" i="10" s="1"/>
  <c r="Q310" i="10"/>
  <c r="R310" i="10" s="1"/>
  <c r="Q199" i="10"/>
  <c r="S199" i="10" s="1"/>
  <c r="Q481" i="10"/>
  <c r="R481" i="10" s="1"/>
  <c r="Q367" i="10"/>
  <c r="R367" i="10" s="1"/>
  <c r="Q442" i="10"/>
  <c r="R442" i="10" s="1"/>
  <c r="Q406" i="10"/>
  <c r="Q449" i="10"/>
  <c r="Q500" i="10"/>
  <c r="Q10" i="10"/>
  <c r="R10" i="10" s="1"/>
  <c r="Q7" i="10"/>
  <c r="Q559" i="10"/>
  <c r="Q560" i="10"/>
  <c r="R560" i="10" s="1"/>
  <c r="Q537" i="10"/>
  <c r="S537" i="10" s="1"/>
  <c r="Q536" i="10"/>
  <c r="R536" i="10" s="1"/>
  <c r="Q517" i="10"/>
  <c r="Q507" i="10"/>
  <c r="Q524" i="10"/>
  <c r="S524" i="10" s="1"/>
  <c r="Q528" i="10"/>
  <c r="R528" i="10" s="1"/>
  <c r="Q482" i="10"/>
  <c r="Q466" i="10"/>
  <c r="Q453" i="10"/>
  <c r="S453" i="10" s="1"/>
  <c r="Q495" i="10"/>
  <c r="S495" i="10" s="1"/>
  <c r="Q459" i="10"/>
  <c r="Q492" i="10"/>
  <c r="Q410" i="10"/>
  <c r="S410" i="10" s="1"/>
  <c r="Q394" i="10"/>
  <c r="S394" i="10" s="1"/>
  <c r="Q477" i="10"/>
  <c r="Q436" i="10"/>
  <c r="R436" i="10" s="1"/>
  <c r="Q446" i="10"/>
  <c r="S446" i="10" s="1"/>
  <c r="Q423" i="10"/>
  <c r="Q407" i="10"/>
  <c r="Q391" i="10"/>
  <c r="Q370" i="10"/>
  <c r="S370" i="10" s="1"/>
  <c r="Q355" i="10"/>
  <c r="R355" i="10" s="1"/>
  <c r="Q339" i="10"/>
  <c r="Q323" i="10"/>
  <c r="Q306" i="10"/>
  <c r="R306" i="10" s="1"/>
  <c r="Q375" i="10"/>
  <c r="R375" i="10" s="1"/>
  <c r="Q235" i="10"/>
  <c r="Q219" i="10"/>
  <c r="R219" i="10" s="1"/>
  <c r="Q203" i="10"/>
  <c r="Q362" i="10"/>
  <c r="Q346" i="10"/>
  <c r="Q330" i="10"/>
  <c r="Q314" i="10"/>
  <c r="Q302" i="10"/>
  <c r="Q294" i="10"/>
  <c r="Q286" i="10"/>
  <c r="Q278" i="10"/>
  <c r="Q270" i="10"/>
  <c r="R270" i="10" s="1"/>
  <c r="Q262" i="10"/>
  <c r="S262" i="10" s="1"/>
  <c r="Q254" i="10"/>
  <c r="S254" i="10" s="1"/>
  <c r="Q246" i="10"/>
  <c r="S246" i="10" s="1"/>
  <c r="Q179" i="10"/>
  <c r="S179" i="10" s="1"/>
  <c r="Q131" i="10"/>
  <c r="Q115" i="10"/>
  <c r="Q99" i="10"/>
  <c r="S99" i="10" s="1"/>
  <c r="Q83" i="10"/>
  <c r="S83" i="10" s="1"/>
  <c r="Q161" i="10"/>
  <c r="Q145" i="10"/>
  <c r="S145" i="10" s="1"/>
  <c r="Q20" i="10"/>
  <c r="S20" i="10" s="1"/>
  <c r="Q63" i="10"/>
  <c r="Q24" i="10"/>
  <c r="S24" i="10" s="1"/>
  <c r="Q72" i="10"/>
  <c r="Q232" i="10"/>
  <c r="R232" i="10" s="1"/>
  <c r="Q216" i="10"/>
  <c r="S216" i="10" s="1"/>
  <c r="Q184" i="10"/>
  <c r="Q168" i="10"/>
  <c r="R168" i="10" s="1"/>
  <c r="Q152" i="10"/>
  <c r="S152" i="10" s="1"/>
  <c r="Q136" i="10"/>
  <c r="Q120" i="10"/>
  <c r="Q104" i="10"/>
  <c r="S104" i="10" s="1"/>
  <c r="Q55" i="10"/>
  <c r="B43" i="10"/>
  <c r="Q68" i="10"/>
  <c r="S68" i="10" s="1"/>
  <c r="Q39" i="10"/>
  <c r="Q19" i="10"/>
  <c r="R19" i="10" s="1"/>
  <c r="Q30" i="10"/>
  <c r="Q49" i="10"/>
  <c r="Q102" i="10"/>
  <c r="Q28" i="10"/>
  <c r="Q81" i="10"/>
  <c r="S81" i="10" s="1"/>
  <c r="Q109" i="10"/>
  <c r="Q125" i="10"/>
  <c r="S125" i="10" s="1"/>
  <c r="Q242" i="10"/>
  <c r="Q276" i="10"/>
  <c r="Q155" i="10"/>
  <c r="Q249" i="10"/>
  <c r="Q265" i="10"/>
  <c r="R265" i="10" s="1"/>
  <c r="Q281" i="10"/>
  <c r="S281" i="10" s="1"/>
  <c r="Q297" i="10"/>
  <c r="R297" i="10" s="1"/>
  <c r="Q387" i="10"/>
  <c r="Q237" i="10"/>
  <c r="S237" i="10" s="1"/>
  <c r="Q313" i="10"/>
  <c r="R313" i="10" s="1"/>
  <c r="Q345" i="10"/>
  <c r="Q385" i="10"/>
  <c r="S385" i="10" s="1"/>
  <c r="Q457" i="10"/>
  <c r="R457" i="10" s="1"/>
  <c r="Q392" i="10"/>
  <c r="S392" i="10" s="1"/>
  <c r="Q424" i="10"/>
  <c r="R424" i="10" s="1"/>
  <c r="Q491" i="10"/>
  <c r="Q530" i="10"/>
  <c r="S530" i="10" s="1"/>
  <c r="Q177" i="10"/>
  <c r="R177" i="10" s="1"/>
  <c r="Q332" i="10"/>
  <c r="Q452" i="10"/>
  <c r="Q532" i="10"/>
  <c r="S532" i="10" s="1"/>
  <c r="Q42" i="10"/>
  <c r="R42" i="10" s="1"/>
  <c r="Q106" i="10"/>
  <c r="S106" i="10" s="1"/>
  <c r="Q170" i="10"/>
  <c r="Q71" i="10"/>
  <c r="S71" i="10" s="1"/>
  <c r="Q214" i="10"/>
  <c r="Q169" i="10"/>
  <c r="Q209" i="10"/>
  <c r="Q324" i="10"/>
  <c r="S324" i="10" s="1"/>
  <c r="Q368" i="10"/>
  <c r="S368" i="10" s="1"/>
  <c r="Q421" i="10"/>
  <c r="S421" i="10" s="1"/>
  <c r="Q494" i="10"/>
  <c r="Q476" i="10"/>
  <c r="R476" i="10" s="1"/>
  <c r="Q538" i="10"/>
  <c r="Q198" i="10"/>
  <c r="Q490" i="10"/>
  <c r="S490" i="10" s="1"/>
  <c r="Q86" i="10"/>
  <c r="S86" i="10" s="1"/>
  <c r="Q158" i="10"/>
  <c r="R158" i="10" s="1"/>
  <c r="Q50" i="10"/>
  <c r="R50" i="10" s="1"/>
  <c r="Q218" i="10"/>
  <c r="R218" i="10" s="1"/>
  <c r="Q264" i="10"/>
  <c r="S264" i="10" s="1"/>
  <c r="Q296" i="10"/>
  <c r="Q189" i="10"/>
  <c r="Q229" i="10"/>
  <c r="S229" i="10" s="1"/>
  <c r="Q309" i="10"/>
  <c r="R309" i="10" s="1"/>
  <c r="Q341" i="10"/>
  <c r="S341" i="10" s="1"/>
  <c r="Q376" i="10"/>
  <c r="R376" i="10" s="1"/>
  <c r="Q425" i="10"/>
  <c r="S425" i="10" s="1"/>
  <c r="Q404" i="10"/>
  <c r="R404" i="10" s="1"/>
  <c r="Q456" i="10"/>
  <c r="Q506" i="10"/>
  <c r="Q551" i="10"/>
  <c r="S551" i="10" s="1"/>
  <c r="Q27" i="10"/>
  <c r="S27" i="10" s="1"/>
  <c r="Q114" i="10"/>
  <c r="Q166" i="10"/>
  <c r="Q204" i="10"/>
  <c r="S204" i="10" s="1"/>
  <c r="Q45" i="10"/>
  <c r="R45" i="10" s="1"/>
  <c r="Q143" i="10"/>
  <c r="Q217" i="10"/>
  <c r="Q469" i="10"/>
  <c r="Q460" i="10"/>
  <c r="R460" i="10" s="1"/>
  <c r="Q542" i="10"/>
  <c r="R542" i="10" s="1"/>
  <c r="Q12" i="10"/>
  <c r="Q549" i="10"/>
  <c r="Q541" i="10"/>
  <c r="AC541" i="10" s="1"/>
  <c r="Q540" i="10"/>
  <c r="Q525" i="10"/>
  <c r="R525" i="10" s="1"/>
  <c r="Q512" i="10"/>
  <c r="Q499" i="10"/>
  <c r="Q511" i="10"/>
  <c r="R511" i="10" s="1"/>
  <c r="Q489" i="10"/>
  <c r="Q474" i="10"/>
  <c r="Q458" i="10"/>
  <c r="Q445" i="10"/>
  <c r="R445" i="10" s="1"/>
  <c r="Q467" i="10"/>
  <c r="Q434" i="10"/>
  <c r="R434" i="10" s="1"/>
  <c r="Q418" i="10"/>
  <c r="R418" i="10" s="1"/>
  <c r="Q402" i="10"/>
  <c r="S402" i="10" s="1"/>
  <c r="Q386" i="10"/>
  <c r="Q433" i="10"/>
  <c r="Q473" i="10"/>
  <c r="Q431" i="10"/>
  <c r="R431" i="10" s="1"/>
  <c r="Q415" i="10"/>
  <c r="Q399" i="10"/>
  <c r="Q378" i="10"/>
  <c r="Q363" i="10"/>
  <c r="Q347" i="10"/>
  <c r="Q331" i="10"/>
  <c r="Q315" i="10"/>
  <c r="Q383" i="10"/>
  <c r="S383" i="10" s="1"/>
  <c r="Q243" i="10"/>
  <c r="Q227" i="10"/>
  <c r="S227" i="10" s="1"/>
  <c r="Q211" i="10"/>
  <c r="Q195" i="10"/>
  <c r="S195" i="10" s="1"/>
  <c r="Q354" i="10"/>
  <c r="Q338" i="10"/>
  <c r="Q322" i="10"/>
  <c r="R322" i="10" s="1"/>
  <c r="Q307" i="10"/>
  <c r="S307" i="10" s="1"/>
  <c r="Q298" i="10"/>
  <c r="R298" i="10" s="1"/>
  <c r="Q290" i="10"/>
  <c r="Q282" i="10"/>
  <c r="R282" i="10" s="1"/>
  <c r="Q274" i="10"/>
  <c r="Q266" i="10"/>
  <c r="R266" i="10" s="1"/>
  <c r="Q258" i="10"/>
  <c r="Q250" i="10"/>
  <c r="Q187" i="10"/>
  <c r="R187" i="10" s="1"/>
  <c r="Q171" i="10"/>
  <c r="Q123" i="10"/>
  <c r="Q107" i="10"/>
  <c r="R107" i="10" s="1"/>
  <c r="Q91" i="10"/>
  <c r="S91" i="10" s="1"/>
  <c r="Q75" i="10"/>
  <c r="Q153" i="10"/>
  <c r="Q137" i="10"/>
  <c r="Q84" i="10"/>
  <c r="R84" i="10" s="1"/>
  <c r="Q48" i="10"/>
  <c r="Q80" i="10"/>
  <c r="Q240" i="10"/>
  <c r="S240" i="10" s="1"/>
  <c r="Q224" i="10"/>
  <c r="Q192" i="10"/>
  <c r="Q176" i="10"/>
  <c r="S176" i="10" s="1"/>
  <c r="Q160" i="10"/>
  <c r="Q144" i="10"/>
  <c r="R144" i="10" s="1"/>
  <c r="Q128" i="10"/>
  <c r="Q112" i="10"/>
  <c r="S112" i="10" s="1"/>
  <c r="Q61" i="10"/>
  <c r="S61" i="10" s="1"/>
  <c r="Q51" i="10"/>
  <c r="Q29" i="10"/>
  <c r="S29" i="10" s="1"/>
  <c r="Q43" i="10"/>
  <c r="Q31" i="10"/>
  <c r="R31" i="10" s="1"/>
  <c r="Q40" i="10"/>
  <c r="S40" i="10" s="1"/>
  <c r="Q66" i="10"/>
  <c r="Q78" i="10"/>
  <c r="S78" i="10" s="1"/>
  <c r="Q134" i="10"/>
  <c r="S134" i="10" s="1"/>
  <c r="Q52" i="10"/>
  <c r="S52" i="10" s="1"/>
  <c r="Q101" i="10"/>
  <c r="Q117" i="10"/>
  <c r="Q210" i="10"/>
  <c r="S210" i="10" s="1"/>
  <c r="Q260" i="10"/>
  <c r="R260" i="10" s="1"/>
  <c r="Q292" i="10"/>
  <c r="Q181" i="10"/>
  <c r="Q257" i="10"/>
  <c r="AC257" i="10" s="1"/>
  <c r="Q273" i="10"/>
  <c r="R273" i="10" s="1"/>
  <c r="Q289" i="10"/>
  <c r="R289" i="10" s="1"/>
  <c r="Q305" i="10"/>
  <c r="Q205" i="10"/>
  <c r="R205" i="10" s="1"/>
  <c r="Q336" i="10"/>
  <c r="S336" i="10" s="1"/>
  <c r="Q329" i="10"/>
  <c r="Q8" i="10"/>
  <c r="Q545" i="10"/>
  <c r="S545" i="10" s="1"/>
  <c r="Q555" i="10"/>
  <c r="S555" i="10" s="1"/>
  <c r="Q531" i="10"/>
  <c r="R531" i="10" s="1"/>
  <c r="Q521" i="10"/>
  <c r="S521" i="10" s="1"/>
  <c r="Q508" i="10"/>
  <c r="Q504" i="10"/>
  <c r="S504" i="10" s="1"/>
  <c r="Q496" i="10"/>
  <c r="Q486" i="10"/>
  <c r="R486" i="10" s="1"/>
  <c r="Q470" i="10"/>
  <c r="R470" i="10" s="1"/>
  <c r="Q454" i="10"/>
  <c r="S454" i="10" s="1"/>
  <c r="Q441" i="10"/>
  <c r="Q463" i="10"/>
  <c r="Q428" i="10"/>
  <c r="Q414" i="10"/>
  <c r="R414" i="10" s="1"/>
  <c r="Q398" i="10"/>
  <c r="Q485" i="10"/>
  <c r="Q438" i="10"/>
  <c r="R438" i="10" s="1"/>
  <c r="Q450" i="10"/>
  <c r="R450" i="10" s="1"/>
  <c r="Q427" i="10"/>
  <c r="Q411" i="10"/>
  <c r="Q395" i="10"/>
  <c r="Q374" i="10"/>
  <c r="R374" i="10" s="1"/>
  <c r="Q359" i="10"/>
  <c r="S359" i="10" s="1"/>
  <c r="Q343" i="10"/>
  <c r="S343" i="10" s="1"/>
  <c r="Q327" i="10"/>
  <c r="S327" i="10" s="1"/>
  <c r="Q311" i="10"/>
  <c r="S311" i="10" s="1"/>
  <c r="Q379" i="10"/>
  <c r="Q239" i="10"/>
  <c r="S239" i="10" s="1"/>
  <c r="Q223" i="10"/>
  <c r="Q207" i="10"/>
  <c r="S207" i="10" s="1"/>
  <c r="Q366" i="10"/>
  <c r="S366" i="10" s="1"/>
  <c r="Q350" i="10"/>
  <c r="R350" i="10" s="1"/>
  <c r="Q334" i="10"/>
  <c r="S334" i="10" s="1"/>
  <c r="Q318" i="10"/>
  <c r="Q303" i="10"/>
  <c r="Q295" i="10"/>
  <c r="Q287" i="10"/>
  <c r="R287" i="10" s="1"/>
  <c r="Q279" i="10"/>
  <c r="Q271" i="10"/>
  <c r="S271" i="10" s="1"/>
  <c r="Q263" i="10"/>
  <c r="Q255" i="10"/>
  <c r="R255" i="10" s="1"/>
  <c r="Q247" i="10"/>
  <c r="R247" i="10" s="1"/>
  <c r="Q183" i="10"/>
  <c r="Q167" i="10"/>
  <c r="S167" i="10" s="1"/>
  <c r="Q119" i="10"/>
  <c r="R119" i="10" s="1"/>
  <c r="Q103" i="10"/>
  <c r="S103" i="10" s="1"/>
  <c r="Q87" i="10"/>
  <c r="Q67" i="10"/>
  <c r="S67" i="10" s="1"/>
  <c r="Q149" i="10"/>
  <c r="S149" i="10" s="1"/>
  <c r="Q44" i="10"/>
  <c r="S44" i="10" s="1"/>
  <c r="Q65" i="10"/>
  <c r="Q26" i="10"/>
  <c r="R26" i="10" s="1"/>
  <c r="Q76" i="10"/>
  <c r="Q236" i="10"/>
  <c r="Q220" i="10"/>
  <c r="Q188" i="10"/>
  <c r="Q172" i="10"/>
  <c r="Q156" i="10"/>
  <c r="R156" i="10" s="1"/>
  <c r="Q140" i="10"/>
  <c r="Q124" i="10"/>
  <c r="Q108" i="10"/>
  <c r="AC108" i="10" s="1"/>
  <c r="Q59" i="10"/>
  <c r="Q46" i="10"/>
  <c r="S46" i="10" s="1"/>
  <c r="Q96" i="10"/>
  <c r="Q41" i="10"/>
  <c r="Q23" i="10"/>
  <c r="R23" i="10" s="1"/>
  <c r="Q21" i="10"/>
  <c r="S21" i="10" s="1"/>
  <c r="Q47" i="10"/>
  <c r="Q94" i="10"/>
  <c r="R94" i="10" s="1"/>
  <c r="Q150" i="10"/>
  <c r="S150" i="10" s="1"/>
  <c r="Q57" i="10"/>
  <c r="Q105" i="10"/>
  <c r="R105" i="10" s="1"/>
  <c r="Q121" i="10"/>
  <c r="Q226" i="10"/>
  <c r="S226" i="10" s="1"/>
  <c r="Q268" i="10"/>
  <c r="Q139" i="10"/>
  <c r="Q245" i="10"/>
  <c r="AC245" i="10" s="1"/>
  <c r="Q261" i="10"/>
  <c r="S261" i="10" s="1"/>
  <c r="Q277" i="10"/>
  <c r="R277" i="10" s="1"/>
  <c r="Q293" i="10"/>
  <c r="S293" i="10" s="1"/>
  <c r="Q381" i="10"/>
  <c r="S381" i="10" s="1"/>
  <c r="Q221" i="10"/>
  <c r="Q352" i="10"/>
  <c r="S352" i="10" s="1"/>
  <c r="Q337" i="10"/>
  <c r="Q435" i="10"/>
  <c r="S435" i="10" s="1"/>
  <c r="Q461" i="10"/>
  <c r="R461" i="10" s="1"/>
  <c r="Q384" i="10"/>
  <c r="Q416" i="10"/>
  <c r="Q464" i="10"/>
  <c r="Q520" i="10"/>
  <c r="Q527" i="10"/>
  <c r="Q316" i="10"/>
  <c r="R316" i="10" s="1"/>
  <c r="Q397" i="10"/>
  <c r="R397" i="10" s="1"/>
  <c r="Q484" i="10"/>
  <c r="S484" i="10" s="1"/>
  <c r="Q32" i="10"/>
  <c r="Q90" i="10"/>
  <c r="Q154" i="10"/>
  <c r="R154" i="10" s="1"/>
  <c r="Q194" i="10"/>
  <c r="Q133" i="10"/>
  <c r="S133" i="10" s="1"/>
  <c r="Q151" i="10"/>
  <c r="S151" i="10" s="1"/>
  <c r="Q373" i="10"/>
  <c r="Q308" i="10"/>
  <c r="S308" i="10" s="1"/>
  <c r="Q360" i="10"/>
  <c r="R360" i="10" s="1"/>
  <c r="Q405" i="10"/>
  <c r="Q468" i="10"/>
  <c r="Q505" i="10"/>
  <c r="R505" i="10" s="1"/>
  <c r="Q515" i="10"/>
  <c r="Q535" i="10"/>
  <c r="S535" i="10" s="1"/>
  <c r="Q447" i="10"/>
  <c r="S447" i="10" s="1"/>
  <c r="Q70" i="10"/>
  <c r="R70" i="10" s="1"/>
  <c r="Q142" i="10"/>
  <c r="Q38" i="10"/>
  <c r="Q89" i="10"/>
  <c r="Q256" i="10"/>
  <c r="R256" i="10" s="1"/>
  <c r="Q288" i="10"/>
  <c r="Q173" i="10"/>
  <c r="Q213" i="10"/>
  <c r="R213" i="10" s="1"/>
  <c r="Q344" i="10"/>
  <c r="S344" i="10" s="1"/>
  <c r="Q333" i="10"/>
  <c r="Q369" i="10"/>
  <c r="R369" i="10" s="1"/>
  <c r="Q409" i="10"/>
  <c r="R409" i="10" s="1"/>
  <c r="Q396" i="10"/>
  <c r="S396" i="10" s="1"/>
  <c r="Q479" i="10"/>
  <c r="Q501" i="10"/>
  <c r="Q519" i="10"/>
  <c r="S519" i="10" s="1"/>
  <c r="Q557" i="10"/>
  <c r="Q98" i="10"/>
  <c r="S98" i="10" s="1"/>
  <c r="Q162" i="10"/>
  <c r="R162" i="10" s="1"/>
  <c r="Q190" i="10"/>
  <c r="S190" i="10" s="1"/>
  <c r="Q22" i="10"/>
  <c r="R22" i="10" s="1"/>
  <c r="Q238" i="10"/>
  <c r="Q206" i="10"/>
  <c r="Q429" i="10"/>
  <c r="R429" i="10" s="1"/>
  <c r="Q451" i="10"/>
  <c r="R451" i="10" s="1"/>
  <c r="Q550" i="10"/>
  <c r="Q547" i="10"/>
  <c r="R547" i="10" s="1"/>
  <c r="Q554" i="10"/>
  <c r="R554" i="10" s="1"/>
  <c r="Q439" i="10"/>
  <c r="R439" i="10" s="1"/>
  <c r="Q193" i="10"/>
  <c r="Q208" i="10"/>
  <c r="Q146" i="10"/>
  <c r="Q539" i="10"/>
  <c r="R539" i="10" s="1"/>
  <c r="Q498" i="10"/>
  <c r="Q388" i="10"/>
  <c r="Q357" i="10"/>
  <c r="S357" i="10" s="1"/>
  <c r="Q328" i="10"/>
  <c r="R328" i="10" s="1"/>
  <c r="Q163" i="10"/>
  <c r="Q248" i="10"/>
  <c r="R248" i="10" s="1"/>
  <c r="Q25" i="10"/>
  <c r="R25" i="10" s="1"/>
  <c r="Q64" i="10"/>
  <c r="R64" i="10" s="1"/>
  <c r="Q546" i="10"/>
  <c r="Q487" i="10"/>
  <c r="Q389" i="10"/>
  <c r="S389" i="10" s="1"/>
  <c r="Q241" i="10"/>
  <c r="Q135" i="10"/>
  <c r="Q186" i="10"/>
  <c r="Q74" i="10"/>
  <c r="R74" i="10" s="1"/>
  <c r="Q483" i="10"/>
  <c r="R483" i="10" s="1"/>
  <c r="Q233" i="10"/>
  <c r="Q497" i="10"/>
  <c r="Q408" i="10"/>
  <c r="S408" i="10" s="1"/>
  <c r="Q417" i="10"/>
  <c r="S417" i="10" s="1"/>
  <c r="Q321" i="10"/>
  <c r="Q285" i="10"/>
  <c r="R285" i="10" s="1"/>
  <c r="Q284" i="10"/>
  <c r="R284" i="10" s="1"/>
  <c r="Q97" i="10"/>
  <c r="S97" i="10" s="1"/>
  <c r="Q34" i="10"/>
  <c r="Q36" i="10"/>
  <c r="S36" i="10" s="1"/>
  <c r="Q132" i="10"/>
  <c r="Q212" i="10"/>
  <c r="S212" i="10" s="1"/>
  <c r="Q60" i="10"/>
  <c r="Q79" i="10"/>
  <c r="Q175" i="10"/>
  <c r="S175" i="10" s="1"/>
  <c r="Q267" i="10"/>
  <c r="S267" i="10" s="1"/>
  <c r="Q299" i="10"/>
  <c r="R299" i="10" s="1"/>
  <c r="Q358" i="10"/>
  <c r="Q371" i="10"/>
  <c r="Q351" i="10"/>
  <c r="Q419" i="10"/>
  <c r="Q390" i="10"/>
  <c r="Q488" i="10"/>
  <c r="Q518" i="10"/>
  <c r="Q529" i="10"/>
  <c r="R7" i="5"/>
  <c r="AC7" i="5"/>
  <c r="AD7" i="5" s="1"/>
  <c r="AT10" i="10"/>
  <c r="AU10" i="10"/>
  <c r="Q274" i="5"/>
  <c r="R274" i="5" s="1"/>
  <c r="Q481" i="5"/>
  <c r="S481" i="5" s="1"/>
  <c r="Q205" i="5"/>
  <c r="R205" i="5" s="1"/>
  <c r="Q288" i="5"/>
  <c r="R288" i="5" s="1"/>
  <c r="Q52" i="5"/>
  <c r="R52" i="5" s="1"/>
  <c r="Q397" i="5"/>
  <c r="R397" i="5" s="1"/>
  <c r="Q422" i="5"/>
  <c r="R422" i="5" s="1"/>
  <c r="Q115" i="5"/>
  <c r="S115" i="5" s="1"/>
  <c r="Q470" i="5"/>
  <c r="S470" i="5" s="1"/>
  <c r="X7" i="10"/>
  <c r="Y7" i="10"/>
  <c r="T9" i="10"/>
  <c r="AJ9" i="10"/>
  <c r="Z9" i="10"/>
  <c r="AM9" i="10"/>
  <c r="Q9" i="10"/>
  <c r="W9" i="10"/>
  <c r="AP9" i="10"/>
  <c r="AG9" i="10"/>
  <c r="X8" i="10"/>
  <c r="Y8" i="10"/>
  <c r="X10" i="10"/>
  <c r="Y10" i="10"/>
  <c r="Q117" i="5"/>
  <c r="S117" i="5" s="1"/>
  <c r="Q440" i="5"/>
  <c r="R440" i="5" s="1"/>
  <c r="Q540" i="5"/>
  <c r="S540" i="5" s="1"/>
  <c r="X12" i="10"/>
  <c r="Y12" i="10"/>
  <c r="Y13" i="10"/>
  <c r="X13" i="10"/>
  <c r="Q22" i="5"/>
  <c r="S22" i="5" s="1"/>
  <c r="Q138" i="5"/>
  <c r="S138" i="5" s="1"/>
  <c r="Q229" i="5"/>
  <c r="R229" i="5" s="1"/>
  <c r="Q408" i="5"/>
  <c r="R408" i="5" s="1"/>
  <c r="Q437" i="5"/>
  <c r="R437" i="5" s="1"/>
  <c r="Q89" i="5"/>
  <c r="S89" i="5" s="1"/>
  <c r="Q204" i="5"/>
  <c r="R204" i="5" s="1"/>
  <c r="Q73" i="5"/>
  <c r="S73" i="5" s="1"/>
  <c r="Q216" i="5"/>
  <c r="R216" i="5" s="1"/>
  <c r="Q346" i="5"/>
  <c r="S346" i="5" s="1"/>
  <c r="Q504" i="5"/>
  <c r="R504" i="5" s="1"/>
  <c r="Q525" i="5"/>
  <c r="R525" i="5" s="1"/>
  <c r="Q306" i="5"/>
  <c r="S306" i="5" s="1"/>
  <c r="X473" i="10"/>
  <c r="Y473" i="10"/>
  <c r="X415" i="10"/>
  <c r="Y415" i="10"/>
  <c r="Y313" i="10"/>
  <c r="X313" i="10"/>
  <c r="X152" i="10"/>
  <c r="Y152" i="10"/>
  <c r="X284" i="10"/>
  <c r="Y284" i="10"/>
  <c r="Y79" i="10"/>
  <c r="X79" i="10"/>
  <c r="X186" i="10"/>
  <c r="Y186" i="10"/>
  <c r="Y546" i="10"/>
  <c r="X546" i="10"/>
  <c r="Y513" i="10"/>
  <c r="X513" i="10"/>
  <c r="Y443" i="10"/>
  <c r="X443" i="10"/>
  <c r="X427" i="10"/>
  <c r="Y427" i="10"/>
  <c r="X322" i="10"/>
  <c r="Y322" i="10"/>
  <c r="Y340" i="10"/>
  <c r="X340" i="10"/>
  <c r="Y227" i="10"/>
  <c r="X227" i="10"/>
  <c r="X377" i="10"/>
  <c r="Y377" i="10"/>
  <c r="Y141" i="10"/>
  <c r="X141" i="10"/>
  <c r="Y105" i="10"/>
  <c r="X105" i="10"/>
  <c r="Y139" i="10"/>
  <c r="X139" i="10"/>
  <c r="Y119" i="10"/>
  <c r="X119" i="10"/>
  <c r="Y196" i="10"/>
  <c r="X196" i="10"/>
  <c r="X44" i="10"/>
  <c r="Y44" i="10"/>
  <c r="Y66" i="10"/>
  <c r="X66" i="10"/>
  <c r="Y537" i="10"/>
  <c r="X537" i="10"/>
  <c r="Y501" i="10"/>
  <c r="X501" i="10"/>
  <c r="Y390" i="10"/>
  <c r="X390" i="10"/>
  <c r="X291" i="10"/>
  <c r="Y291" i="10"/>
  <c r="Y312" i="10"/>
  <c r="X312" i="10"/>
  <c r="Y153" i="10"/>
  <c r="X153" i="10"/>
  <c r="Y550" i="10"/>
  <c r="X550" i="10"/>
  <c r="Y523" i="10"/>
  <c r="X523" i="10"/>
  <c r="Y497" i="10"/>
  <c r="X497" i="10"/>
  <c r="Y439" i="10"/>
  <c r="X439" i="10"/>
  <c r="Y453" i="10"/>
  <c r="X453" i="10"/>
  <c r="X437" i="10"/>
  <c r="Y437" i="10"/>
  <c r="Y402" i="10"/>
  <c r="X402" i="10"/>
  <c r="X436" i="10"/>
  <c r="Y436" i="10"/>
  <c r="Y400" i="10"/>
  <c r="X400" i="10"/>
  <c r="X407" i="10"/>
  <c r="Y407" i="10"/>
  <c r="Y351" i="10"/>
  <c r="X351" i="10"/>
  <c r="Y319" i="10"/>
  <c r="X319" i="10"/>
  <c r="X267" i="10"/>
  <c r="Y267" i="10"/>
  <c r="X365" i="10"/>
  <c r="Y365" i="10"/>
  <c r="Y333" i="10"/>
  <c r="X333" i="10"/>
  <c r="Y364" i="10"/>
  <c r="X364" i="10"/>
  <c r="Y239" i="10"/>
  <c r="X239" i="10"/>
  <c r="Y175" i="10"/>
  <c r="X175" i="10"/>
  <c r="Y293" i="10"/>
  <c r="X293" i="10"/>
  <c r="Y277" i="10"/>
  <c r="X277" i="10"/>
  <c r="Y261" i="10"/>
  <c r="X261" i="10"/>
  <c r="Y245" i="10"/>
  <c r="X245" i="10"/>
  <c r="Y77" i="10"/>
  <c r="X77" i="10"/>
  <c r="X132" i="10"/>
  <c r="Y132" i="10"/>
  <c r="X100" i="10"/>
  <c r="Y100" i="10"/>
  <c r="X272" i="10"/>
  <c r="Y272" i="10"/>
  <c r="Y159" i="10"/>
  <c r="X159" i="10"/>
  <c r="X84" i="10"/>
  <c r="Y84" i="10"/>
  <c r="Y24" i="10"/>
  <c r="X24" i="10"/>
  <c r="X190" i="10"/>
  <c r="Y190" i="10"/>
  <c r="Y64" i="10"/>
  <c r="X64" i="10"/>
  <c r="Y57" i="10"/>
  <c r="X57" i="10"/>
  <c r="Y42" i="10"/>
  <c r="X42" i="10"/>
  <c r="Y462" i="10"/>
  <c r="X462" i="10"/>
  <c r="Y382" i="10"/>
  <c r="X382" i="10"/>
  <c r="Y331" i="10"/>
  <c r="X331" i="10"/>
  <c r="Y345" i="10"/>
  <c r="X345" i="10"/>
  <c r="Y549" i="10"/>
  <c r="X549" i="10"/>
  <c r="Y553" i="10"/>
  <c r="X553" i="10"/>
  <c r="Y521" i="10"/>
  <c r="X521" i="10"/>
  <c r="X516" i="10"/>
  <c r="Y516" i="10"/>
  <c r="Y493" i="10"/>
  <c r="X493" i="10"/>
  <c r="Y451" i="10"/>
  <c r="X451" i="10"/>
  <c r="Y370" i="10"/>
  <c r="X370" i="10"/>
  <c r="X279" i="10"/>
  <c r="Y279" i="10"/>
  <c r="Y376" i="10"/>
  <c r="X376" i="10"/>
  <c r="X334" i="10"/>
  <c r="Y334" i="10"/>
  <c r="Y348" i="10"/>
  <c r="X348" i="10"/>
  <c r="Y219" i="10"/>
  <c r="X219" i="10"/>
  <c r="X373" i="10"/>
  <c r="Y373" i="10"/>
  <c r="Y133" i="10"/>
  <c r="X133" i="10"/>
  <c r="Y101" i="10"/>
  <c r="X101" i="10"/>
  <c r="Y147" i="10"/>
  <c r="X147" i="10"/>
  <c r="Y204" i="10"/>
  <c r="X204" i="10"/>
  <c r="X58" i="10"/>
  <c r="Y58" i="10"/>
  <c r="Y47" i="10"/>
  <c r="X47" i="10"/>
  <c r="Y200" i="10"/>
  <c r="X200" i="10"/>
  <c r="Y40" i="10"/>
  <c r="X40" i="10"/>
  <c r="Y134" i="10"/>
  <c r="X134" i="10"/>
  <c r="Y61" i="10"/>
  <c r="X61" i="10"/>
  <c r="X214" i="10"/>
  <c r="Y214" i="10"/>
  <c r="X230" i="10"/>
  <c r="Y230" i="10"/>
  <c r="Y106" i="10"/>
  <c r="X106" i="10"/>
  <c r="Y138" i="10"/>
  <c r="X138" i="10"/>
  <c r="Y168" i="10"/>
  <c r="X168" i="10"/>
  <c r="Y184" i="10"/>
  <c r="X184" i="10"/>
  <c r="Y154" i="10"/>
  <c r="X154" i="10"/>
  <c r="Y169" i="10"/>
  <c r="X169" i="10"/>
  <c r="Y185" i="10"/>
  <c r="X185" i="10"/>
  <c r="X216" i="10"/>
  <c r="Y216" i="10"/>
  <c r="X232" i="10"/>
  <c r="Y232" i="10"/>
  <c r="Y209" i="10"/>
  <c r="X209" i="10"/>
  <c r="Y225" i="10"/>
  <c r="X225" i="10"/>
  <c r="Y241" i="10"/>
  <c r="X241" i="10"/>
  <c r="X258" i="10"/>
  <c r="Y258" i="10"/>
  <c r="X274" i="10"/>
  <c r="Y274" i="10"/>
  <c r="X290" i="10"/>
  <c r="Y290" i="10"/>
  <c r="X306" i="10"/>
  <c r="Y306" i="10"/>
  <c r="X389" i="10"/>
  <c r="Y389" i="10"/>
  <c r="X405" i="10"/>
  <c r="Y405" i="10"/>
  <c r="X421" i="10"/>
  <c r="Y421" i="10"/>
  <c r="X375" i="10"/>
  <c r="Y375" i="10"/>
  <c r="Y455" i="10"/>
  <c r="X455" i="10"/>
  <c r="Y494" i="10"/>
  <c r="X494" i="10"/>
  <c r="Y448" i="10"/>
  <c r="X448" i="10"/>
  <c r="Y489" i="10"/>
  <c r="X489" i="10"/>
  <c r="Y538" i="10"/>
  <c r="X538" i="10"/>
  <c r="Y515" i="10"/>
  <c r="X515" i="10"/>
  <c r="X540" i="10"/>
  <c r="Y540" i="10"/>
  <c r="Q9" i="5"/>
  <c r="Q65" i="5"/>
  <c r="S65" i="5" s="1"/>
  <c r="Q160" i="5"/>
  <c r="R160" i="5" s="1"/>
  <c r="Q188" i="5"/>
  <c r="S188" i="5" s="1"/>
  <c r="Q266" i="5"/>
  <c r="R266" i="5" s="1"/>
  <c r="Q287" i="5"/>
  <c r="R287" i="5" s="1"/>
  <c r="Q363" i="5"/>
  <c r="S363" i="5" s="1"/>
  <c r="Q483" i="5"/>
  <c r="S483" i="5" s="1"/>
  <c r="Q492" i="5"/>
  <c r="R492" i="5" s="1"/>
  <c r="Q515" i="5"/>
  <c r="R515" i="5" s="1"/>
  <c r="Q95" i="5"/>
  <c r="R95" i="5" s="1"/>
  <c r="Q329" i="5"/>
  <c r="R329" i="5" s="1"/>
  <c r="Q33" i="5"/>
  <c r="S33" i="5" s="1"/>
  <c r="X560" i="10"/>
  <c r="Y560" i="10"/>
  <c r="Y509" i="10"/>
  <c r="X509" i="10"/>
  <c r="Y447" i="10"/>
  <c r="X447" i="10"/>
  <c r="Y366" i="10"/>
  <c r="X366" i="10"/>
  <c r="Y355" i="10"/>
  <c r="X355" i="10"/>
  <c r="Y372" i="10"/>
  <c r="X372" i="10"/>
  <c r="Y328" i="10"/>
  <c r="X328" i="10"/>
  <c r="Y137" i="10"/>
  <c r="X137" i="10"/>
  <c r="X144" i="10"/>
  <c r="Y144" i="10"/>
  <c r="X112" i="10"/>
  <c r="Y112" i="10"/>
  <c r="X276" i="10"/>
  <c r="Y276" i="10"/>
  <c r="Y151" i="10"/>
  <c r="X151" i="10"/>
  <c r="Y63" i="10"/>
  <c r="X63" i="10"/>
  <c r="X55" i="10"/>
  <c r="Y55" i="10"/>
  <c r="Y38" i="10"/>
  <c r="X38" i="10"/>
  <c r="X178" i="10"/>
  <c r="Y178" i="10"/>
  <c r="X86" i="10"/>
  <c r="Y86" i="10"/>
  <c r="Y545" i="10"/>
  <c r="X545" i="10"/>
  <c r="Y529" i="10"/>
  <c r="X529" i="10"/>
  <c r="X511" i="10"/>
  <c r="Y511" i="10"/>
  <c r="X520" i="10"/>
  <c r="Y520" i="10"/>
  <c r="Y458" i="10"/>
  <c r="X458" i="10"/>
  <c r="Y471" i="10"/>
  <c r="X471" i="10"/>
  <c r="Y430" i="10"/>
  <c r="X430" i="10"/>
  <c r="Y424" i="10"/>
  <c r="X424" i="10"/>
  <c r="X411" i="10"/>
  <c r="Y411" i="10"/>
  <c r="X287" i="10"/>
  <c r="Y287" i="10"/>
  <c r="X346" i="10"/>
  <c r="Y346" i="10"/>
  <c r="X314" i="10"/>
  <c r="Y314" i="10"/>
  <c r="Y324" i="10"/>
  <c r="X324" i="10"/>
  <c r="Y211" i="10"/>
  <c r="X211" i="10"/>
  <c r="Y305" i="10"/>
  <c r="X305" i="10"/>
  <c r="Y129" i="10"/>
  <c r="X129" i="10"/>
  <c r="Y97" i="10"/>
  <c r="X97" i="10"/>
  <c r="Y131" i="10"/>
  <c r="X131" i="10"/>
  <c r="Y115" i="10"/>
  <c r="X115" i="10"/>
  <c r="Y99" i="10"/>
  <c r="X99" i="10"/>
  <c r="X88" i="10"/>
  <c r="Y88" i="10"/>
  <c r="Y20" i="10"/>
  <c r="X20" i="10"/>
  <c r="X98" i="10"/>
  <c r="Y98" i="10"/>
  <c r="X536" i="10"/>
  <c r="Y536" i="10"/>
  <c r="X491" i="10"/>
  <c r="Y491" i="10"/>
  <c r="Y396" i="10"/>
  <c r="X396" i="10"/>
  <c r="Y321" i="10"/>
  <c r="X321" i="10"/>
  <c r="Y215" i="10"/>
  <c r="X215" i="10"/>
  <c r="X556" i="10"/>
  <c r="Y556" i="10"/>
  <c r="X531" i="10"/>
  <c r="Y531" i="10"/>
  <c r="Y504" i="10"/>
  <c r="X504" i="10"/>
  <c r="Y505" i="10"/>
  <c r="X505" i="10"/>
  <c r="Y490" i="10"/>
  <c r="X490" i="10"/>
  <c r="Y449" i="10"/>
  <c r="X449" i="10"/>
  <c r="Y426" i="10"/>
  <c r="X426" i="10"/>
  <c r="Y394" i="10"/>
  <c r="X394" i="10"/>
  <c r="X432" i="10"/>
  <c r="Y432" i="10"/>
  <c r="Y392" i="10"/>
  <c r="X392" i="10"/>
  <c r="X391" i="10"/>
  <c r="Y391" i="10"/>
  <c r="Y343" i="10"/>
  <c r="X343" i="10"/>
  <c r="Y311" i="10"/>
  <c r="X311" i="10"/>
  <c r="X251" i="10"/>
  <c r="Y251" i="10"/>
  <c r="Y357" i="10"/>
  <c r="X357" i="10"/>
  <c r="Y325" i="10"/>
  <c r="X325" i="10"/>
  <c r="Y352" i="10"/>
  <c r="X352" i="10"/>
  <c r="Y223" i="10"/>
  <c r="X223" i="10"/>
  <c r="X300" i="10"/>
  <c r="Y300" i="10"/>
  <c r="Y289" i="10"/>
  <c r="X289" i="10"/>
  <c r="Y273" i="10"/>
  <c r="X273" i="10"/>
  <c r="Y257" i="10"/>
  <c r="X257" i="10"/>
  <c r="Y161" i="10"/>
  <c r="X161" i="10"/>
  <c r="X156" i="10"/>
  <c r="Y156" i="10"/>
  <c r="X124" i="10"/>
  <c r="Y124" i="10"/>
  <c r="X296" i="10"/>
  <c r="Y296" i="10"/>
  <c r="X264" i="10"/>
  <c r="Y264" i="10"/>
  <c r="Y143" i="10"/>
  <c r="X143" i="10"/>
  <c r="Y53" i="10"/>
  <c r="X53" i="10"/>
  <c r="X41" i="10"/>
  <c r="Y41" i="10"/>
  <c r="X182" i="10"/>
  <c r="Y182" i="10"/>
  <c r="Y56" i="10"/>
  <c r="X56" i="10"/>
  <c r="Y54" i="10"/>
  <c r="X54" i="10"/>
  <c r="X555" i="10"/>
  <c r="Y555" i="10"/>
  <c r="X485" i="10"/>
  <c r="Y485" i="10"/>
  <c r="Y420" i="10"/>
  <c r="X420" i="10"/>
  <c r="Y307" i="10"/>
  <c r="X307" i="10"/>
  <c r="Y337" i="10"/>
  <c r="X337" i="10"/>
  <c r="X559" i="10"/>
  <c r="Y559" i="10"/>
  <c r="Y542" i="10"/>
  <c r="X542" i="10"/>
  <c r="X532" i="10"/>
  <c r="Y532" i="10"/>
  <c r="Y492" i="10"/>
  <c r="X492" i="10"/>
  <c r="Y484" i="10"/>
  <c r="X484" i="10"/>
  <c r="X450" i="10"/>
  <c r="Y450" i="10"/>
  <c r="X419" i="10"/>
  <c r="Y419" i="10"/>
  <c r="X263" i="10"/>
  <c r="Y263" i="10"/>
  <c r="X358" i="10"/>
  <c r="Y358" i="10"/>
  <c r="X326" i="10"/>
  <c r="Y326" i="10"/>
  <c r="Y332" i="10"/>
  <c r="X332" i="10"/>
  <c r="Y203" i="10"/>
  <c r="X203" i="10"/>
  <c r="X206" i="10"/>
  <c r="Y206" i="10"/>
  <c r="Y125" i="10"/>
  <c r="X125" i="10"/>
  <c r="Y89" i="10"/>
  <c r="X89" i="10"/>
  <c r="Y91" i="10"/>
  <c r="X91" i="10"/>
  <c r="X96" i="10"/>
  <c r="Y96" i="10"/>
  <c r="X33" i="10"/>
  <c r="Y33" i="10"/>
  <c r="X43" i="10"/>
  <c r="Y43" i="10"/>
  <c r="X90" i="10"/>
  <c r="Y90" i="10"/>
  <c r="Y21" i="10"/>
  <c r="X21" i="10"/>
  <c r="Y27" i="10"/>
  <c r="X27" i="10"/>
  <c r="Y114" i="10"/>
  <c r="X114" i="10"/>
  <c r="Y146" i="10"/>
  <c r="X146" i="10"/>
  <c r="Y197" i="10"/>
  <c r="X197" i="10"/>
  <c r="X218" i="10"/>
  <c r="Y218" i="10"/>
  <c r="X234" i="10"/>
  <c r="Y234" i="10"/>
  <c r="Y110" i="10"/>
  <c r="X110" i="10"/>
  <c r="Y142" i="10"/>
  <c r="X142" i="10"/>
  <c r="Y172" i="10"/>
  <c r="X172" i="10"/>
  <c r="Y188" i="10"/>
  <c r="X188" i="10"/>
  <c r="Y162" i="10"/>
  <c r="X162" i="10"/>
  <c r="Y173" i="10"/>
  <c r="X173" i="10"/>
  <c r="Y189" i="10"/>
  <c r="X189" i="10"/>
  <c r="X220" i="10"/>
  <c r="Y220" i="10"/>
  <c r="X236" i="10"/>
  <c r="Y236" i="10"/>
  <c r="Y213" i="10"/>
  <c r="X213" i="10"/>
  <c r="Y229" i="10"/>
  <c r="X229" i="10"/>
  <c r="X246" i="10"/>
  <c r="Y246" i="10"/>
  <c r="X262" i="10"/>
  <c r="Y262" i="10"/>
  <c r="X278" i="10"/>
  <c r="Y278" i="10"/>
  <c r="X294" i="10"/>
  <c r="Y294" i="10"/>
  <c r="Y363" i="10"/>
  <c r="X363" i="10"/>
  <c r="X393" i="10"/>
  <c r="Y393" i="10"/>
  <c r="X409" i="10"/>
  <c r="Y409" i="10"/>
  <c r="X425" i="10"/>
  <c r="Y425" i="10"/>
  <c r="X379" i="10"/>
  <c r="Y379" i="10"/>
  <c r="Y463" i="10"/>
  <c r="X463" i="10"/>
  <c r="Y434" i="10"/>
  <c r="X434" i="10"/>
  <c r="Y452" i="10"/>
  <c r="X452" i="10"/>
  <c r="Y486" i="10"/>
  <c r="X486" i="10"/>
  <c r="X495" i="10"/>
  <c r="Y495" i="10"/>
  <c r="Y519" i="10"/>
  <c r="X519" i="10"/>
  <c r="X544" i="10"/>
  <c r="Y544" i="10"/>
  <c r="X496" i="10"/>
  <c r="Y496" i="10"/>
  <c r="Y398" i="10"/>
  <c r="X398" i="10"/>
  <c r="X275" i="10"/>
  <c r="Y275" i="10"/>
  <c r="Y167" i="10"/>
  <c r="X167" i="10"/>
  <c r="X120" i="10"/>
  <c r="Y120" i="10"/>
  <c r="X252" i="10"/>
  <c r="Y252" i="10"/>
  <c r="X68" i="10"/>
  <c r="Y68" i="10"/>
  <c r="X39" i="10"/>
  <c r="Y39" i="10"/>
  <c r="Y62" i="10"/>
  <c r="X62" i="10"/>
  <c r="Y45" i="10"/>
  <c r="X45" i="10"/>
  <c r="X534" i="10"/>
  <c r="Y534" i="10"/>
  <c r="Y482" i="10"/>
  <c r="X482" i="10"/>
  <c r="Y502" i="10"/>
  <c r="X502" i="10"/>
  <c r="Y428" i="10"/>
  <c r="X428" i="10"/>
  <c r="X303" i="10"/>
  <c r="Y303" i="10"/>
  <c r="X354" i="10"/>
  <c r="Y354" i="10"/>
  <c r="Y103" i="10"/>
  <c r="X103" i="10"/>
  <c r="S231" i="10"/>
  <c r="R231" i="10"/>
  <c r="Y525" i="10"/>
  <c r="X525" i="10"/>
  <c r="Y478" i="10"/>
  <c r="X478" i="10"/>
  <c r="Y464" i="10"/>
  <c r="X464" i="10"/>
  <c r="Y412" i="10"/>
  <c r="X412" i="10"/>
  <c r="Y339" i="10"/>
  <c r="X339" i="10"/>
  <c r="Y353" i="10"/>
  <c r="X353" i="10"/>
  <c r="Y231" i="10"/>
  <c r="X231" i="10"/>
  <c r="Y85" i="10"/>
  <c r="X85" i="10"/>
  <c r="X136" i="10"/>
  <c r="Y136" i="10"/>
  <c r="X104" i="10"/>
  <c r="Y104" i="10"/>
  <c r="X268" i="10"/>
  <c r="Y268" i="10"/>
  <c r="Y135" i="10"/>
  <c r="X135" i="10"/>
  <c r="X92" i="10"/>
  <c r="Y92" i="10"/>
  <c r="Y51" i="10"/>
  <c r="X51" i="10"/>
  <c r="Y28" i="10"/>
  <c r="X28" i="10"/>
  <c r="X170" i="10"/>
  <c r="Y170" i="10"/>
  <c r="X70" i="10"/>
  <c r="Y70" i="10"/>
  <c r="Y554" i="10"/>
  <c r="X554" i="10"/>
  <c r="Y530" i="10"/>
  <c r="X530" i="10"/>
  <c r="X507" i="10"/>
  <c r="Y507" i="10"/>
  <c r="Y488" i="10"/>
  <c r="X488" i="10"/>
  <c r="Y480" i="10"/>
  <c r="X480" i="10"/>
  <c r="X446" i="10"/>
  <c r="Y446" i="10"/>
  <c r="Y378" i="10"/>
  <c r="X378" i="10"/>
  <c r="X457" i="10"/>
  <c r="Y457" i="10"/>
  <c r="X395" i="10"/>
  <c r="Y395" i="10"/>
  <c r="X271" i="10"/>
  <c r="Y271" i="10"/>
  <c r="X338" i="10"/>
  <c r="Y338" i="10"/>
  <c r="X361" i="10"/>
  <c r="Y361" i="10"/>
  <c r="Y308" i="10"/>
  <c r="X308" i="10"/>
  <c r="Y195" i="10"/>
  <c r="X195" i="10"/>
  <c r="X202" i="10"/>
  <c r="Y202" i="10"/>
  <c r="Y121" i="10"/>
  <c r="X121" i="10"/>
  <c r="Y81" i="10"/>
  <c r="X81" i="10"/>
  <c r="Y127" i="10"/>
  <c r="X127" i="10"/>
  <c r="Y111" i="10"/>
  <c r="X111" i="10"/>
  <c r="Y83" i="10"/>
  <c r="X83" i="10"/>
  <c r="X72" i="10"/>
  <c r="Y72" i="10"/>
  <c r="X19" i="10"/>
  <c r="Y19" i="10"/>
  <c r="X82" i="10"/>
  <c r="Y82" i="10"/>
  <c r="Y517" i="10"/>
  <c r="X517" i="10"/>
  <c r="X477" i="10"/>
  <c r="Y477" i="10"/>
  <c r="Y347" i="10"/>
  <c r="X347" i="10"/>
  <c r="Y360" i="10"/>
  <c r="X360" i="10"/>
  <c r="X304" i="10"/>
  <c r="Y304" i="10"/>
  <c r="Y558" i="10"/>
  <c r="X558" i="10"/>
  <c r="X551" i="10"/>
  <c r="Y551" i="10"/>
  <c r="Y514" i="10"/>
  <c r="X514" i="10"/>
  <c r="Y470" i="10"/>
  <c r="X470" i="10"/>
  <c r="Y468" i="10"/>
  <c r="X468" i="10"/>
  <c r="Y445" i="10"/>
  <c r="X445" i="10"/>
  <c r="Y418" i="10"/>
  <c r="X418" i="10"/>
  <c r="Y386" i="10"/>
  <c r="X386" i="10"/>
  <c r="Y416" i="10"/>
  <c r="X416" i="10"/>
  <c r="Y384" i="10"/>
  <c r="X384" i="10"/>
  <c r="X469" i="10"/>
  <c r="Y469" i="10"/>
  <c r="Y335" i="10"/>
  <c r="X335" i="10"/>
  <c r="X299" i="10"/>
  <c r="Y299" i="10"/>
  <c r="Y435" i="10"/>
  <c r="X435" i="10"/>
  <c r="Y349" i="10"/>
  <c r="X349" i="10"/>
  <c r="Y317" i="10"/>
  <c r="X317" i="10"/>
  <c r="Y336" i="10"/>
  <c r="X336" i="10"/>
  <c r="Y207" i="10"/>
  <c r="X207" i="10"/>
  <c r="Y301" i="10"/>
  <c r="X301" i="10"/>
  <c r="Y285" i="10"/>
  <c r="X285" i="10"/>
  <c r="Y269" i="10"/>
  <c r="X269" i="10"/>
  <c r="Y253" i="10"/>
  <c r="X253" i="10"/>
  <c r="Y145" i="10"/>
  <c r="X145" i="10"/>
  <c r="X148" i="10"/>
  <c r="Y148" i="10"/>
  <c r="X116" i="10"/>
  <c r="Y116" i="10"/>
  <c r="X288" i="10"/>
  <c r="Y288" i="10"/>
  <c r="X256" i="10"/>
  <c r="Y256" i="10"/>
  <c r="Y87" i="10"/>
  <c r="X87" i="10"/>
  <c r="Y36" i="10"/>
  <c r="X36" i="10"/>
  <c r="Y35" i="10"/>
  <c r="X35" i="10"/>
  <c r="X174" i="10"/>
  <c r="Y174" i="10"/>
  <c r="X94" i="10"/>
  <c r="Y94" i="10"/>
  <c r="Y50" i="10"/>
  <c r="X50" i="10"/>
  <c r="Y526" i="10"/>
  <c r="X526" i="10"/>
  <c r="Y456" i="10"/>
  <c r="X456" i="10"/>
  <c r="Y388" i="10"/>
  <c r="X388" i="10"/>
  <c r="X259" i="10"/>
  <c r="Y259" i="10"/>
  <c r="Y368" i="10"/>
  <c r="X368" i="10"/>
  <c r="Y557" i="10"/>
  <c r="X557" i="10"/>
  <c r="Y533" i="10"/>
  <c r="X533" i="10"/>
  <c r="Y527" i="10"/>
  <c r="X527" i="10"/>
  <c r="Y474" i="10"/>
  <c r="X474" i="10"/>
  <c r="Y476" i="10"/>
  <c r="X476" i="10"/>
  <c r="X442" i="10"/>
  <c r="Y442" i="10"/>
  <c r="X403" i="10"/>
  <c r="Y403" i="10"/>
  <c r="X247" i="10"/>
  <c r="Y247" i="10"/>
  <c r="X350" i="10"/>
  <c r="Y350" i="10"/>
  <c r="X318" i="10"/>
  <c r="Y318" i="10"/>
  <c r="Y316" i="10"/>
  <c r="X316" i="10"/>
  <c r="Y187" i="10"/>
  <c r="X187" i="10"/>
  <c r="X198" i="10"/>
  <c r="Y198" i="10"/>
  <c r="Y117" i="10"/>
  <c r="X117" i="10"/>
  <c r="Y73" i="10"/>
  <c r="X73" i="10"/>
  <c r="Y75" i="10"/>
  <c r="X75" i="10"/>
  <c r="X80" i="10"/>
  <c r="Y80" i="10"/>
  <c r="Y22" i="10"/>
  <c r="X22" i="10"/>
  <c r="X31" i="10"/>
  <c r="Y31" i="10"/>
  <c r="X74" i="10"/>
  <c r="Y74" i="10"/>
  <c r="X30" i="10"/>
  <c r="Y30" i="10"/>
  <c r="Y34" i="10"/>
  <c r="X34" i="10"/>
  <c r="Y122" i="10"/>
  <c r="X122" i="10"/>
  <c r="Y150" i="10"/>
  <c r="X150" i="10"/>
  <c r="Y205" i="10"/>
  <c r="X205" i="10"/>
  <c r="X222" i="10"/>
  <c r="Y222" i="10"/>
  <c r="X238" i="10"/>
  <c r="Y238" i="10"/>
  <c r="Y118" i="10"/>
  <c r="X118" i="10"/>
  <c r="Y176" i="10"/>
  <c r="X176" i="10"/>
  <c r="Y192" i="10"/>
  <c r="X192" i="10"/>
  <c r="Y201" i="10"/>
  <c r="X201" i="10"/>
  <c r="Y177" i="10"/>
  <c r="X177" i="10"/>
  <c r="Y193" i="10"/>
  <c r="X193" i="10"/>
  <c r="X224" i="10"/>
  <c r="Y224" i="10"/>
  <c r="X240" i="10"/>
  <c r="Y240" i="10"/>
  <c r="Y217" i="10"/>
  <c r="X217" i="10"/>
  <c r="Y233" i="10"/>
  <c r="X233" i="10"/>
  <c r="X250" i="10"/>
  <c r="Y250" i="10"/>
  <c r="X266" i="10"/>
  <c r="Y266" i="10"/>
  <c r="X282" i="10"/>
  <c r="Y282" i="10"/>
  <c r="X298" i="10"/>
  <c r="Y298" i="10"/>
  <c r="Y367" i="10"/>
  <c r="X367" i="10"/>
  <c r="X397" i="10"/>
  <c r="Y397" i="10"/>
  <c r="X413" i="10"/>
  <c r="Y413" i="10"/>
  <c r="X429" i="10"/>
  <c r="Y429" i="10"/>
  <c r="X383" i="10"/>
  <c r="Y383" i="10"/>
  <c r="Y459" i="10"/>
  <c r="X459" i="10"/>
  <c r="Y440" i="10"/>
  <c r="X440" i="10"/>
  <c r="Y475" i="10"/>
  <c r="X475" i="10"/>
  <c r="Y498" i="10"/>
  <c r="X498" i="10"/>
  <c r="X499" i="10"/>
  <c r="Y499" i="10"/>
  <c r="Y543" i="10"/>
  <c r="X543" i="10"/>
  <c r="Q30" i="5"/>
  <c r="R30" i="5" s="1"/>
  <c r="Q90" i="5"/>
  <c r="S90" i="5" s="1"/>
  <c r="Q147" i="5"/>
  <c r="R147" i="5" s="1"/>
  <c r="Q194" i="5"/>
  <c r="S194" i="5" s="1"/>
  <c r="Q281" i="5"/>
  <c r="S281" i="5" s="1"/>
  <c r="Q411" i="5"/>
  <c r="R411" i="5" s="1"/>
  <c r="Q374" i="5"/>
  <c r="S374" i="5" s="1"/>
  <c r="Q519" i="5"/>
  <c r="R519" i="5" s="1"/>
  <c r="Q530" i="5"/>
  <c r="S530" i="5" s="1"/>
  <c r="Q403" i="5"/>
  <c r="S403" i="5" s="1"/>
  <c r="Q193" i="5"/>
  <c r="R193" i="5" s="1"/>
  <c r="Q252" i="5"/>
  <c r="S252" i="5" s="1"/>
  <c r="Q446" i="5"/>
  <c r="S446" i="5" s="1"/>
  <c r="X528" i="10"/>
  <c r="Y528" i="10"/>
  <c r="X481" i="10"/>
  <c r="Y481" i="10"/>
  <c r="Y414" i="10"/>
  <c r="X414" i="10"/>
  <c r="Y404" i="10"/>
  <c r="X404" i="10"/>
  <c r="Y315" i="10"/>
  <c r="X315" i="10"/>
  <c r="Y329" i="10"/>
  <c r="X329" i="10"/>
  <c r="Y183" i="10"/>
  <c r="X183" i="10"/>
  <c r="X160" i="10"/>
  <c r="Y160" i="10"/>
  <c r="X128" i="10"/>
  <c r="Y128" i="10"/>
  <c r="X292" i="10"/>
  <c r="Y292" i="10"/>
  <c r="X260" i="10"/>
  <c r="Y260" i="10"/>
  <c r="Y95" i="10"/>
  <c r="X95" i="10"/>
  <c r="X76" i="10"/>
  <c r="Y76" i="10"/>
  <c r="Y26" i="10"/>
  <c r="X26" i="10"/>
  <c r="X194" i="10"/>
  <c r="Y194" i="10"/>
  <c r="X71" i="10"/>
  <c r="Y71" i="10"/>
  <c r="Y52" i="10"/>
  <c r="X52" i="10"/>
  <c r="Y547" i="10"/>
  <c r="X547" i="10"/>
  <c r="Y512" i="10"/>
  <c r="X512" i="10"/>
  <c r="X522" i="10"/>
  <c r="Y522" i="10"/>
  <c r="X487" i="10"/>
  <c r="Y487" i="10"/>
  <c r="Y472" i="10"/>
  <c r="X472" i="10"/>
  <c r="X438" i="10"/>
  <c r="Y438" i="10"/>
  <c r="Y362" i="10"/>
  <c r="X362" i="10"/>
  <c r="Y431" i="10"/>
  <c r="X431" i="10"/>
  <c r="X461" i="10"/>
  <c r="Y461" i="10"/>
  <c r="X255" i="10"/>
  <c r="Y255" i="10"/>
  <c r="X330" i="10"/>
  <c r="Y330" i="10"/>
  <c r="Y356" i="10"/>
  <c r="X356" i="10"/>
  <c r="Y243" i="10"/>
  <c r="X243" i="10"/>
  <c r="Y179" i="10"/>
  <c r="X179" i="10"/>
  <c r="Y157" i="10"/>
  <c r="X157" i="10"/>
  <c r="Y113" i="10"/>
  <c r="X113" i="10"/>
  <c r="Y155" i="10"/>
  <c r="X155" i="10"/>
  <c r="Y123" i="10"/>
  <c r="X123" i="10"/>
  <c r="Y107" i="10"/>
  <c r="X107" i="10"/>
  <c r="Y60" i="10"/>
  <c r="X60" i="10"/>
  <c r="X59" i="10"/>
  <c r="Y59" i="10"/>
  <c r="X48" i="10"/>
  <c r="Y48" i="10"/>
  <c r="Y552" i="10"/>
  <c r="X552" i="10"/>
  <c r="Y510" i="10"/>
  <c r="X510" i="10"/>
  <c r="Y422" i="10"/>
  <c r="X422" i="10"/>
  <c r="Y323" i="10"/>
  <c r="X323" i="10"/>
  <c r="Y344" i="10"/>
  <c r="X344" i="10"/>
  <c r="X381" i="10"/>
  <c r="Y381" i="10"/>
  <c r="X541" i="10"/>
  <c r="Y541" i="10"/>
  <c r="X524" i="10"/>
  <c r="Y524" i="10"/>
  <c r="Y506" i="10"/>
  <c r="X506" i="10"/>
  <c r="Y454" i="10"/>
  <c r="X454" i="10"/>
  <c r="Y460" i="10"/>
  <c r="X460" i="10"/>
  <c r="Y441" i="10"/>
  <c r="X441" i="10"/>
  <c r="Y410" i="10"/>
  <c r="X410" i="10"/>
  <c r="Y374" i="10"/>
  <c r="X374" i="10"/>
  <c r="Y408" i="10"/>
  <c r="X408" i="10"/>
  <c r="X423" i="10"/>
  <c r="Y423" i="10"/>
  <c r="Y359" i="10"/>
  <c r="X359" i="10"/>
  <c r="Y327" i="10"/>
  <c r="X327" i="10"/>
  <c r="X283" i="10"/>
  <c r="Y283" i="10"/>
  <c r="Y380" i="10"/>
  <c r="X380" i="10"/>
  <c r="Y341" i="10"/>
  <c r="X341" i="10"/>
  <c r="Y309" i="10"/>
  <c r="X309" i="10"/>
  <c r="Y320" i="10"/>
  <c r="X320" i="10"/>
  <c r="Y191" i="10"/>
  <c r="X191" i="10"/>
  <c r="Y297" i="10"/>
  <c r="X297" i="10"/>
  <c r="Y281" i="10"/>
  <c r="X281" i="10"/>
  <c r="Y265" i="10"/>
  <c r="X265" i="10"/>
  <c r="Y249" i="10"/>
  <c r="X249" i="10"/>
  <c r="Y93" i="10"/>
  <c r="X93" i="10"/>
  <c r="X140" i="10"/>
  <c r="Y140" i="10"/>
  <c r="X108" i="10"/>
  <c r="Y108" i="10"/>
  <c r="X280" i="10"/>
  <c r="Y280" i="10"/>
  <c r="X248" i="10"/>
  <c r="Y248" i="10"/>
  <c r="Y67" i="10"/>
  <c r="X67" i="10"/>
  <c r="Y29" i="10"/>
  <c r="X29" i="10"/>
  <c r="Y25" i="10"/>
  <c r="X25" i="10"/>
  <c r="X166" i="10"/>
  <c r="Y166" i="10"/>
  <c r="X78" i="10"/>
  <c r="Y78" i="10"/>
  <c r="Y208" i="10"/>
  <c r="X208" i="10"/>
  <c r="Y508" i="10"/>
  <c r="X508" i="10"/>
  <c r="Y406" i="10"/>
  <c r="X406" i="10"/>
  <c r="X399" i="10"/>
  <c r="Y399" i="10"/>
  <c r="X369" i="10"/>
  <c r="Y369" i="10"/>
  <c r="Y199" i="10"/>
  <c r="X199" i="10"/>
  <c r="X548" i="10"/>
  <c r="Y548" i="10"/>
  <c r="Y535" i="10"/>
  <c r="X535" i="10"/>
  <c r="Y500" i="10"/>
  <c r="X500" i="10"/>
  <c r="Y466" i="10"/>
  <c r="X466" i="10"/>
  <c r="Y483" i="10"/>
  <c r="X483" i="10"/>
  <c r="X433" i="10"/>
  <c r="Y433" i="10"/>
  <c r="X295" i="10"/>
  <c r="Y295" i="10"/>
  <c r="X465" i="10"/>
  <c r="Y465" i="10"/>
  <c r="X342" i="10"/>
  <c r="Y342" i="10"/>
  <c r="X310" i="10"/>
  <c r="Y310" i="10"/>
  <c r="Y235" i="10"/>
  <c r="X235" i="10"/>
  <c r="Y171" i="10"/>
  <c r="X171" i="10"/>
  <c r="Y149" i="10"/>
  <c r="X149" i="10"/>
  <c r="Y109" i="10"/>
  <c r="X109" i="10"/>
  <c r="Y163" i="10"/>
  <c r="X163" i="10"/>
  <c r="Y65" i="10"/>
  <c r="X65" i="10"/>
  <c r="X46" i="10"/>
  <c r="Y46" i="10"/>
  <c r="Y49" i="10"/>
  <c r="X49" i="10"/>
  <c r="X23" i="10"/>
  <c r="Y23" i="10"/>
  <c r="X69" i="10"/>
  <c r="Y69" i="10"/>
  <c r="Y32" i="10"/>
  <c r="X32" i="10"/>
  <c r="Y37" i="10"/>
  <c r="X37" i="10"/>
  <c r="Y130" i="10"/>
  <c r="X130" i="10"/>
  <c r="Y158" i="10"/>
  <c r="X158" i="10"/>
  <c r="X210" i="10"/>
  <c r="Y210" i="10"/>
  <c r="X226" i="10"/>
  <c r="Y226" i="10"/>
  <c r="X242" i="10"/>
  <c r="Y242" i="10"/>
  <c r="Y126" i="10"/>
  <c r="X126" i="10"/>
  <c r="Y164" i="10"/>
  <c r="X164" i="10"/>
  <c r="Y180" i="10"/>
  <c r="X180" i="10"/>
  <c r="Y102" i="10"/>
  <c r="X102" i="10"/>
  <c r="Y165" i="10"/>
  <c r="X165" i="10"/>
  <c r="Y181" i="10"/>
  <c r="X181" i="10"/>
  <c r="X212" i="10"/>
  <c r="Y212" i="10"/>
  <c r="X228" i="10"/>
  <c r="Y228" i="10"/>
  <c r="X244" i="10"/>
  <c r="Y244" i="10"/>
  <c r="Y221" i="10"/>
  <c r="X221" i="10"/>
  <c r="Y237" i="10"/>
  <c r="X237" i="10"/>
  <c r="X254" i="10"/>
  <c r="Y254" i="10"/>
  <c r="X270" i="10"/>
  <c r="Y270" i="10"/>
  <c r="X286" i="10"/>
  <c r="Y286" i="10"/>
  <c r="X302" i="10"/>
  <c r="Y302" i="10"/>
  <c r="X387" i="10"/>
  <c r="Y387" i="10"/>
  <c r="X401" i="10"/>
  <c r="Y401" i="10"/>
  <c r="X417" i="10"/>
  <c r="Y417" i="10"/>
  <c r="X371" i="10"/>
  <c r="Y371" i="10"/>
  <c r="X385" i="10"/>
  <c r="Y385" i="10"/>
  <c r="Y467" i="10"/>
  <c r="X467" i="10"/>
  <c r="Y444" i="10"/>
  <c r="X444" i="10"/>
  <c r="Y479" i="10"/>
  <c r="X479" i="10"/>
  <c r="Y518" i="10"/>
  <c r="X518" i="10"/>
  <c r="X503" i="10"/>
  <c r="Y503" i="10"/>
  <c r="Y539" i="10"/>
  <c r="X539" i="10"/>
  <c r="Q207" i="5"/>
  <c r="R207" i="5" s="1"/>
  <c r="Q203" i="5"/>
  <c r="R203" i="5" s="1"/>
  <c r="Q305" i="5"/>
  <c r="S305" i="5" s="1"/>
  <c r="Q355" i="5"/>
  <c r="S355" i="5" s="1"/>
  <c r="Q388" i="5"/>
  <c r="S388" i="5" s="1"/>
  <c r="Q366" i="5"/>
  <c r="R366" i="5" s="1"/>
  <c r="Q434" i="5"/>
  <c r="S434" i="5" s="1"/>
  <c r="Q509" i="5"/>
  <c r="S509" i="5" s="1"/>
  <c r="Q400" i="5"/>
  <c r="S400" i="5" s="1"/>
  <c r="Q37" i="5"/>
  <c r="S37" i="5" s="1"/>
  <c r="Q189" i="5"/>
  <c r="S189" i="5" s="1"/>
  <c r="Q399" i="5"/>
  <c r="S399" i="5" s="1"/>
  <c r="Q100" i="5"/>
  <c r="R100" i="5" s="1"/>
  <c r="Q498" i="5"/>
  <c r="R498" i="5" s="1"/>
  <c r="Q190" i="5"/>
  <c r="R190" i="5" s="1"/>
  <c r="Q421" i="5"/>
  <c r="R421" i="5" s="1"/>
  <c r="Q522" i="5"/>
  <c r="R522" i="5" s="1"/>
  <c r="Q107" i="5"/>
  <c r="S107" i="5" s="1"/>
  <c r="Q60" i="5"/>
  <c r="R60" i="5" s="1"/>
  <c r="Q94" i="5"/>
  <c r="R94" i="5" s="1"/>
  <c r="Q83" i="5"/>
  <c r="R83" i="5" s="1"/>
  <c r="Q170" i="5"/>
  <c r="S170" i="5" s="1"/>
  <c r="Q240" i="5"/>
  <c r="R240" i="5" s="1"/>
  <c r="Q292" i="5"/>
  <c r="R292" i="5" s="1"/>
  <c r="Q239" i="5"/>
  <c r="S239" i="5" s="1"/>
  <c r="Q257" i="5"/>
  <c r="S257" i="5" s="1"/>
  <c r="Q279" i="5"/>
  <c r="R279" i="5" s="1"/>
  <c r="Q351" i="5"/>
  <c r="R351" i="5" s="1"/>
  <c r="Q393" i="5"/>
  <c r="S393" i="5" s="1"/>
  <c r="Q410" i="5"/>
  <c r="S410" i="5" s="1"/>
  <c r="Q342" i="5"/>
  <c r="S342" i="5" s="1"/>
  <c r="Q541" i="5"/>
  <c r="S541" i="5" s="1"/>
  <c r="Q549" i="5"/>
  <c r="S549" i="5" s="1"/>
  <c r="Q47" i="5"/>
  <c r="S47" i="5" s="1"/>
  <c r="Q146" i="5"/>
  <c r="S146" i="5" s="1"/>
  <c r="Q296" i="5"/>
  <c r="S296" i="5" s="1"/>
  <c r="Q394" i="5"/>
  <c r="R394" i="5" s="1"/>
  <c r="Q520" i="5"/>
  <c r="R520" i="5" s="1"/>
  <c r="Q70" i="5"/>
  <c r="R70" i="5" s="1"/>
  <c r="Q337" i="5"/>
  <c r="S337" i="5" s="1"/>
  <c r="Q126" i="5"/>
  <c r="S126" i="5" s="1"/>
  <c r="Q447" i="5"/>
  <c r="R447" i="5" s="1"/>
  <c r="Q42" i="5"/>
  <c r="S42" i="5" s="1"/>
  <c r="Q86" i="5"/>
  <c r="R86" i="5" s="1"/>
  <c r="Q148" i="5"/>
  <c r="R148" i="5" s="1"/>
  <c r="Q311" i="5"/>
  <c r="R311" i="5" s="1"/>
  <c r="Q347" i="5"/>
  <c r="S347" i="5" s="1"/>
  <c r="Q536" i="5"/>
  <c r="S536" i="5" s="1"/>
  <c r="Q36" i="5"/>
  <c r="S36" i="5" s="1"/>
  <c r="Q109" i="5"/>
  <c r="R109" i="5" s="1"/>
  <c r="Q176" i="5"/>
  <c r="S176" i="5" s="1"/>
  <c r="Q350" i="5"/>
  <c r="R350" i="5" s="1"/>
  <c r="Q383" i="5"/>
  <c r="R383" i="5" s="1"/>
  <c r="Q373" i="5"/>
  <c r="S373" i="5" s="1"/>
  <c r="Q19" i="5"/>
  <c r="R19" i="5" s="1"/>
  <c r="Q201" i="5"/>
  <c r="R201" i="5" s="1"/>
  <c r="B263" i="2"/>
  <c r="B223" i="2"/>
  <c r="B225" i="2" s="1"/>
  <c r="Q213" i="5"/>
  <c r="S213" i="5" s="1"/>
  <c r="Q496" i="5"/>
  <c r="R496" i="5" s="1"/>
  <c r="Q246" i="5"/>
  <c r="S246" i="5" s="1"/>
  <c r="Q227" i="5"/>
  <c r="R227" i="5" s="1"/>
  <c r="Q461" i="5"/>
  <c r="S461" i="5" s="1"/>
  <c r="Q335" i="5"/>
  <c r="S335" i="5" s="1"/>
  <c r="Q487" i="5"/>
  <c r="R487" i="5" s="1"/>
  <c r="Q450" i="5"/>
  <c r="R450" i="5" s="1"/>
  <c r="Q268" i="5"/>
  <c r="S268" i="5" s="1"/>
  <c r="Q460" i="5"/>
  <c r="R460" i="5" s="1"/>
  <c r="Q458" i="5"/>
  <c r="R458" i="5" s="1"/>
  <c r="Q81" i="5"/>
  <c r="R81" i="5" s="1"/>
  <c r="Q169" i="5"/>
  <c r="R169" i="5" s="1"/>
  <c r="Q196" i="5"/>
  <c r="S196" i="5" s="1"/>
  <c r="Q245" i="5"/>
  <c r="R245" i="5" s="1"/>
  <c r="Q512" i="5"/>
  <c r="S512" i="5" s="1"/>
  <c r="Q445" i="5"/>
  <c r="S445" i="5" s="1"/>
  <c r="Q466" i="5"/>
  <c r="R466" i="5" s="1"/>
  <c r="Q66" i="5"/>
  <c r="R66" i="5" s="1"/>
  <c r="Q144" i="5"/>
  <c r="S144" i="5" s="1"/>
  <c r="Q152" i="5"/>
  <c r="R152" i="5" s="1"/>
  <c r="Q97" i="5"/>
  <c r="S97" i="5" s="1"/>
  <c r="Q423" i="5"/>
  <c r="S423" i="5" s="1"/>
  <c r="Q362" i="5"/>
  <c r="R362" i="5" s="1"/>
  <c r="Q500" i="5"/>
  <c r="S500" i="5" s="1"/>
  <c r="Q58" i="5"/>
  <c r="R58" i="5" s="1"/>
  <c r="Q183" i="5"/>
  <c r="S183" i="5" s="1"/>
  <c r="Q482" i="5"/>
  <c r="R482" i="5" s="1"/>
  <c r="Q300" i="5"/>
  <c r="S300" i="5" s="1"/>
  <c r="Q29" i="5"/>
  <c r="R29" i="5" s="1"/>
  <c r="Q120" i="5"/>
  <c r="S120" i="5" s="1"/>
  <c r="Q200" i="5"/>
  <c r="S200" i="5" s="1"/>
  <c r="Q432" i="5"/>
  <c r="S432" i="5" s="1"/>
  <c r="Q230" i="5"/>
  <c r="R230" i="5" s="1"/>
  <c r="Q336" i="5"/>
  <c r="R336" i="5" s="1"/>
  <c r="Q265" i="5"/>
  <c r="R265" i="5" s="1"/>
  <c r="Q341" i="5"/>
  <c r="R341" i="5" s="1"/>
  <c r="Q116" i="5"/>
  <c r="S116" i="5" s="1"/>
  <c r="Q277" i="5"/>
  <c r="R277" i="5" s="1"/>
  <c r="Q64" i="5"/>
  <c r="S64" i="5" s="1"/>
  <c r="Q533" i="5"/>
  <c r="R533" i="5" s="1"/>
  <c r="Q262" i="5"/>
  <c r="S262" i="5" s="1"/>
  <c r="Q456" i="5"/>
  <c r="R456" i="5" s="1"/>
  <c r="Q272" i="5"/>
  <c r="S272" i="5" s="1"/>
  <c r="Q136" i="5"/>
  <c r="S136" i="5" s="1"/>
  <c r="Q334" i="5"/>
  <c r="R334" i="5" s="1"/>
  <c r="Q192" i="5"/>
  <c r="R192" i="5" s="1"/>
  <c r="Q202" i="5"/>
  <c r="S202" i="5" s="1"/>
  <c r="Q54" i="5"/>
  <c r="S54" i="5" s="1"/>
  <c r="Q486" i="5"/>
  <c r="R486" i="5" s="1"/>
  <c r="Q316" i="5"/>
  <c r="S316" i="5" s="1"/>
  <c r="Q118" i="5"/>
  <c r="S118" i="5" s="1"/>
  <c r="Q35" i="5"/>
  <c r="R35" i="5" s="1"/>
  <c r="Q554" i="5"/>
  <c r="S554" i="5" s="1"/>
  <c r="Q129" i="5"/>
  <c r="S129" i="5" s="1"/>
  <c r="Q165" i="5"/>
  <c r="R165" i="5" s="1"/>
  <c r="Q278" i="5"/>
  <c r="S278" i="5" s="1"/>
  <c r="Q354" i="5"/>
  <c r="R354" i="5" s="1"/>
  <c r="Q454" i="5"/>
  <c r="S454" i="5" s="1"/>
  <c r="Q489" i="5"/>
  <c r="R489" i="5" s="1"/>
  <c r="Q553" i="5"/>
  <c r="S553" i="5" s="1"/>
  <c r="Q429" i="5"/>
  <c r="R429" i="5" s="1"/>
  <c r="Q72" i="5"/>
  <c r="R72" i="5" s="1"/>
  <c r="Q104" i="5"/>
  <c r="R104" i="5" s="1"/>
  <c r="Q143" i="5"/>
  <c r="S143" i="5" s="1"/>
  <c r="Q180" i="5"/>
  <c r="S180" i="5" s="1"/>
  <c r="Q219" i="5"/>
  <c r="S219" i="5" s="1"/>
  <c r="Q247" i="5"/>
  <c r="R247" i="5" s="1"/>
  <c r="Q378" i="5"/>
  <c r="S378" i="5" s="1"/>
  <c r="Q518" i="5"/>
  <c r="S518" i="5" s="1"/>
  <c r="Q57" i="5"/>
  <c r="S57" i="5" s="1"/>
  <c r="Q367" i="5"/>
  <c r="R367" i="5" s="1"/>
  <c r="Q503" i="5"/>
  <c r="R503" i="5" s="1"/>
  <c r="Q270" i="5"/>
  <c r="S270" i="5" s="1"/>
  <c r="Q187" i="5"/>
  <c r="S187" i="5" s="1"/>
  <c r="Q128" i="5"/>
  <c r="S128" i="5" s="1"/>
  <c r="Q8" i="5"/>
  <c r="R8" i="5" s="1"/>
  <c r="Q271" i="5"/>
  <c r="S271" i="5" s="1"/>
  <c r="Q198" i="5"/>
  <c r="S198" i="5" s="1"/>
  <c r="Q123" i="5"/>
  <c r="R123" i="5" s="1"/>
  <c r="Q69" i="5"/>
  <c r="R69" i="5" s="1"/>
  <c r="Q443" i="5"/>
  <c r="R443" i="5" s="1"/>
  <c r="P139" i="5"/>
  <c r="P488" i="5"/>
  <c r="Q113" i="5"/>
  <c r="S113" i="5" s="1"/>
  <c r="Q469" i="5"/>
  <c r="R469" i="5" s="1"/>
  <c r="P195" i="5"/>
  <c r="P205" i="5"/>
  <c r="Q395" i="5"/>
  <c r="S395" i="5" s="1"/>
  <c r="P179" i="5"/>
  <c r="P463" i="5"/>
  <c r="Q32" i="5"/>
  <c r="S32" i="5" s="1"/>
  <c r="Q59" i="5"/>
  <c r="R59" i="5" s="1"/>
  <c r="Q80" i="5"/>
  <c r="Q142" i="5"/>
  <c r="S142" i="5" s="1"/>
  <c r="Q121" i="5"/>
  <c r="S121" i="5" s="1"/>
  <c r="Q179" i="5"/>
  <c r="R179" i="5" s="1"/>
  <c r="Q251" i="5"/>
  <c r="S251" i="5" s="1"/>
  <c r="Q226" i="5"/>
  <c r="R226" i="5" s="1"/>
  <c r="Q328" i="5"/>
  <c r="Q330" i="5"/>
  <c r="S330" i="5" s="1"/>
  <c r="Q315" i="5"/>
  <c r="R315" i="5" s="1"/>
  <c r="Q386" i="5"/>
  <c r="R386" i="5" s="1"/>
  <c r="Q343" i="5"/>
  <c r="S343" i="5" s="1"/>
  <c r="Q263" i="5"/>
  <c r="S263" i="5" s="1"/>
  <c r="Q415" i="5"/>
  <c r="R415" i="5" s="1"/>
  <c r="Q471" i="5"/>
  <c r="R471" i="5" s="1"/>
  <c r="Q526" i="5"/>
  <c r="Q452" i="5"/>
  <c r="R452" i="5" s="1"/>
  <c r="Q510" i="5"/>
  <c r="Q484" i="5"/>
  <c r="S484" i="5" s="1"/>
  <c r="Q546" i="5"/>
  <c r="S546" i="5" s="1"/>
  <c r="Q552" i="5"/>
  <c r="R552" i="5" s="1"/>
  <c r="Q557" i="5"/>
  <c r="S557" i="5" s="1"/>
  <c r="Q516" i="5"/>
  <c r="R516" i="5" s="1"/>
  <c r="Q38" i="5"/>
  <c r="Q154" i="5"/>
  <c r="S154" i="5" s="1"/>
  <c r="Q185" i="5"/>
  <c r="Q242" i="5"/>
  <c r="R242" i="5" s="1"/>
  <c r="Q211" i="5"/>
  <c r="S211" i="5" s="1"/>
  <c r="Q391" i="5"/>
  <c r="S391" i="5" s="1"/>
  <c r="Q338" i="5"/>
  <c r="S338" i="5" s="1"/>
  <c r="Q475" i="5"/>
  <c r="R475" i="5" s="1"/>
  <c r="Q467" i="5"/>
  <c r="S467" i="5" s="1"/>
  <c r="Q497" i="5"/>
  <c r="S497" i="5" s="1"/>
  <c r="Q550" i="5"/>
  <c r="R550" i="5" s="1"/>
  <c r="Q534" i="5"/>
  <c r="S534" i="5" s="1"/>
  <c r="Q24" i="5"/>
  <c r="Q75" i="5"/>
  <c r="R75" i="5" s="1"/>
  <c r="Q119" i="5"/>
  <c r="R119" i="5" s="1"/>
  <c r="Q96" i="5"/>
  <c r="R96" i="5" s="1"/>
  <c r="Q161" i="5"/>
  <c r="S161" i="5" s="1"/>
  <c r="Q235" i="5"/>
  <c r="S235" i="5" s="1"/>
  <c r="Q209" i="5"/>
  <c r="S209" i="5" s="1"/>
  <c r="Q260" i="5"/>
  <c r="S260" i="5" s="1"/>
  <c r="Q358" i="5"/>
  <c r="R358" i="5" s="1"/>
  <c r="Q477" i="5"/>
  <c r="S477" i="5" s="1"/>
  <c r="Q430" i="5"/>
  <c r="S430" i="5" s="1"/>
  <c r="Q114" i="5"/>
  <c r="R114" i="5" s="1"/>
  <c r="Q431" i="5"/>
  <c r="R431" i="5" s="1"/>
  <c r="Q528" i="5"/>
  <c r="R528" i="5" s="1"/>
  <c r="Q412" i="5"/>
  <c r="R412" i="5" s="1"/>
  <c r="Q380" i="5"/>
  <c r="S380" i="5" s="1"/>
  <c r="Q325" i="5"/>
  <c r="R325" i="5" s="1"/>
  <c r="Q175" i="5"/>
  <c r="S175" i="5" s="1"/>
  <c r="Q91" i="5"/>
  <c r="R91" i="5" s="1"/>
  <c r="Q418" i="5"/>
  <c r="R418" i="5" s="1"/>
  <c r="Q141" i="5"/>
  <c r="R141" i="5" s="1"/>
  <c r="Q206" i="5"/>
  <c r="R206" i="5" s="1"/>
  <c r="Q122" i="5"/>
  <c r="Q93" i="5"/>
  <c r="R93" i="5" s="1"/>
  <c r="Q39" i="5"/>
  <c r="S39" i="5" s="1"/>
  <c r="Q370" i="5"/>
  <c r="R370" i="5" s="1"/>
  <c r="Q340" i="5"/>
  <c r="Q43" i="5"/>
  <c r="Q502" i="5"/>
  <c r="S502" i="5" s="1"/>
  <c r="Q166" i="5"/>
  <c r="R166" i="5" s="1"/>
  <c r="Q449" i="5"/>
  <c r="S449" i="5" s="1"/>
  <c r="Q404" i="5"/>
  <c r="S404" i="5" s="1"/>
  <c r="Q184" i="5"/>
  <c r="R184" i="5" s="1"/>
  <c r="Q545" i="5"/>
  <c r="R545" i="5" s="1"/>
  <c r="Q312" i="5"/>
  <c r="R312" i="5" s="1"/>
  <c r="Q84" i="5"/>
  <c r="R84" i="5" s="1"/>
  <c r="Q478" i="5"/>
  <c r="S478" i="5" s="1"/>
  <c r="Q369" i="5"/>
  <c r="S369" i="5" s="1"/>
  <c r="Q382" i="5"/>
  <c r="S382" i="5" s="1"/>
  <c r="Q261" i="5"/>
  <c r="S261" i="5" s="1"/>
  <c r="Q92" i="5"/>
  <c r="R92" i="5" s="1"/>
  <c r="O11" i="5"/>
  <c r="AG11" i="5" s="1"/>
  <c r="AH11" i="5" s="1"/>
  <c r="Q49" i="5"/>
  <c r="Q50" i="5"/>
  <c r="R50" i="5" s="1"/>
  <c r="Q63" i="5"/>
  <c r="S63" i="5" s="1"/>
  <c r="Q77" i="5"/>
  <c r="S77" i="5" s="1"/>
  <c r="Q44" i="5"/>
  <c r="S44" i="5" s="1"/>
  <c r="Q137" i="5"/>
  <c r="R137" i="5" s="1"/>
  <c r="Q140" i="5"/>
  <c r="R140" i="5" s="1"/>
  <c r="Q127" i="5"/>
  <c r="R127" i="5" s="1"/>
  <c r="Q174" i="5"/>
  <c r="R174" i="5" s="1"/>
  <c r="Q168" i="5"/>
  <c r="S168" i="5" s="1"/>
  <c r="Q232" i="5"/>
  <c r="S232" i="5" s="1"/>
  <c r="Q221" i="5"/>
  <c r="S221" i="5" s="1"/>
  <c r="Q222" i="5"/>
  <c r="S222" i="5" s="1"/>
  <c r="Q264" i="5"/>
  <c r="S264" i="5" s="1"/>
  <c r="Q331" i="5"/>
  <c r="Q293" i="5"/>
  <c r="R293" i="5" s="1"/>
  <c r="Q220" i="5"/>
  <c r="Q286" i="5"/>
  <c r="S286" i="5" s="1"/>
  <c r="Q348" i="5"/>
  <c r="S348" i="5" s="1"/>
  <c r="Q372" i="5"/>
  <c r="S372" i="5" s="1"/>
  <c r="Q438" i="5"/>
  <c r="Q26" i="5"/>
  <c r="S26" i="5" s="1"/>
  <c r="Q41" i="5"/>
  <c r="S41" i="5" s="1"/>
  <c r="Q61" i="5"/>
  <c r="R61" i="5" s="1"/>
  <c r="Q87" i="5"/>
  <c r="S87" i="5" s="1"/>
  <c r="Q133" i="5"/>
  <c r="S133" i="5" s="1"/>
  <c r="Q149" i="5"/>
  <c r="R149" i="5" s="1"/>
  <c r="Q156" i="5"/>
  <c r="S156" i="5" s="1"/>
  <c r="Q132" i="5"/>
  <c r="R132" i="5" s="1"/>
  <c r="Q238" i="5"/>
  <c r="S238" i="5" s="1"/>
  <c r="Q195" i="5"/>
  <c r="R195" i="5" s="1"/>
  <c r="Q256" i="5"/>
  <c r="R256" i="5" s="1"/>
  <c r="Q212" i="5"/>
  <c r="Q321" i="5"/>
  <c r="R321" i="5" s="1"/>
  <c r="Q280" i="5"/>
  <c r="R280" i="5" s="1"/>
  <c r="Q357" i="5"/>
  <c r="R357" i="5" s="1"/>
  <c r="Q407" i="5"/>
  <c r="S407" i="5" s="1"/>
  <c r="Q314" i="5"/>
  <c r="S314" i="5" s="1"/>
  <c r="Q402" i="5"/>
  <c r="S402" i="5" s="1"/>
  <c r="Q368" i="5"/>
  <c r="R368" i="5" s="1"/>
  <c r="Q318" i="5"/>
  <c r="S318" i="5" s="1"/>
  <c r="Q464" i="5"/>
  <c r="S464" i="5" s="1"/>
  <c r="Q499" i="5"/>
  <c r="S499" i="5" s="1"/>
  <c r="Q547" i="5"/>
  <c r="S547" i="5" s="1"/>
  <c r="Q476" i="5"/>
  <c r="S476" i="5" s="1"/>
  <c r="Q436" i="5"/>
  <c r="R436" i="5" s="1"/>
  <c r="Q463" i="5"/>
  <c r="S463" i="5" s="1"/>
  <c r="Q417" i="5"/>
  <c r="R417" i="5" s="1"/>
  <c r="Q375" i="5"/>
  <c r="S375" i="5" s="1"/>
  <c r="Q310" i="5"/>
  <c r="S310" i="5" s="1"/>
  <c r="Q217" i="5"/>
  <c r="Q162" i="5"/>
  <c r="R162" i="5" s="1"/>
  <c r="Q131" i="5"/>
  <c r="S131" i="5" s="1"/>
  <c r="Q51" i="5"/>
  <c r="R51" i="5" s="1"/>
  <c r="Q531" i="5"/>
  <c r="Q459" i="5"/>
  <c r="S459" i="5" s="1"/>
  <c r="Q555" i="5"/>
  <c r="S555" i="5" s="1"/>
  <c r="Q548" i="5"/>
  <c r="R548" i="5" s="1"/>
  <c r="Q494" i="5"/>
  <c r="R494" i="5" s="1"/>
  <c r="Q514" i="5"/>
  <c r="S514" i="5" s="1"/>
  <c r="Q457" i="5"/>
  <c r="R457" i="5" s="1"/>
  <c r="Q527" i="5"/>
  <c r="S527" i="5" s="1"/>
  <c r="Q473" i="5"/>
  <c r="S473" i="5" s="1"/>
  <c r="Q416" i="5"/>
  <c r="S416" i="5" s="1"/>
  <c r="Q327" i="5"/>
  <c r="R327" i="5" s="1"/>
  <c r="Q349" i="5"/>
  <c r="S349" i="5" s="1"/>
  <c r="Q389" i="5"/>
  <c r="S389" i="5" s="1"/>
  <c r="Q324" i="5"/>
  <c r="S324" i="5" s="1"/>
  <c r="Q167" i="5"/>
  <c r="Q333" i="5"/>
  <c r="S333" i="5" s="1"/>
  <c r="Q237" i="5"/>
  <c r="R237" i="5" s="1"/>
  <c r="Q244" i="5"/>
  <c r="S244" i="5" s="1"/>
  <c r="Q135" i="5"/>
  <c r="R135" i="5" s="1"/>
  <c r="Q490" i="5"/>
  <c r="S490" i="5" s="1"/>
  <c r="Q283" i="5"/>
  <c r="S283" i="5" s="1"/>
  <c r="Q99" i="5"/>
  <c r="R99" i="5" s="1"/>
  <c r="Q506" i="5"/>
  <c r="Q323" i="5"/>
  <c r="R323" i="5" s="1"/>
  <c r="Q31" i="5"/>
  <c r="R31" i="5" s="1"/>
  <c r="Q529" i="5"/>
  <c r="S529" i="5" s="1"/>
  <c r="Q501" i="5"/>
  <c r="R501" i="5" s="1"/>
  <c r="Q439" i="5"/>
  <c r="R439" i="5" s="1"/>
  <c r="Q258" i="5"/>
  <c r="S258" i="5" s="1"/>
  <c r="Q125" i="5"/>
  <c r="R125" i="5" s="1"/>
  <c r="Q12" i="5"/>
  <c r="S12" i="5" s="1"/>
  <c r="Q34" i="5"/>
  <c r="S34" i="5" s="1"/>
  <c r="Q48" i="5"/>
  <c r="Q68" i="5"/>
  <c r="R68" i="5" s="1"/>
  <c r="Q76" i="5"/>
  <c r="R76" i="5" s="1"/>
  <c r="Q106" i="5"/>
  <c r="R106" i="5" s="1"/>
  <c r="Q153" i="5"/>
  <c r="S153" i="5" s="1"/>
  <c r="Q157" i="5"/>
  <c r="S157" i="5" s="1"/>
  <c r="Q139" i="5"/>
  <c r="S139" i="5" s="1"/>
  <c r="Q145" i="5"/>
  <c r="S145" i="5" s="1"/>
  <c r="Q182" i="5"/>
  <c r="R182" i="5" s="1"/>
  <c r="Q241" i="5"/>
  <c r="S241" i="5" s="1"/>
  <c r="Q233" i="5"/>
  <c r="R233" i="5" s="1"/>
  <c r="Q234" i="5"/>
  <c r="S234" i="5" s="1"/>
  <c r="Q284" i="5"/>
  <c r="Q215" i="5"/>
  <c r="S215" i="5" s="1"/>
  <c r="Q303" i="5"/>
  <c r="R303" i="5" s="1"/>
  <c r="Q248" i="5"/>
  <c r="R248" i="5" s="1"/>
  <c r="Q304" i="5"/>
  <c r="S304" i="5" s="1"/>
  <c r="Q360" i="5"/>
  <c r="R360" i="5" s="1"/>
  <c r="Q385" i="5"/>
  <c r="B43" i="5"/>
  <c r="Q45" i="5"/>
  <c r="S45" i="5" s="1"/>
  <c r="Q27" i="5"/>
  <c r="S27" i="5" s="1"/>
  <c r="Q78" i="5"/>
  <c r="R78" i="5" s="1"/>
  <c r="Q110" i="5"/>
  <c r="R110" i="5" s="1"/>
  <c r="Q151" i="5"/>
  <c r="S151" i="5" s="1"/>
  <c r="Q105" i="5"/>
  <c r="S105" i="5" s="1"/>
  <c r="Q163" i="5"/>
  <c r="S163" i="5" s="1"/>
  <c r="Q178" i="5"/>
  <c r="S178" i="5" s="1"/>
  <c r="Q186" i="5"/>
  <c r="Q214" i="5"/>
  <c r="R214" i="5" s="1"/>
  <c r="Q276" i="5"/>
  <c r="Q255" i="5"/>
  <c r="R255" i="5" s="1"/>
  <c r="Q173" i="5"/>
  <c r="Q297" i="5"/>
  <c r="S297" i="5" s="1"/>
  <c r="Q295" i="5"/>
  <c r="S295" i="5" s="1"/>
  <c r="Q428" i="5"/>
  <c r="R428" i="5" s="1"/>
  <c r="Q353" i="5"/>
  <c r="R353" i="5" s="1"/>
  <c r="Q414" i="5"/>
  <c r="S414" i="5" s="1"/>
  <c r="Q384" i="5"/>
  <c r="Q381" i="5"/>
  <c r="S381" i="5" s="1"/>
  <c r="Q474" i="5"/>
  <c r="S474" i="5" s="1"/>
  <c r="Q544" i="5"/>
  <c r="S544" i="5" s="1"/>
  <c r="Q451" i="5"/>
  <c r="S451" i="5" s="1"/>
  <c r="Q424" i="5"/>
  <c r="Q345" i="5"/>
  <c r="R345" i="5" s="1"/>
  <c r="Q387" i="5"/>
  <c r="S387" i="5" s="1"/>
  <c r="Q379" i="5"/>
  <c r="R379" i="5" s="1"/>
  <c r="Q352" i="5"/>
  <c r="S352" i="5" s="1"/>
  <c r="Q259" i="5"/>
  <c r="S259" i="5" s="1"/>
  <c r="Q225" i="5"/>
  <c r="S225" i="5" s="1"/>
  <c r="Q150" i="5"/>
  <c r="S150" i="5" s="1"/>
  <c r="Q111" i="5"/>
  <c r="R111" i="5" s="1"/>
  <c r="Q40" i="5"/>
  <c r="R40" i="5" s="1"/>
  <c r="Q472" i="5"/>
  <c r="R472" i="5" s="1"/>
  <c r="Q558" i="5"/>
  <c r="R558" i="5" s="1"/>
  <c r="Q532" i="5"/>
  <c r="S532" i="5" s="1"/>
  <c r="Q542" i="5"/>
  <c r="S542" i="5" s="1"/>
  <c r="Q465" i="5"/>
  <c r="R465" i="5" s="1"/>
  <c r="Q493" i="5"/>
  <c r="S493" i="5" s="1"/>
  <c r="Q435" i="5"/>
  <c r="R435" i="5" s="1"/>
  <c r="Q521" i="5"/>
  <c r="Q462" i="5"/>
  <c r="S462" i="5" s="1"/>
  <c r="Q401" i="5"/>
  <c r="S401" i="5" s="1"/>
  <c r="Q413" i="5"/>
  <c r="S413" i="5" s="1"/>
  <c r="Q282" i="5"/>
  <c r="S282" i="5" s="1"/>
  <c r="Q371" i="5"/>
  <c r="R371" i="5" s="1"/>
  <c r="Q294" i="5"/>
  <c r="R294" i="5" s="1"/>
  <c r="Q307" i="5"/>
  <c r="S307" i="5" s="1"/>
  <c r="Q223" i="5"/>
  <c r="R223" i="5" s="1"/>
  <c r="Q339" i="5"/>
  <c r="R339" i="5" s="1"/>
  <c r="Q448" i="5"/>
  <c r="R448" i="5" s="1"/>
  <c r="Q455" i="5"/>
  <c r="S455" i="5" s="1"/>
  <c r="Q298" i="5"/>
  <c r="S298" i="5" s="1"/>
  <c r="Q28" i="5"/>
  <c r="S28" i="5" s="1"/>
  <c r="Q406" i="5"/>
  <c r="S406" i="5" s="1"/>
  <c r="Q250" i="5"/>
  <c r="S250" i="5" s="1"/>
  <c r="Q556" i="5"/>
  <c r="S556" i="5" s="1"/>
  <c r="Q426" i="5"/>
  <c r="S426" i="5" s="1"/>
  <c r="Q390" i="5"/>
  <c r="S390" i="5" s="1"/>
  <c r="Q254" i="5"/>
  <c r="S254" i="5" s="1"/>
  <c r="Q228" i="5"/>
  <c r="R228" i="5" s="1"/>
  <c r="Q82" i="5"/>
  <c r="S82" i="5" s="1"/>
  <c r="Q21" i="5"/>
  <c r="S21" i="5" s="1"/>
  <c r="Q25" i="5"/>
  <c r="S25" i="5" s="1"/>
  <c r="Q62" i="5"/>
  <c r="R62" i="5" s="1"/>
  <c r="Q74" i="5"/>
  <c r="S74" i="5" s="1"/>
  <c r="Q85" i="5"/>
  <c r="S85" i="5" s="1"/>
  <c r="Q108" i="5"/>
  <c r="R108" i="5" s="1"/>
  <c r="Q53" i="5"/>
  <c r="Q102" i="5"/>
  <c r="R102" i="5" s="1"/>
  <c r="Q155" i="5"/>
  <c r="R155" i="5" s="1"/>
  <c r="Q172" i="5"/>
  <c r="S172" i="5" s="1"/>
  <c r="Q208" i="5"/>
  <c r="R208" i="5" s="1"/>
  <c r="Q177" i="5"/>
  <c r="R177" i="5" s="1"/>
  <c r="Q171" i="5"/>
  <c r="R171" i="5" s="1"/>
  <c r="Q101" i="5"/>
  <c r="R101" i="5" s="1"/>
  <c r="Q299" i="5"/>
  <c r="Q253" i="5"/>
  <c r="R253" i="5" s="1"/>
  <c r="Q320" i="5"/>
  <c r="S320" i="5" s="1"/>
  <c r="Q267" i="5"/>
  <c r="R267" i="5" s="1"/>
  <c r="Q317" i="5"/>
  <c r="R317" i="5" s="1"/>
  <c r="Q289" i="5"/>
  <c r="S289" i="5" s="1"/>
  <c r="Q396" i="5"/>
  <c r="S396" i="5" s="1"/>
  <c r="Q13" i="5"/>
  <c r="S13" i="5" s="1"/>
  <c r="Q23" i="5"/>
  <c r="R23" i="5" s="1"/>
  <c r="Q67" i="5"/>
  <c r="R67" i="5" s="1"/>
  <c r="Q71" i="5"/>
  <c r="R71" i="5" s="1"/>
  <c r="Q103" i="5"/>
  <c r="S103" i="5" s="1"/>
  <c r="Q98" i="5"/>
  <c r="R98" i="5" s="1"/>
  <c r="Q124" i="5"/>
  <c r="S124" i="5" s="1"/>
  <c r="Q130" i="5"/>
  <c r="S130" i="5" s="1"/>
  <c r="Q181" i="5"/>
  <c r="S181" i="5" s="1"/>
  <c r="Q210" i="5"/>
  <c r="R210" i="5" s="1"/>
  <c r="Q231" i="5"/>
  <c r="R231" i="5" s="1"/>
  <c r="Q302" i="5"/>
  <c r="R302" i="5" s="1"/>
  <c r="Q285" i="5"/>
  <c r="R285" i="5" s="1"/>
  <c r="Q243" i="5"/>
  <c r="S243" i="5" s="1"/>
  <c r="Q319" i="5"/>
  <c r="R319" i="5" s="1"/>
  <c r="Q356" i="5"/>
  <c r="S356" i="5" s="1"/>
  <c r="Q441" i="5"/>
  <c r="R441" i="5" s="1"/>
  <c r="Q365" i="5"/>
  <c r="S365" i="5" s="1"/>
  <c r="Q322" i="5"/>
  <c r="S322" i="5" s="1"/>
  <c r="Q398" i="5"/>
  <c r="R398" i="5" s="1"/>
  <c r="Q433" i="5"/>
  <c r="S433" i="5" s="1"/>
  <c r="Q485" i="5"/>
  <c r="R485" i="5" s="1"/>
  <c r="Q560" i="5"/>
  <c r="S560" i="5" s="1"/>
  <c r="Q543" i="5"/>
  <c r="R543" i="5" s="1"/>
  <c r="Q495" i="5"/>
  <c r="S495" i="5" s="1"/>
  <c r="Q523" i="5"/>
  <c r="S523" i="5" s="1"/>
  <c r="Q405" i="5"/>
  <c r="R405" i="5" s="1"/>
  <c r="Q308" i="5"/>
  <c r="S308" i="5" s="1"/>
  <c r="Q309" i="5"/>
  <c r="S309" i="5" s="1"/>
  <c r="Q313" i="5"/>
  <c r="S313" i="5" s="1"/>
  <c r="Q236" i="5"/>
  <c r="R236" i="5" s="1"/>
  <c r="Q112" i="5"/>
  <c r="R112" i="5" s="1"/>
  <c r="Q79" i="5"/>
  <c r="S79" i="5" s="1"/>
  <c r="Q10" i="5"/>
  <c r="R10" i="5" s="1"/>
  <c r="Q427" i="5"/>
  <c r="R427" i="5" s="1"/>
  <c r="Q507" i="5"/>
  <c r="S507" i="5" s="1"/>
  <c r="Q491" i="5"/>
  <c r="R491" i="5" s="1"/>
  <c r="Q535" i="5"/>
  <c r="R535" i="5" s="1"/>
  <c r="Q444" i="5"/>
  <c r="R444" i="5" s="1"/>
  <c r="Q488" i="5"/>
  <c r="R488" i="5" s="1"/>
  <c r="Q420" i="5"/>
  <c r="R420" i="5" s="1"/>
  <c r="Q511" i="5"/>
  <c r="R511" i="5" s="1"/>
  <c r="Q453" i="5"/>
  <c r="R453" i="5" s="1"/>
  <c r="Q377" i="5"/>
  <c r="Q392" i="5"/>
  <c r="R392" i="5" s="1"/>
  <c r="Q442" i="5"/>
  <c r="R442" i="5" s="1"/>
  <c r="Q273" i="5"/>
  <c r="R273" i="5" s="1"/>
  <c r="Q275" i="5"/>
  <c r="R275" i="5" s="1"/>
  <c r="Q290" i="5"/>
  <c r="S290" i="5" s="1"/>
  <c r="Q269" i="5"/>
  <c r="S269" i="5" s="1"/>
  <c r="P289" i="5"/>
  <c r="P80" i="5"/>
  <c r="P123" i="5"/>
  <c r="P247" i="5"/>
  <c r="AC247" i="5" s="1"/>
  <c r="AS247" i="5" s="1"/>
  <c r="Q479" i="5"/>
  <c r="R479" i="5" s="1"/>
  <c r="Q361" i="5"/>
  <c r="P260" i="5"/>
  <c r="AC260" i="5" s="1"/>
  <c r="AS260" i="5" s="1"/>
  <c r="AU260" i="5" s="1"/>
  <c r="P28" i="5"/>
  <c r="P8" i="5"/>
  <c r="P32" i="5"/>
  <c r="P95" i="5"/>
  <c r="P550" i="5"/>
  <c r="P163" i="5"/>
  <c r="P217" i="5"/>
  <c r="P108" i="5"/>
  <c r="P526" i="5"/>
  <c r="P237" i="5"/>
  <c r="P387" i="5"/>
  <c r="P430" i="5"/>
  <c r="P271" i="5"/>
  <c r="P141" i="5"/>
  <c r="P11" i="5"/>
  <c r="P233" i="5"/>
  <c r="P45" i="5"/>
  <c r="P97" i="5"/>
  <c r="P419" i="5"/>
  <c r="P540" i="5"/>
  <c r="P469" i="5"/>
  <c r="P313" i="5"/>
  <c r="P376" i="5"/>
  <c r="Q524" i="5"/>
  <c r="R524" i="5" s="1"/>
  <c r="Q46" i="5"/>
  <c r="S46" i="5" s="1"/>
  <c r="Q199" i="5"/>
  <c r="R199" i="5" s="1"/>
  <c r="Q332" i="5"/>
  <c r="R332" i="5" s="1"/>
  <c r="Q425" i="5"/>
  <c r="S425" i="5" s="1"/>
  <c r="Q538" i="5"/>
  <c r="R538" i="5" s="1"/>
  <c r="Q326" i="5"/>
  <c r="S326" i="5" s="1"/>
  <c r="Q359" i="5"/>
  <c r="S359" i="5" s="1"/>
  <c r="Q559" i="5"/>
  <c r="R559" i="5" s="1"/>
  <c r="P276" i="5"/>
  <c r="P249" i="5"/>
  <c r="P101" i="5"/>
  <c r="P142" i="5"/>
  <c r="AC142" i="5" s="1"/>
  <c r="AS142" i="5" s="1"/>
  <c r="P171" i="5"/>
  <c r="P20" i="5"/>
  <c r="P418" i="5"/>
  <c r="P404" i="5"/>
  <c r="AC404" i="5" s="1"/>
  <c r="AD404" i="5" s="1"/>
  <c r="P393" i="5"/>
  <c r="P116" i="5"/>
  <c r="P482" i="5"/>
  <c r="P211" i="5"/>
  <c r="P477" i="5"/>
  <c r="P124" i="5"/>
  <c r="AC124" i="5" s="1"/>
  <c r="AD124" i="5" s="1"/>
  <c r="P366" i="5"/>
  <c r="P434" i="5"/>
  <c r="P236" i="5"/>
  <c r="P284" i="5"/>
  <c r="P206" i="5"/>
  <c r="P422" i="5"/>
  <c r="P270" i="5"/>
  <c r="P223" i="5"/>
  <c r="P190" i="5"/>
  <c r="P115" i="5"/>
  <c r="P64" i="5"/>
  <c r="AC64" i="5" s="1"/>
  <c r="AE64" i="5" s="1"/>
  <c r="P167" i="5"/>
  <c r="P100" i="5"/>
  <c r="P36" i="5"/>
  <c r="AC36" i="5" s="1"/>
  <c r="AD36" i="5" s="1"/>
  <c r="P131" i="5"/>
  <c r="P21" i="5"/>
  <c r="P451" i="5"/>
  <c r="P316" i="5"/>
  <c r="P275" i="5"/>
  <c r="P29" i="5"/>
  <c r="P508" i="5"/>
  <c r="AC508" i="5" s="1"/>
  <c r="AS508" i="5" s="1"/>
  <c r="P343" i="5"/>
  <c r="P37" i="5"/>
  <c r="AC37" i="5" s="1"/>
  <c r="AE37" i="5" s="1"/>
  <c r="P340" i="5"/>
  <c r="P442" i="5"/>
  <c r="P530" i="5"/>
  <c r="P556" i="5"/>
  <c r="P218" i="5"/>
  <c r="P381" i="5"/>
  <c r="P302" i="5"/>
  <c r="P363" i="5"/>
  <c r="P272" i="5"/>
  <c r="P208" i="5"/>
  <c r="P127" i="5"/>
  <c r="P105" i="5"/>
  <c r="P50" i="5"/>
  <c r="P170" i="5"/>
  <c r="P92" i="5"/>
  <c r="P246" i="5"/>
  <c r="P152" i="5"/>
  <c r="AC152" i="5" s="1"/>
  <c r="AS152" i="5" s="1"/>
  <c r="AU152" i="5" s="1"/>
  <c r="P66" i="5"/>
  <c r="P440" i="5"/>
  <c r="P216" i="5"/>
  <c r="P262" i="5"/>
  <c r="P168" i="5"/>
  <c r="P443" i="5"/>
  <c r="P334" i="5"/>
  <c r="P555" i="5"/>
  <c r="P263" i="5"/>
  <c r="P506" i="5"/>
  <c r="P517" i="5"/>
  <c r="P453" i="5"/>
  <c r="AC453" i="5" s="1"/>
  <c r="AE453" i="5" s="1"/>
  <c r="P226" i="5"/>
  <c r="P345" i="5"/>
  <c r="Q505" i="5"/>
  <c r="S505" i="5" s="1"/>
  <c r="Q159" i="5"/>
  <c r="S159" i="5" s="1"/>
  <c r="Q291" i="5"/>
  <c r="S291" i="5" s="1"/>
  <c r="Q249" i="5"/>
  <c r="R249" i="5" s="1"/>
  <c r="Q517" i="5"/>
  <c r="R517" i="5" s="1"/>
  <c r="Q537" i="5"/>
  <c r="R537" i="5" s="1"/>
  <c r="Q56" i="5"/>
  <c r="S56" i="5" s="1"/>
  <c r="Q376" i="5"/>
  <c r="S376" i="5" s="1"/>
  <c r="Q551" i="5"/>
  <c r="R551" i="5" s="1"/>
  <c r="Q513" i="5"/>
  <c r="S513" i="5" s="1"/>
  <c r="Q539" i="5"/>
  <c r="R539" i="5" s="1"/>
  <c r="Q344" i="5"/>
  <c r="R344" i="5" s="1"/>
  <c r="Q419" i="5"/>
  <c r="R419" i="5" s="1"/>
  <c r="Q191" i="5"/>
  <c r="R191" i="5" s="1"/>
  <c r="Q158" i="5"/>
  <c r="R158" i="5" s="1"/>
  <c r="Q134" i="5"/>
  <c r="S134" i="5" s="1"/>
  <c r="Q55" i="5"/>
  <c r="R55" i="5" s="1"/>
  <c r="Q480" i="5"/>
  <c r="S480" i="5" s="1"/>
  <c r="Q218" i="5"/>
  <c r="R218" i="5" s="1"/>
  <c r="Q164" i="5"/>
  <c r="S164" i="5" s="1"/>
  <c r="Q224" i="5"/>
  <c r="S224" i="5" s="1"/>
  <c r="Q468" i="5"/>
  <c r="S468" i="5" s="1"/>
  <c r="Q88" i="5"/>
  <c r="R88" i="5" s="1"/>
  <c r="Q197" i="5"/>
  <c r="S197" i="5" s="1"/>
  <c r="Q409" i="5"/>
  <c r="S409" i="5" s="1"/>
  <c r="Q20" i="5"/>
  <c r="R20" i="5" s="1"/>
  <c r="Q301" i="5"/>
  <c r="S301" i="5" s="1"/>
  <c r="Q364" i="5"/>
  <c r="S364" i="5" s="1"/>
  <c r="P335" i="5"/>
  <c r="P424" i="5"/>
  <c r="P290" i="5"/>
  <c r="P89" i="5"/>
  <c r="P265" i="5"/>
  <c r="AC265" i="5" s="1"/>
  <c r="AD265" i="5" s="1"/>
  <c r="P325" i="5"/>
  <c r="P375" i="5"/>
  <c r="P515" i="5"/>
  <c r="P523" i="5"/>
  <c r="AC523" i="5" s="1"/>
  <c r="AE523" i="5" s="1"/>
  <c r="P78" i="5"/>
  <c r="P267" i="5"/>
  <c r="P427" i="5"/>
  <c r="P411" i="5"/>
  <c r="P522" i="5"/>
  <c r="P539" i="5"/>
  <c r="AC539" i="5" s="1"/>
  <c r="P471" i="5"/>
  <c r="P201" i="5"/>
  <c r="P125" i="5"/>
  <c r="P547" i="5"/>
  <c r="P414" i="5"/>
  <c r="P183" i="5"/>
  <c r="P538" i="5"/>
  <c r="P344" i="5"/>
  <c r="P154" i="5"/>
  <c r="P121" i="5"/>
  <c r="AC121" i="5" s="1"/>
  <c r="AD121" i="5" s="1"/>
  <c r="P198" i="5"/>
  <c r="P388" i="5"/>
  <c r="P299" i="5"/>
  <c r="P389" i="5"/>
  <c r="AC389" i="5" s="1"/>
  <c r="AS389" i="5" s="1"/>
  <c r="P513" i="5"/>
  <c r="AC513" i="5" s="1"/>
  <c r="AE513" i="5" s="1"/>
  <c r="P58" i="5"/>
  <c r="P148" i="5"/>
  <c r="P239" i="5"/>
  <c r="P297" i="5"/>
  <c r="AC297" i="5" s="1"/>
  <c r="AE297" i="5" s="1"/>
  <c r="P408" i="5"/>
  <c r="P416" i="5"/>
  <c r="P436" i="5"/>
  <c r="P497" i="5"/>
  <c r="AC497" i="5" s="1"/>
  <c r="AD497" i="5" s="1"/>
  <c r="P525" i="5"/>
  <c r="P521" i="5"/>
  <c r="P536" i="5"/>
  <c r="P120" i="5"/>
  <c r="P44" i="5"/>
  <c r="P132" i="5"/>
  <c r="P230" i="5"/>
  <c r="P261" i="5"/>
  <c r="P329" i="5"/>
  <c r="P323" i="5"/>
  <c r="AC323" i="5" s="1"/>
  <c r="AD323" i="5" s="1"/>
  <c r="P435" i="5"/>
  <c r="P398" i="5"/>
  <c r="P346" i="5"/>
  <c r="P396" i="5"/>
  <c r="P514" i="5"/>
  <c r="P484" i="5"/>
  <c r="P466" i="5"/>
  <c r="P454" i="5"/>
  <c r="P43" i="5"/>
  <c r="P57" i="5"/>
  <c r="P83" i="5"/>
  <c r="P140" i="5"/>
  <c r="P151" i="5"/>
  <c r="P147" i="5"/>
  <c r="P221" i="5"/>
  <c r="P24" i="5"/>
  <c r="P67" i="5"/>
  <c r="P107" i="5"/>
  <c r="P111" i="5"/>
  <c r="P185" i="5"/>
  <c r="P186" i="5"/>
  <c r="AC186" i="5" s="1"/>
  <c r="AE186" i="5" s="1"/>
  <c r="P252" i="5"/>
  <c r="P13" i="5"/>
  <c r="P40" i="5"/>
  <c r="P60" i="5"/>
  <c r="P77" i="5"/>
  <c r="P96" i="5"/>
  <c r="P128" i="5"/>
  <c r="P133" i="5"/>
  <c r="P74" i="5"/>
  <c r="AC74" i="5" s="1"/>
  <c r="AD74" i="5" s="1"/>
  <c r="P165" i="5"/>
  <c r="P225" i="5"/>
  <c r="P222" i="5"/>
  <c r="P243" i="5"/>
  <c r="P112" i="5"/>
  <c r="P309" i="5"/>
  <c r="AC309" i="5" s="1"/>
  <c r="P308" i="5"/>
  <c r="P483" i="5"/>
  <c r="P283" i="5"/>
  <c r="P545" i="5"/>
  <c r="P192" i="5"/>
  <c r="P294" i="5"/>
  <c r="P367" i="5"/>
  <c r="P534" i="5"/>
  <c r="AC534" i="5" s="1"/>
  <c r="AD534" i="5" s="1"/>
  <c r="P504" i="5"/>
  <c r="P546" i="5"/>
  <c r="P150" i="5"/>
  <c r="P304" i="5"/>
  <c r="P374" i="5"/>
  <c r="P380" i="5"/>
  <c r="P350" i="5"/>
  <c r="AC350" i="5" s="1"/>
  <c r="AE350" i="5" s="1"/>
  <c r="P529" i="5"/>
  <c r="P423" i="5"/>
  <c r="P282" i="5"/>
  <c r="P25" i="5"/>
  <c r="P479" i="5"/>
  <c r="P355" i="5"/>
  <c r="P551" i="5"/>
  <c r="P476" i="5"/>
  <c r="P402" i="5"/>
  <c r="P52" i="5"/>
  <c r="P214" i="5"/>
  <c r="AC214" i="5" s="1"/>
  <c r="AS214" i="5" s="1"/>
  <c r="AT214" i="5" s="1"/>
  <c r="P315" i="5"/>
  <c r="AC315" i="5" s="1"/>
  <c r="AE315" i="5" s="1"/>
  <c r="P417" i="5"/>
  <c r="P378" i="5"/>
  <c r="P445" i="5"/>
  <c r="AC445" i="5" s="1"/>
  <c r="AE445" i="5" s="1"/>
  <c r="P441" i="5"/>
  <c r="P91" i="5"/>
  <c r="P160" i="5"/>
  <c r="P259" i="5"/>
  <c r="P306" i="5"/>
  <c r="P288" i="5"/>
  <c r="P258" i="5"/>
  <c r="P486" i="5"/>
  <c r="P371" i="5"/>
  <c r="P461" i="5"/>
  <c r="P496" i="5"/>
  <c r="P23" i="5"/>
  <c r="P110" i="5"/>
  <c r="P72" i="5"/>
  <c r="AC72" i="5" s="1"/>
  <c r="AD72" i="5" s="1"/>
  <c r="P166" i="5"/>
  <c r="P202" i="5"/>
  <c r="P307" i="5"/>
  <c r="P268" i="5"/>
  <c r="P354" i="5"/>
  <c r="P331" i="5"/>
  <c r="P412" i="5"/>
  <c r="AC412" i="5" s="1"/>
  <c r="AS412" i="5" s="1"/>
  <c r="AT412" i="5" s="1"/>
  <c r="P360" i="5"/>
  <c r="P457" i="5"/>
  <c r="P372" i="5"/>
  <c r="P509" i="5"/>
  <c r="P507" i="5"/>
  <c r="P501" i="5"/>
  <c r="P336" i="5"/>
  <c r="P399" i="5"/>
  <c r="P361" i="5"/>
  <c r="P319" i="5"/>
  <c r="P303" i="5"/>
  <c r="P213" i="5"/>
  <c r="P240" i="5"/>
  <c r="P129" i="5"/>
  <c r="P59" i="5"/>
  <c r="AC59" i="5" s="1"/>
  <c r="AE59" i="5" s="1"/>
  <c r="P161" i="5"/>
  <c r="P84" i="5"/>
  <c r="P42" i="5"/>
  <c r="P30" i="5"/>
  <c r="P219" i="5"/>
  <c r="P136" i="5"/>
  <c r="P157" i="5"/>
  <c r="P93" i="5"/>
  <c r="P63" i="5"/>
  <c r="P189" i="5"/>
  <c r="P94" i="5"/>
  <c r="P159" i="5"/>
  <c r="P82" i="5"/>
  <c r="P54" i="5"/>
  <c r="P533" i="5"/>
  <c r="P450" i="5"/>
  <c r="P410" i="5"/>
  <c r="P368" i="5"/>
  <c r="P199" i="5"/>
  <c r="P227" i="5"/>
  <c r="P103" i="5"/>
  <c r="P87" i="5"/>
  <c r="P480" i="5"/>
  <c r="P386" i="5"/>
  <c r="P401" i="5"/>
  <c r="P277" i="5"/>
  <c r="AC277" i="5" s="1"/>
  <c r="AE277" i="5" s="1"/>
  <c r="P104" i="5"/>
  <c r="P478" i="5"/>
  <c r="P397" i="5"/>
  <c r="P281" i="5"/>
  <c r="P220" i="5"/>
  <c r="P528" i="5"/>
  <c r="AC528" i="5" s="1"/>
  <c r="AS528" i="5" s="1"/>
  <c r="AT528" i="5" s="1"/>
  <c r="P364" i="5"/>
  <c r="P173" i="5"/>
  <c r="P464" i="5"/>
  <c r="P518" i="5"/>
  <c r="P392" i="5"/>
  <c r="P34" i="5"/>
  <c r="AC34" i="5" s="1"/>
  <c r="AD34" i="5" s="1"/>
  <c r="P432" i="5"/>
  <c r="P373" i="5"/>
  <c r="P68" i="5"/>
  <c r="P429" i="5"/>
  <c r="P266" i="5"/>
  <c r="P382" i="5"/>
  <c r="P342" i="5"/>
  <c r="P287" i="5"/>
  <c r="P293" i="5"/>
  <c r="P234" i="5"/>
  <c r="P169" i="5"/>
  <c r="P178" i="5"/>
  <c r="P144" i="5"/>
  <c r="P109" i="5"/>
  <c r="P90" i="5"/>
  <c r="P61" i="5"/>
  <c r="P22" i="5"/>
  <c r="P10" i="5"/>
  <c r="P194" i="5"/>
  <c r="P118" i="5"/>
  <c r="P138" i="5"/>
  <c r="P76" i="5"/>
  <c r="P33" i="5"/>
  <c r="P187" i="5"/>
  <c r="AC187" i="5" s="1"/>
  <c r="AD187" i="5" s="1"/>
  <c r="P175" i="5"/>
  <c r="P114" i="5"/>
  <c r="P75" i="5"/>
  <c r="P35" i="5"/>
  <c r="P516" i="5"/>
  <c r="P407" i="5"/>
  <c r="P390" i="5"/>
  <c r="P347" i="5"/>
  <c r="P295" i="5"/>
  <c r="P212" i="5"/>
  <c r="P31" i="5"/>
  <c r="P71" i="5"/>
  <c r="P543" i="5"/>
  <c r="P520" i="5"/>
  <c r="P338" i="5"/>
  <c r="P200" i="5"/>
  <c r="P70" i="5"/>
  <c r="P494" i="5"/>
  <c r="P370" i="5"/>
  <c r="P197" i="5"/>
  <c r="P317" i="5"/>
  <c r="P554" i="5"/>
  <c r="P446" i="5"/>
  <c r="P274" i="5"/>
  <c r="P559" i="5"/>
  <c r="P449" i="5"/>
  <c r="P279" i="5"/>
  <c r="P19" i="5"/>
  <c r="P444" i="5"/>
  <c r="P322" i="5"/>
  <c r="AC322" i="5" s="1"/>
  <c r="AD322" i="5" s="1"/>
  <c r="P420" i="5"/>
  <c r="P143" i="5"/>
  <c r="P244" i="5"/>
  <c r="P548" i="5"/>
  <c r="P395" i="5"/>
  <c r="P542" i="5"/>
  <c r="P475" i="5"/>
  <c r="P38" i="5"/>
  <c r="P365" i="5"/>
  <c r="P182" i="5"/>
  <c r="P251" i="5"/>
  <c r="P257" i="5"/>
  <c r="P425" i="5"/>
  <c r="P241" i="5"/>
  <c r="P452" i="5"/>
  <c r="P502" i="5"/>
  <c r="P558" i="5"/>
  <c r="P535" i="5"/>
  <c r="P433" i="5"/>
  <c r="P69" i="5"/>
  <c r="P210" i="5"/>
  <c r="P310" i="5"/>
  <c r="P332" i="5"/>
  <c r="P328" i="5"/>
  <c r="P359" i="5"/>
  <c r="P495" i="5"/>
  <c r="P447" i="5"/>
  <c r="AC447" i="5" s="1"/>
  <c r="AS447" i="5" s="1"/>
  <c r="AT447" i="5" s="1"/>
  <c r="P527" i="5"/>
  <c r="P473" i="5"/>
  <c r="P541" i="5"/>
  <c r="P499" i="5"/>
  <c r="P400" i="5"/>
  <c r="P349" i="5"/>
  <c r="P231" i="5"/>
  <c r="P512" i="5"/>
  <c r="AC512" i="5" s="1"/>
  <c r="AS512" i="5" s="1"/>
  <c r="AT512" i="5" s="1"/>
  <c r="P560" i="5"/>
  <c r="P531" i="5"/>
  <c r="P348" i="5"/>
  <c r="P188" i="5"/>
  <c r="P85" i="5"/>
  <c r="P485" i="5"/>
  <c r="P458" i="5"/>
  <c r="AC458" i="5" s="1"/>
  <c r="AE458" i="5" s="1"/>
  <c r="P362" i="5"/>
  <c r="AC362" i="5" s="1"/>
  <c r="P351" i="5"/>
  <c r="P248" i="5"/>
  <c r="P79" i="5"/>
  <c r="P191" i="5"/>
  <c r="P229" i="5"/>
  <c r="P280" i="5"/>
  <c r="P353" i="5"/>
  <c r="P256" i="5"/>
  <c r="P421" i="5"/>
  <c r="P403" i="5"/>
  <c r="P510" i="5"/>
  <c r="P409" i="5"/>
  <c r="P544" i="5"/>
  <c r="P474" i="5"/>
  <c r="P86" i="5"/>
  <c r="P119" i="5"/>
  <c r="P203" i="5"/>
  <c r="P215" i="5"/>
  <c r="P321" i="5"/>
  <c r="P324" i="5"/>
  <c r="P238" i="5"/>
  <c r="P426" i="5"/>
  <c r="P377" i="5"/>
  <c r="P333" i="5"/>
  <c r="P250" i="5"/>
  <c r="P492" i="5"/>
  <c r="P465" i="5"/>
  <c r="P459" i="5"/>
  <c r="P549" i="5"/>
  <c r="P428" i="5"/>
  <c r="P456" i="5"/>
  <c r="P431" i="5"/>
  <c r="P46" i="5"/>
  <c r="P98" i="5"/>
  <c r="P180" i="5"/>
  <c r="P26" i="5"/>
  <c r="P99" i="5"/>
  <c r="P137" i="5"/>
  <c r="P181" i="5"/>
  <c r="P224" i="5"/>
  <c r="P232" i="5"/>
  <c r="P330" i="5"/>
  <c r="P312" i="5"/>
  <c r="P318" i="5"/>
  <c r="B94" i="2"/>
  <c r="B102" i="2" s="1"/>
  <c r="B103" i="2" s="1"/>
  <c r="P311" i="5"/>
  <c r="P413" i="5"/>
  <c r="P341" i="5"/>
  <c r="P327" i="5"/>
  <c r="P254" i="5"/>
  <c r="P278" i="5"/>
  <c r="P320" i="5"/>
  <c r="P253" i="5"/>
  <c r="P134" i="5"/>
  <c r="P174" i="5"/>
  <c r="P207" i="5"/>
  <c r="P177" i="5"/>
  <c r="P164" i="5"/>
  <c r="P162" i="5"/>
  <c r="P117" i="5"/>
  <c r="P146" i="5"/>
  <c r="AC146" i="5" s="1"/>
  <c r="AS146" i="5" s="1"/>
  <c r="AT146" i="5" s="1"/>
  <c r="P81" i="5"/>
  <c r="P88" i="5"/>
  <c r="P62" i="5"/>
  <c r="P73" i="5"/>
  <c r="P41" i="5"/>
  <c r="P9" i="5"/>
  <c r="P12" i="5"/>
  <c r="P204" i="5"/>
  <c r="P184" i="5"/>
  <c r="P126" i="5"/>
  <c r="AC126" i="5" s="1"/>
  <c r="AS126" i="5" s="1"/>
  <c r="P172" i="5"/>
  <c r="P145" i="5"/>
  <c r="P106" i="5"/>
  <c r="P51" i="5"/>
  <c r="P65" i="5"/>
  <c r="P48" i="5"/>
  <c r="P156" i="5"/>
  <c r="P196" i="5"/>
  <c r="P176" i="5"/>
  <c r="P155" i="5"/>
  <c r="P122" i="5"/>
  <c r="P102" i="5"/>
  <c r="P56" i="5"/>
  <c r="P47" i="5"/>
  <c r="P27" i="5"/>
  <c r="P553" i="5"/>
  <c r="P552" i="5"/>
  <c r="P491" i="5"/>
  <c r="P385" i="5"/>
  <c r="P439" i="5"/>
  <c r="P493" i="5"/>
  <c r="P438" i="5"/>
  <c r="P369" i="5"/>
  <c r="P269" i="5"/>
  <c r="P384" i="5"/>
  <c r="P291" i="5"/>
  <c r="P383" i="5"/>
  <c r="P337" i="5"/>
  <c r="P286" i="5"/>
  <c r="P296" i="5"/>
  <c r="P242" i="5"/>
  <c r="P113" i="5"/>
  <c r="P149" i="5"/>
  <c r="P53" i="5"/>
  <c r="P135" i="5"/>
  <c r="P39" i="5"/>
  <c r="P468" i="5"/>
  <c r="P537" i="5"/>
  <c r="P511" i="5"/>
  <c r="P481" i="5"/>
  <c r="P437" i="5"/>
  <c r="P467" i="5"/>
  <c r="P357" i="5"/>
  <c r="P358" i="5"/>
  <c r="P379" i="5"/>
  <c r="P273" i="5"/>
  <c r="P298" i="5"/>
  <c r="P209" i="5"/>
  <c r="P158" i="5"/>
  <c r="P49" i="5"/>
  <c r="P524" i="5"/>
  <c r="P448" i="5"/>
  <c r="P489" i="5"/>
  <c r="P352" i="5"/>
  <c r="P339" i="5"/>
  <c r="P314" i="5"/>
  <c r="P305" i="5"/>
  <c r="P228" i="5"/>
  <c r="P55" i="5"/>
  <c r="P326" i="5"/>
  <c r="P415" i="5"/>
  <c r="P532" i="5"/>
  <c r="P462" i="5"/>
  <c r="P245" i="5"/>
  <c r="AC245" i="5" s="1"/>
  <c r="P235" i="5"/>
  <c r="P460" i="5"/>
  <c r="P557" i="5"/>
  <c r="P285" i="5"/>
  <c r="P394" i="5"/>
  <c r="P356" i="5"/>
  <c r="P391" i="5"/>
  <c r="P503" i="5"/>
  <c r="P498" i="5"/>
  <c r="AC498" i="5" s="1"/>
  <c r="AS498" i="5" s="1"/>
  <c r="AU498" i="5" s="1"/>
  <c r="P470" i="5"/>
  <c r="P406" i="5"/>
  <c r="P292" i="5"/>
  <c r="P255" i="5"/>
  <c r="P153" i="5"/>
  <c r="P519" i="5"/>
  <c r="P500" i="5"/>
  <c r="P472" i="5"/>
  <c r="P490" i="5"/>
  <c r="P405" i="5"/>
  <c r="P264" i="5"/>
  <c r="P300" i="5"/>
  <c r="P130" i="5"/>
  <c r="P505" i="5"/>
  <c r="P487" i="5"/>
  <c r="AC487" i="5" s="1"/>
  <c r="AD487" i="5" s="1"/>
  <c r="P301" i="5"/>
  <c r="P193" i="5"/>
  <c r="B189" i="2"/>
  <c r="B252" i="2" s="1"/>
  <c r="S508" i="5"/>
  <c r="Y59" i="5"/>
  <c r="AA10" i="5"/>
  <c r="X7" i="5"/>
  <c r="Y7" i="5"/>
  <c r="AB7" i="5"/>
  <c r="AA7" i="5"/>
  <c r="Z134" i="4"/>
  <c r="Z71" i="4"/>
  <c r="Z125" i="4"/>
  <c r="Z103" i="4"/>
  <c r="Z93" i="4"/>
  <c r="Z51" i="4"/>
  <c r="Z119" i="4"/>
  <c r="Z115" i="4"/>
  <c r="Z80" i="4"/>
  <c r="Z63" i="4"/>
  <c r="Z28" i="4"/>
  <c r="Z121" i="4"/>
  <c r="Z12" i="4"/>
  <c r="Z27" i="4"/>
  <c r="Z43" i="4"/>
  <c r="Z151" i="4"/>
  <c r="Z127" i="4"/>
  <c r="Z14" i="4"/>
  <c r="Z144" i="4"/>
  <c r="Z11" i="4"/>
  <c r="Z23" i="4"/>
  <c r="Z70" i="4"/>
  <c r="Z36" i="4"/>
  <c r="Z53" i="4"/>
  <c r="Z8" i="4"/>
  <c r="Z35" i="4"/>
  <c r="Z22" i="4"/>
  <c r="Z38" i="4"/>
  <c r="Z78" i="4"/>
  <c r="Z148" i="4"/>
  <c r="Z44" i="4"/>
  <c r="Z141" i="4"/>
  <c r="Z48" i="4"/>
  <c r="Z42" i="4"/>
  <c r="Z101" i="4"/>
  <c r="Z73" i="4"/>
  <c r="Z138" i="4"/>
  <c r="Z86" i="4"/>
  <c r="Z77" i="4"/>
  <c r="X434" i="5"/>
  <c r="X223" i="5"/>
  <c r="X64" i="5"/>
  <c r="X551" i="5"/>
  <c r="Y486" i="5"/>
  <c r="X525" i="5"/>
  <c r="Y154" i="5"/>
  <c r="X515" i="5"/>
  <c r="Y206" i="5"/>
  <c r="Y514" i="5"/>
  <c r="Y266" i="5"/>
  <c r="Y29" i="5"/>
  <c r="Y87" i="5"/>
  <c r="Y252" i="5"/>
  <c r="Y415" i="5"/>
  <c r="X427" i="5"/>
  <c r="Y373" i="5"/>
  <c r="Y216" i="5"/>
  <c r="Y281" i="5"/>
  <c r="X475" i="5"/>
  <c r="X448" i="5"/>
  <c r="Y380" i="5"/>
  <c r="Y396" i="5"/>
  <c r="X560" i="5"/>
  <c r="X557" i="5"/>
  <c r="Y555" i="5"/>
  <c r="Y45" i="5"/>
  <c r="X58" i="5"/>
  <c r="X310" i="5"/>
  <c r="Y337" i="5"/>
  <c r="Y200" i="5"/>
  <c r="X455" i="5"/>
  <c r="X552" i="5"/>
  <c r="Y235" i="5"/>
  <c r="X548" i="5"/>
  <c r="X152" i="5"/>
  <c r="X44" i="5"/>
  <c r="X202" i="5"/>
  <c r="Y410" i="5"/>
  <c r="X540" i="5"/>
  <c r="X125" i="5"/>
  <c r="X160" i="5"/>
  <c r="Y255" i="5"/>
  <c r="Y307" i="5"/>
  <c r="Y318" i="5"/>
  <c r="X528" i="5"/>
  <c r="X547" i="5"/>
  <c r="Y143" i="5"/>
  <c r="X315" i="5"/>
  <c r="Y268" i="5"/>
  <c r="Y343" i="5"/>
  <c r="Y376" i="5"/>
  <c r="Y353" i="5"/>
  <c r="Y365" i="5"/>
  <c r="Y72" i="5"/>
  <c r="Y134" i="5"/>
  <c r="X329" i="5"/>
  <c r="X335" i="5"/>
  <c r="Y186" i="5"/>
  <c r="X546" i="5"/>
  <c r="X27" i="5"/>
  <c r="X508" i="5"/>
  <c r="X472" i="5"/>
  <c r="Y379" i="5"/>
  <c r="Y239" i="5"/>
  <c r="Y467" i="5"/>
  <c r="Y253" i="5"/>
  <c r="Y444" i="5"/>
  <c r="X541" i="5"/>
  <c r="X488" i="5"/>
  <c r="Y440" i="5"/>
  <c r="Y531" i="5"/>
  <c r="AB257" i="5"/>
  <c r="X320" i="5"/>
  <c r="Y107" i="5"/>
  <c r="X498" i="5"/>
  <c r="X484" i="5"/>
  <c r="X115" i="5"/>
  <c r="X301" i="5"/>
  <c r="Y190" i="5"/>
  <c r="X214" i="5"/>
  <c r="X375" i="5"/>
  <c r="X559" i="5"/>
  <c r="AB536" i="5"/>
  <c r="X398" i="5"/>
  <c r="Y339" i="5"/>
  <c r="X536" i="5"/>
  <c r="Y524" i="5"/>
  <c r="Y554" i="5"/>
  <c r="Y99" i="5"/>
  <c r="Y332" i="5"/>
  <c r="Y446" i="5"/>
  <c r="AA241" i="5"/>
  <c r="X132" i="5"/>
  <c r="X243" i="5"/>
  <c r="Y346" i="5"/>
  <c r="Y236" i="5"/>
  <c r="X462" i="5"/>
  <c r="Y181" i="5"/>
  <c r="AA495" i="5"/>
  <c r="X378" i="5"/>
  <c r="Y402" i="5"/>
  <c r="X102" i="5"/>
  <c r="Y158" i="5"/>
  <c r="Y97" i="5"/>
  <c r="X194" i="5"/>
  <c r="X231" i="5"/>
  <c r="Y251" i="5"/>
  <c r="X259" i="5"/>
  <c r="Y361" i="5"/>
  <c r="Y411" i="5"/>
  <c r="X438" i="5"/>
  <c r="Y523" i="5"/>
  <c r="Y500" i="5"/>
  <c r="Y530" i="5"/>
  <c r="Y70" i="5"/>
  <c r="X305" i="5"/>
  <c r="Y407" i="5"/>
  <c r="Y430" i="5"/>
  <c r="X491" i="5"/>
  <c r="X453" i="5"/>
  <c r="Y544" i="5"/>
  <c r="X533" i="5"/>
  <c r="X128" i="5"/>
  <c r="X248" i="5"/>
  <c r="X238" i="5"/>
  <c r="Y308" i="5"/>
  <c r="X328" i="5"/>
  <c r="Y357" i="5"/>
  <c r="Y217" i="5"/>
  <c r="Y456" i="5"/>
  <c r="Y492" i="5"/>
  <c r="AB475" i="5"/>
  <c r="Y421" i="5"/>
  <c r="Y503" i="5"/>
  <c r="X451" i="5"/>
  <c r="X537" i="5"/>
  <c r="X273" i="5"/>
  <c r="X404" i="5"/>
  <c r="Y558" i="5"/>
  <c r="Y385" i="5"/>
  <c r="AB96" i="5"/>
  <c r="Y126" i="5"/>
  <c r="Y277" i="5"/>
  <c r="Y284" i="5"/>
  <c r="Y485" i="5"/>
  <c r="X35" i="5"/>
  <c r="X177" i="5"/>
  <c r="X351" i="5"/>
  <c r="X285" i="5"/>
  <c r="X535" i="5"/>
  <c r="Y502" i="5"/>
  <c r="X534" i="5"/>
  <c r="AA199" i="5"/>
  <c r="X136" i="5"/>
  <c r="Y369" i="5"/>
  <c r="Y545" i="5"/>
  <c r="X474" i="5"/>
  <c r="AB211" i="5"/>
  <c r="AB547" i="5"/>
  <c r="Y41" i="5"/>
  <c r="Y196" i="5"/>
  <c r="X370" i="5"/>
  <c r="Y371" i="5"/>
  <c r="Y487" i="5"/>
  <c r="X441" i="5"/>
  <c r="X468" i="5"/>
  <c r="X549" i="5"/>
  <c r="Y386" i="5"/>
  <c r="X481" i="5"/>
  <c r="X123" i="5"/>
  <c r="Y429" i="5"/>
  <c r="X275" i="5"/>
  <c r="X499" i="5"/>
  <c r="X43" i="5"/>
  <c r="X40" i="5"/>
  <c r="X86" i="5"/>
  <c r="X137" i="5"/>
  <c r="Y246" i="5"/>
  <c r="Y211" i="5"/>
  <c r="Y213" i="5"/>
  <c r="Y345" i="5"/>
  <c r="Y395" i="5"/>
  <c r="X364" i="5"/>
  <c r="Y490" i="5"/>
  <c r="X447" i="5"/>
  <c r="X296" i="5"/>
  <c r="AB26" i="5"/>
  <c r="AA168" i="5"/>
  <c r="AA540" i="5"/>
  <c r="X387" i="5"/>
  <c r="X470" i="5"/>
  <c r="X509" i="5"/>
  <c r="X414" i="5"/>
  <c r="Y464" i="5"/>
  <c r="Y425" i="5"/>
  <c r="AB34" i="5"/>
  <c r="AA547" i="5"/>
  <c r="X96" i="5"/>
  <c r="X227" i="5"/>
  <c r="Y265" i="5"/>
  <c r="X292" i="5"/>
  <c r="Y450" i="5"/>
  <c r="X471" i="5"/>
  <c r="X261" i="5"/>
  <c r="Y418" i="5"/>
  <c r="Y518" i="5"/>
  <c r="X428" i="5"/>
  <c r="Y389" i="5"/>
  <c r="Y454" i="5"/>
  <c r="Y556" i="5"/>
  <c r="X360" i="5"/>
  <c r="X479" i="5"/>
  <c r="Y391" i="5"/>
  <c r="X495" i="5"/>
  <c r="Y76" i="5"/>
  <c r="X31" i="5"/>
  <c r="Y119" i="5"/>
  <c r="Y229" i="5"/>
  <c r="Y354" i="5"/>
  <c r="Y460" i="5"/>
  <c r="Y439" i="5"/>
  <c r="X195" i="5"/>
  <c r="X422" i="5"/>
  <c r="AB35" i="5"/>
  <c r="AA427" i="5"/>
  <c r="X226" i="5"/>
  <c r="X313" i="5"/>
  <c r="Y416" i="5"/>
  <c r="X420" i="5"/>
  <c r="Y423" i="5"/>
  <c r="Y527" i="5"/>
  <c r="X538" i="5"/>
  <c r="X19" i="5"/>
  <c r="AA475" i="5"/>
  <c r="X349" i="5"/>
  <c r="X449" i="5"/>
  <c r="Y436" i="5"/>
  <c r="Y493" i="5"/>
  <c r="Y452" i="5"/>
  <c r="X103" i="5"/>
  <c r="X496" i="5"/>
  <c r="Y417" i="5"/>
  <c r="X507" i="5"/>
  <c r="Y176" i="5"/>
  <c r="Y169" i="5"/>
  <c r="Y180" i="5"/>
  <c r="Y366" i="5"/>
  <c r="Y469" i="5"/>
  <c r="Y480" i="5"/>
  <c r="Y150" i="5"/>
  <c r="X207" i="5"/>
  <c r="X340" i="5"/>
  <c r="Y394" i="5"/>
  <c r="X553" i="5"/>
  <c r="Y397" i="5"/>
  <c r="X465" i="5"/>
  <c r="Y443" i="5"/>
  <c r="Y513" i="5"/>
  <c r="X532" i="5"/>
  <c r="Y147" i="5"/>
  <c r="Y267" i="5"/>
  <c r="Y506" i="5"/>
  <c r="AB19" i="5"/>
  <c r="X431" i="5"/>
  <c r="X435" i="5"/>
  <c r="X85" i="5"/>
  <c r="Y297" i="5"/>
  <c r="X69" i="5"/>
  <c r="X184" i="5"/>
  <c r="Y288" i="5"/>
  <c r="X390" i="5"/>
  <c r="Y466" i="5"/>
  <c r="Y388" i="5"/>
  <c r="X23" i="5"/>
  <c r="Y218" i="5"/>
  <c r="Y287" i="5"/>
  <c r="X289" i="5"/>
  <c r="Y298" i="5"/>
  <c r="X504" i="5"/>
  <c r="Y437" i="5"/>
  <c r="Y458" i="5"/>
  <c r="X458" i="5"/>
  <c r="Y476" i="5"/>
  <c r="X476" i="5"/>
  <c r="Y300" i="5"/>
  <c r="X300" i="5"/>
  <c r="X463" i="5"/>
  <c r="Y463" i="5"/>
  <c r="Y110" i="5"/>
  <c r="X110" i="5"/>
  <c r="X34" i="5"/>
  <c r="X401" i="5"/>
  <c r="Y401" i="5"/>
  <c r="X73" i="5"/>
  <c r="Y66" i="5"/>
  <c r="Y148" i="5"/>
  <c r="Y209" i="5"/>
  <c r="Y323" i="5"/>
  <c r="Y381" i="5"/>
  <c r="X512" i="5"/>
  <c r="X400" i="5"/>
  <c r="X516" i="5"/>
  <c r="X324" i="5"/>
  <c r="AA359" i="5"/>
  <c r="AB359" i="5"/>
  <c r="X49" i="5"/>
  <c r="Y92" i="5"/>
  <c r="X164" i="5"/>
  <c r="Y279" i="5"/>
  <c r="X333" i="5"/>
  <c r="Y412" i="5"/>
  <c r="Y459" i="5"/>
  <c r="Y526" i="5"/>
  <c r="X482" i="5"/>
  <c r="X355" i="5"/>
  <c r="Y494" i="5"/>
  <c r="X442" i="5"/>
  <c r="AB295" i="5"/>
  <c r="AA295" i="5"/>
  <c r="X543" i="5"/>
  <c r="Y543" i="5"/>
  <c r="X290" i="5"/>
  <c r="Y290" i="5"/>
  <c r="Y426" i="5"/>
  <c r="X426" i="5"/>
  <c r="X356" i="5"/>
  <c r="Y356" i="5"/>
  <c r="Y240" i="5"/>
  <c r="X240" i="5"/>
  <c r="Y517" i="5"/>
  <c r="X517" i="5"/>
  <c r="Y473" i="5"/>
  <c r="Y403" i="5"/>
  <c r="X403" i="5"/>
  <c r="Y139" i="5"/>
  <c r="X139" i="5"/>
  <c r="X519" i="5"/>
  <c r="Y519" i="5"/>
  <c r="Y529" i="5"/>
  <c r="X529" i="5"/>
  <c r="Y406" i="5"/>
  <c r="X406" i="5"/>
  <c r="Y319" i="5"/>
  <c r="X319" i="5"/>
  <c r="Y167" i="5"/>
  <c r="X167" i="5"/>
  <c r="Y522" i="5"/>
  <c r="X522" i="5"/>
  <c r="Y511" i="5"/>
  <c r="X511" i="5"/>
  <c r="X510" i="5"/>
  <c r="Y510" i="5"/>
  <c r="X409" i="5"/>
  <c r="Y409" i="5"/>
  <c r="X10" i="5"/>
  <c r="Y10" i="5"/>
  <c r="X283" i="5"/>
  <c r="Y405" i="5"/>
  <c r="Y520" i="5"/>
  <c r="X94" i="5"/>
  <c r="X203" i="5"/>
  <c r="X309" i="5"/>
  <c r="X501" i="5"/>
  <c r="AA43" i="5"/>
  <c r="AB317" i="5"/>
  <c r="AA317" i="5"/>
  <c r="Y201" i="5"/>
  <c r="X201" i="5"/>
  <c r="X149" i="5"/>
  <c r="Y149" i="5"/>
  <c r="AB496" i="5"/>
  <c r="AA244" i="5"/>
  <c r="AB244" i="5"/>
  <c r="Y489" i="5"/>
  <c r="X457" i="5"/>
  <c r="X325" i="5"/>
  <c r="Y269" i="5"/>
  <c r="Y461" i="5"/>
  <c r="Y539" i="5"/>
  <c r="Y521" i="5"/>
  <c r="Y22" i="5"/>
  <c r="Y189" i="5"/>
  <c r="X341" i="5"/>
  <c r="Y433" i="5"/>
  <c r="X372" i="5"/>
  <c r="Y293" i="5"/>
  <c r="X505" i="5"/>
  <c r="X542" i="5"/>
  <c r="AB335" i="5"/>
  <c r="AA364" i="5"/>
  <c r="AA473" i="5"/>
  <c r="AB473" i="5"/>
  <c r="AA489" i="5"/>
  <c r="AB516" i="5"/>
  <c r="AA516" i="5"/>
  <c r="AA542" i="5"/>
  <c r="AB542" i="5"/>
  <c r="AA71" i="5"/>
  <c r="AB71" i="5"/>
  <c r="AA266" i="5"/>
  <c r="AA405" i="5"/>
  <c r="AA557" i="5"/>
  <c r="AB557" i="5"/>
  <c r="X257" i="5"/>
  <c r="Y257" i="5"/>
  <c r="X80" i="5"/>
  <c r="Y80" i="5"/>
  <c r="Y322" i="5"/>
  <c r="X322" i="5"/>
  <c r="Y57" i="5"/>
  <c r="X57" i="5"/>
  <c r="AA470" i="5"/>
  <c r="AA249" i="5"/>
  <c r="AB232" i="5"/>
  <c r="AB554" i="5"/>
  <c r="Y230" i="5"/>
  <c r="X311" i="5"/>
  <c r="AA482" i="5"/>
  <c r="AB555" i="5"/>
  <c r="Y98" i="5"/>
  <c r="AB334" i="5"/>
  <c r="AA374" i="5"/>
  <c r="Y233" i="5"/>
  <c r="Y175" i="5"/>
  <c r="X263" i="5"/>
  <c r="X271" i="5"/>
  <c r="AA58" i="5"/>
  <c r="X210" i="5"/>
  <c r="AA491" i="5"/>
  <c r="X8" i="5"/>
  <c r="Y8" i="5"/>
  <c r="AB442" i="5"/>
  <c r="X306" i="5"/>
  <c r="Y347" i="5"/>
  <c r="AA42" i="5"/>
  <c r="AB160" i="5"/>
  <c r="AB378" i="5"/>
  <c r="X21" i="5"/>
  <c r="X256" i="5"/>
  <c r="X445" i="5"/>
  <c r="X363" i="5"/>
  <c r="Y383" i="5"/>
  <c r="X550" i="5"/>
  <c r="Y477" i="5"/>
  <c r="AB13" i="5"/>
  <c r="AA13" i="5"/>
  <c r="W9" i="5"/>
  <c r="AG9" i="5"/>
  <c r="T9" i="5"/>
  <c r="Z9" i="5"/>
  <c r="AM9" i="5"/>
  <c r="AJ9" i="5"/>
  <c r="X74" i="5"/>
  <c r="Y116" i="5"/>
  <c r="Y172" i="5"/>
  <c r="X225" i="5"/>
  <c r="X260" i="5"/>
  <c r="X302" i="5"/>
  <c r="X377" i="5"/>
  <c r="AB108" i="5"/>
  <c r="AA94" i="5"/>
  <c r="AA206" i="5"/>
  <c r="AB349" i="5"/>
  <c r="Y51" i="5"/>
  <c r="AB97" i="5"/>
  <c r="AA224" i="5"/>
  <c r="Y65" i="5"/>
  <c r="Y171" i="5"/>
  <c r="X367" i="5"/>
  <c r="X393" i="5"/>
  <c r="X497" i="5"/>
  <c r="X478" i="5"/>
  <c r="X483" i="5"/>
  <c r="Y424" i="5"/>
  <c r="X295" i="5"/>
  <c r="AB12" i="5"/>
  <c r="AA12" i="5"/>
  <c r="Y13" i="5"/>
  <c r="X13" i="5"/>
  <c r="AA161" i="5"/>
  <c r="AB279" i="5"/>
  <c r="AA472" i="5"/>
  <c r="AA69" i="5"/>
  <c r="AB105" i="5"/>
  <c r="AA169" i="5"/>
  <c r="AA406" i="5"/>
  <c r="AB258" i="5"/>
  <c r="AA521" i="5"/>
  <c r="Y384" i="5"/>
  <c r="AB308" i="5"/>
  <c r="AA8" i="5"/>
  <c r="AB8" i="5"/>
  <c r="Y12" i="5"/>
  <c r="X12" i="5"/>
  <c r="AR10" i="5"/>
  <c r="AQ10" i="5"/>
  <c r="AA259" i="5"/>
  <c r="AB69" i="5"/>
  <c r="AB110" i="5"/>
  <c r="AB384" i="5"/>
  <c r="AB521" i="5"/>
  <c r="AB560" i="5"/>
  <c r="AA308" i="5"/>
  <c r="AA554" i="5"/>
  <c r="X104" i="5"/>
  <c r="AB22" i="5"/>
  <c r="AA178" i="5"/>
  <c r="Y26" i="5"/>
  <c r="Y142" i="5"/>
  <c r="Y314" i="5"/>
  <c r="AB146" i="5"/>
  <c r="AB106" i="5"/>
  <c r="AA347" i="5"/>
  <c r="X122" i="5"/>
  <c r="X166" i="5"/>
  <c r="AB509" i="5"/>
  <c r="AB488" i="5"/>
  <c r="X108" i="5"/>
  <c r="Y28" i="5"/>
  <c r="X133" i="5"/>
  <c r="X312" i="5"/>
  <c r="Y299" i="5"/>
  <c r="AA550" i="5"/>
  <c r="AB251" i="5"/>
  <c r="X135" i="5"/>
  <c r="X151" i="5"/>
  <c r="Y245" i="5"/>
  <c r="Y264" i="5"/>
  <c r="AB58" i="5"/>
  <c r="AA397" i="5"/>
  <c r="AB470" i="5"/>
  <c r="AA488" i="5"/>
  <c r="X161" i="5"/>
  <c r="Y374" i="5"/>
  <c r="AB322" i="5"/>
  <c r="AA436" i="5"/>
  <c r="AA207" i="5"/>
  <c r="AA536" i="5"/>
  <c r="AA497" i="5"/>
  <c r="AA411" i="5"/>
  <c r="AA189" i="5"/>
  <c r="AB305" i="5"/>
  <c r="AA36" i="5"/>
  <c r="AB486" i="5"/>
  <c r="X222" i="5"/>
  <c r="X348" i="5"/>
  <c r="AB367" i="5"/>
  <c r="AA83" i="5"/>
  <c r="AB148" i="5"/>
  <c r="AA203" i="5"/>
  <c r="AB320" i="5"/>
  <c r="AB455" i="5"/>
  <c r="AA200" i="5"/>
  <c r="AB20" i="5"/>
  <c r="AB291" i="5"/>
  <c r="AA212" i="5"/>
  <c r="AA373" i="5"/>
  <c r="AA442" i="5"/>
  <c r="AB421" i="5"/>
  <c r="AA355" i="5"/>
  <c r="AA487" i="5"/>
  <c r="AA501" i="5"/>
  <c r="AA111" i="5"/>
  <c r="AA248" i="5"/>
  <c r="AB551" i="5"/>
  <c r="AA159" i="5"/>
  <c r="AA412" i="5"/>
  <c r="X304" i="5"/>
  <c r="AA30" i="5"/>
  <c r="AB100" i="5"/>
  <c r="AB250" i="5"/>
  <c r="AB375" i="5"/>
  <c r="AB61" i="5"/>
  <c r="AB94" i="5"/>
  <c r="AB478" i="5"/>
  <c r="AA541" i="5"/>
  <c r="Y37" i="5"/>
  <c r="Y68" i="5"/>
  <c r="Y82" i="5"/>
  <c r="Y205" i="5"/>
  <c r="X368" i="5"/>
  <c r="AA46" i="5"/>
  <c r="AA145" i="5"/>
  <c r="AA370" i="5"/>
  <c r="AA484" i="5"/>
  <c r="AB512" i="5"/>
  <c r="Y197" i="5"/>
  <c r="AB351" i="5"/>
  <c r="AA358" i="5"/>
  <c r="AA478" i="5"/>
  <c r="AB467" i="5"/>
  <c r="AA215" i="5"/>
  <c r="AA279" i="5"/>
  <c r="AA546" i="5"/>
  <c r="X25" i="5"/>
  <c r="Y55" i="5"/>
  <c r="AB206" i="5"/>
  <c r="AA351" i="5"/>
  <c r="AA421" i="5"/>
  <c r="AB355" i="5"/>
  <c r="AA467" i="5"/>
  <c r="AB487" i="5"/>
  <c r="AB472" i="5"/>
  <c r="X124" i="5"/>
  <c r="AA76" i="5"/>
  <c r="AA273" i="5"/>
  <c r="AA375" i="5"/>
  <c r="AB500" i="5"/>
  <c r="AA443" i="5"/>
  <c r="AA512" i="5"/>
  <c r="AB426" i="5"/>
  <c r="AA545" i="5"/>
  <c r="AA349" i="5"/>
  <c r="AB541" i="5"/>
  <c r="AB39" i="5"/>
  <c r="AB395" i="5"/>
  <c r="AB345" i="5"/>
  <c r="AB394" i="5"/>
  <c r="AB462" i="5"/>
  <c r="AB451" i="5"/>
  <c r="X156" i="5"/>
  <c r="X254" i="5"/>
  <c r="X291" i="5"/>
  <c r="AA152" i="5"/>
  <c r="AB207" i="5"/>
  <c r="AB235" i="5"/>
  <c r="AB323" i="5"/>
  <c r="AB363" i="5"/>
  <c r="AB390" i="5"/>
  <c r="AB406" i="5"/>
  <c r="AA391" i="5"/>
  <c r="AB405" i="5"/>
  <c r="AB427" i="5"/>
  <c r="AA560" i="5"/>
  <c r="Y131" i="5"/>
  <c r="AA476" i="5"/>
  <c r="AB497" i="5"/>
  <c r="AB530" i="5"/>
  <c r="AB31" i="5"/>
  <c r="AA140" i="5"/>
  <c r="AA167" i="5"/>
  <c r="AB403" i="5"/>
  <c r="AB520" i="5"/>
  <c r="AB447" i="5"/>
  <c r="AB260" i="5"/>
  <c r="AA493" i="5"/>
  <c r="AA324" i="5"/>
  <c r="AB175" i="5"/>
  <c r="AA175" i="5"/>
  <c r="AB107" i="5"/>
  <c r="AA107" i="5"/>
  <c r="AA72" i="5"/>
  <c r="AB72" i="5"/>
  <c r="AB33" i="5"/>
  <c r="AA33" i="5"/>
  <c r="AA85" i="5"/>
  <c r="AA457" i="5"/>
  <c r="AB457" i="5"/>
  <c r="AA410" i="5"/>
  <c r="AA209" i="5"/>
  <c r="AA65" i="5"/>
  <c r="AB454" i="5"/>
  <c r="AA131" i="5"/>
  <c r="AB298" i="5"/>
  <c r="AB466" i="5"/>
  <c r="AA466" i="5"/>
  <c r="AA342" i="5"/>
  <c r="AB342" i="5"/>
  <c r="AA350" i="5"/>
  <c r="AB350" i="5"/>
  <c r="AA448" i="5"/>
  <c r="AB448" i="5"/>
  <c r="X145" i="5"/>
  <c r="Y145" i="5"/>
  <c r="Y109" i="5"/>
  <c r="X109" i="5"/>
  <c r="X334" i="5"/>
  <c r="Y334" i="5"/>
  <c r="Y219" i="5"/>
  <c r="X219" i="5"/>
  <c r="X163" i="5"/>
  <c r="Y163" i="5"/>
  <c r="AB353" i="5"/>
  <c r="AA428" i="5"/>
  <c r="AA276" i="5"/>
  <c r="AB276" i="5"/>
  <c r="AA559" i="5"/>
  <c r="AB79" i="5"/>
  <c r="AB209" i="5"/>
  <c r="AB270" i="5"/>
  <c r="AB376" i="5"/>
  <c r="AB514" i="5"/>
  <c r="X146" i="5"/>
  <c r="X101" i="5"/>
  <c r="Y274" i="5"/>
  <c r="Y185" i="5"/>
  <c r="Y399" i="5"/>
  <c r="AA151" i="5"/>
  <c r="AA515" i="5"/>
  <c r="X60" i="5"/>
  <c r="X140" i="5"/>
  <c r="AB559" i="5"/>
  <c r="Y61" i="5"/>
  <c r="X316" i="5"/>
  <c r="AB365" i="5"/>
  <c r="AA121" i="5"/>
  <c r="AB121" i="5"/>
  <c r="AB218" i="5"/>
  <c r="AB45" i="5"/>
  <c r="AA283" i="5"/>
  <c r="AA336" i="5"/>
  <c r="AB336" i="5"/>
  <c r="AA449" i="5"/>
  <c r="AB449" i="5"/>
  <c r="AA354" i="5"/>
  <c r="AA524" i="5"/>
  <c r="AB524" i="5"/>
  <c r="AA533" i="5"/>
  <c r="AB494" i="5"/>
  <c r="AB103" i="5"/>
  <c r="AA29" i="5"/>
  <c r="AB247" i="5"/>
  <c r="AA247" i="5"/>
  <c r="AB205" i="5"/>
  <c r="AA205" i="5"/>
  <c r="AB461" i="5"/>
  <c r="AB433" i="5"/>
  <c r="AA433" i="5"/>
  <c r="AA523" i="5"/>
  <c r="AB523" i="5"/>
  <c r="AB328" i="5"/>
  <c r="Y392" i="5"/>
  <c r="X392" i="5"/>
  <c r="Y270" i="5"/>
  <c r="X270" i="5"/>
  <c r="Y262" i="5"/>
  <c r="X262" i="5"/>
  <c r="Y204" i="5"/>
  <c r="X204" i="5"/>
  <c r="Y174" i="5"/>
  <c r="X174" i="5"/>
  <c r="X144" i="5"/>
  <c r="Y144" i="5"/>
  <c r="X138" i="5"/>
  <c r="Y138" i="5"/>
  <c r="X56" i="5"/>
  <c r="Y56" i="5"/>
  <c r="Y338" i="5"/>
  <c r="X338" i="5"/>
  <c r="Y62" i="5"/>
  <c r="X62" i="5"/>
  <c r="X71" i="5"/>
  <c r="AA434" i="5"/>
  <c r="X130" i="5"/>
  <c r="Y130" i="5"/>
  <c r="AB64" i="5"/>
  <c r="AA64" i="5"/>
  <c r="AB372" i="5"/>
  <c r="AA372" i="5"/>
  <c r="AB85" i="5"/>
  <c r="AB186" i="5"/>
  <c r="AB233" i="5"/>
  <c r="AA188" i="5"/>
  <c r="AA223" i="5"/>
  <c r="AB283" i="5"/>
  <c r="AA360" i="5"/>
  <c r="AA376" i="5"/>
  <c r="AB498" i="5"/>
  <c r="Y71" i="5"/>
  <c r="Y84" i="5"/>
  <c r="X272" i="5"/>
  <c r="Y330" i="5"/>
  <c r="AB131" i="5"/>
  <c r="AB193" i="5"/>
  <c r="AA414" i="5"/>
  <c r="AB468" i="5"/>
  <c r="AA90" i="5"/>
  <c r="AB428" i="5"/>
  <c r="AB43" i="5"/>
  <c r="AA148" i="5"/>
  <c r="AB223" i="5"/>
  <c r="AB321" i="5"/>
  <c r="AB411" i="5"/>
  <c r="AB360" i="5"/>
  <c r="AA251" i="5"/>
  <c r="AA498" i="5"/>
  <c r="AA396" i="5"/>
  <c r="AB479" i="5"/>
  <c r="AB410" i="5"/>
  <c r="AA494" i="5"/>
  <c r="AA553" i="5"/>
  <c r="AB533" i="5"/>
  <c r="X46" i="5"/>
  <c r="Y90" i="5"/>
  <c r="X170" i="5"/>
  <c r="X212" i="5"/>
  <c r="AB312" i="5"/>
  <c r="AA423" i="5"/>
  <c r="AA461" i="5"/>
  <c r="X165" i="5"/>
  <c r="AB430" i="5"/>
  <c r="AA430" i="5"/>
  <c r="AA332" i="5"/>
  <c r="AB332" i="5"/>
  <c r="AB315" i="5"/>
  <c r="AB269" i="5"/>
  <c r="AA219" i="5"/>
  <c r="AA127" i="5"/>
  <c r="AB127" i="5"/>
  <c r="AA75" i="5"/>
  <c r="AB75" i="5"/>
  <c r="AA339" i="5"/>
  <c r="AA329" i="5"/>
  <c r="AB329" i="5"/>
  <c r="AA285" i="5"/>
  <c r="AB285" i="5"/>
  <c r="AA231" i="5"/>
  <c r="AB231" i="5"/>
  <c r="AA191" i="5"/>
  <c r="AB191" i="5"/>
  <c r="AB115" i="5"/>
  <c r="AA115" i="5"/>
  <c r="AB154" i="5"/>
  <c r="AA154" i="5"/>
  <c r="AA89" i="5"/>
  <c r="AB89" i="5"/>
  <c r="AA54" i="5"/>
  <c r="AB54" i="5"/>
  <c r="AB48" i="5"/>
  <c r="AA48" i="5"/>
  <c r="AB483" i="5"/>
  <c r="AA558" i="5"/>
  <c r="AB510" i="5"/>
  <c r="AA506" i="5"/>
  <c r="AB506" i="5"/>
  <c r="AA507" i="5"/>
  <c r="AB507" i="5"/>
  <c r="AB452" i="5"/>
  <c r="AA385" i="5"/>
  <c r="AA268" i="5"/>
  <c r="AB268" i="5"/>
  <c r="AB132" i="5"/>
  <c r="AB129" i="5"/>
  <c r="AA129" i="5"/>
  <c r="AA458" i="5"/>
  <c r="AB458" i="5"/>
  <c r="AA465" i="5"/>
  <c r="AB465" i="5"/>
  <c r="AB477" i="5"/>
  <c r="AA477" i="5"/>
  <c r="AA356" i="5"/>
  <c r="AB435" i="5"/>
  <c r="AA435" i="5"/>
  <c r="AA326" i="5"/>
  <c r="AB326" i="5"/>
  <c r="AA228" i="5"/>
  <c r="AB228" i="5"/>
  <c r="AA99" i="5"/>
  <c r="AB99" i="5"/>
  <c r="AB88" i="5"/>
  <c r="AA88" i="5"/>
  <c r="AA47" i="5"/>
  <c r="AB47" i="5"/>
  <c r="AB313" i="5"/>
  <c r="AA313" i="5"/>
  <c r="AA538" i="5"/>
  <c r="AB538" i="5"/>
  <c r="X342" i="5"/>
  <c r="Y342" i="5"/>
  <c r="X250" i="5"/>
  <c r="Y250" i="5"/>
  <c r="Y192" i="5"/>
  <c r="X192" i="5"/>
  <c r="Y228" i="5"/>
  <c r="X228" i="5"/>
  <c r="X173" i="5"/>
  <c r="Y173" i="5"/>
  <c r="Y153" i="5"/>
  <c r="X153" i="5"/>
  <c r="Y78" i="5"/>
  <c r="X78" i="5"/>
  <c r="Y413" i="5"/>
  <c r="X413" i="5"/>
  <c r="X336" i="5"/>
  <c r="Y336" i="5"/>
  <c r="X232" i="5"/>
  <c r="Y215" i="5"/>
  <c r="X215" i="5"/>
  <c r="X188" i="5"/>
  <c r="Y188" i="5"/>
  <c r="X155" i="5"/>
  <c r="Y155" i="5"/>
  <c r="X159" i="5"/>
  <c r="Y159" i="5"/>
  <c r="Y88" i="5"/>
  <c r="X88" i="5"/>
  <c r="Y52" i="5"/>
  <c r="X52" i="5"/>
  <c r="X20" i="5"/>
  <c r="Y20" i="5"/>
  <c r="AA382" i="5"/>
  <c r="AB382" i="5"/>
  <c r="Y39" i="5"/>
  <c r="Y95" i="5"/>
  <c r="X95" i="5"/>
  <c r="X179" i="5"/>
  <c r="Y179" i="5"/>
  <c r="AB296" i="5"/>
  <c r="AA480" i="5"/>
  <c r="AB480" i="5"/>
  <c r="AA534" i="5"/>
  <c r="AB534" i="5"/>
  <c r="AA132" i="5"/>
  <c r="AB289" i="5"/>
  <c r="AA510" i="5"/>
  <c r="X32" i="5"/>
  <c r="X117" i="5"/>
  <c r="Y237" i="5"/>
  <c r="Y232" i="5"/>
  <c r="Y221" i="5"/>
  <c r="Y258" i="5"/>
  <c r="X350" i="5"/>
  <c r="AB339" i="5"/>
  <c r="AB219" i="5"/>
  <c r="AB70" i="5"/>
  <c r="AA118" i="5"/>
  <c r="AB271" i="5"/>
  <c r="AA289" i="5"/>
  <c r="AB325" i="5"/>
  <c r="AB558" i="5"/>
  <c r="AA296" i="5"/>
  <c r="X36" i="5"/>
  <c r="Y157" i="5"/>
  <c r="AB379" i="5"/>
  <c r="AB282" i="5"/>
  <c r="AA282" i="5"/>
  <c r="AA262" i="5"/>
  <c r="AB227" i="5"/>
  <c r="AA112" i="5"/>
  <c r="AB112" i="5"/>
  <c r="AA116" i="5"/>
  <c r="AA50" i="5"/>
  <c r="AB50" i="5"/>
  <c r="AB21" i="5"/>
  <c r="AA21" i="5"/>
  <c r="AA471" i="5"/>
  <c r="AA517" i="5"/>
  <c r="AB517" i="5"/>
  <c r="AB340" i="5"/>
  <c r="AA340" i="5"/>
  <c r="AA441" i="5"/>
  <c r="AB444" i="5"/>
  <c r="AA380" i="5"/>
  <c r="AB380" i="5"/>
  <c r="AA239" i="5"/>
  <c r="AB239" i="5"/>
  <c r="AB177" i="5"/>
  <c r="AB539" i="5"/>
  <c r="AA539" i="5"/>
  <c r="AA327" i="5"/>
  <c r="AB327" i="5"/>
  <c r="AA341" i="5"/>
  <c r="AB420" i="5"/>
  <c r="AA420" i="5"/>
  <c r="AA408" i="5"/>
  <c r="AB408" i="5"/>
  <c r="AB337" i="5"/>
  <c r="AA281" i="5"/>
  <c r="AB281" i="5"/>
  <c r="AA190" i="5"/>
  <c r="AA53" i="5"/>
  <c r="AB53" i="5"/>
  <c r="AB150" i="5"/>
  <c r="AA401" i="5"/>
  <c r="AA464" i="5"/>
  <c r="AB464" i="5"/>
  <c r="X408" i="5"/>
  <c r="Y331" i="5"/>
  <c r="X331" i="5"/>
  <c r="Y278" i="5"/>
  <c r="X278" i="5"/>
  <c r="Y208" i="5"/>
  <c r="X208" i="5"/>
  <c r="X182" i="5"/>
  <c r="Y182" i="5"/>
  <c r="Y111" i="5"/>
  <c r="X111" i="5"/>
  <c r="Y89" i="5"/>
  <c r="X89" i="5"/>
  <c r="X67" i="5"/>
  <c r="Y67" i="5"/>
  <c r="Y282" i="5"/>
  <c r="X282" i="5"/>
  <c r="X286" i="5"/>
  <c r="Y286" i="5"/>
  <c r="X178" i="5"/>
  <c r="AA136" i="5"/>
  <c r="AA549" i="5"/>
  <c r="Y79" i="5"/>
  <c r="X79" i="5"/>
  <c r="X118" i="5"/>
  <c r="X241" i="5"/>
  <c r="Y241" i="5"/>
  <c r="AA381" i="5"/>
  <c r="AB381" i="5"/>
  <c r="AB229" i="5"/>
  <c r="AA424" i="5"/>
  <c r="AB424" i="5"/>
  <c r="AA70" i="5"/>
  <c r="AA303" i="5"/>
  <c r="AA394" i="5"/>
  <c r="Y75" i="5"/>
  <c r="Y93" i="5"/>
  <c r="Y352" i="5"/>
  <c r="AA177" i="5"/>
  <c r="AB385" i="5"/>
  <c r="AA452" i="5"/>
  <c r="AB441" i="5"/>
  <c r="AA153" i="5"/>
  <c r="AB190" i="5"/>
  <c r="AA229" i="5"/>
  <c r="X39" i="5"/>
  <c r="AB116" i="5"/>
  <c r="AA227" i="5"/>
  <c r="AB401" i="5"/>
  <c r="X24" i="5"/>
  <c r="X280" i="5"/>
  <c r="AA38" i="5"/>
  <c r="AB356" i="5"/>
  <c r="AA481" i="5"/>
  <c r="AA463" i="5"/>
  <c r="AB463" i="5"/>
  <c r="AA532" i="5"/>
  <c r="AB532" i="5"/>
  <c r="Y321" i="5"/>
  <c r="X327" i="5"/>
  <c r="Y193" i="5"/>
  <c r="X193" i="5"/>
  <c r="Y198" i="5"/>
  <c r="X198" i="5"/>
  <c r="X83" i="5"/>
  <c r="Y83" i="5"/>
  <c r="Y38" i="5"/>
  <c r="X38" i="5"/>
  <c r="AB128" i="5"/>
  <c r="AA186" i="5"/>
  <c r="AB187" i="5"/>
  <c r="AA496" i="5"/>
  <c r="Y46" i="5"/>
  <c r="AA272" i="5"/>
  <c r="AA353" i="5"/>
  <c r="Y81" i="5"/>
  <c r="AA504" i="5"/>
  <c r="Y326" i="5"/>
  <c r="X303" i="5"/>
  <c r="AB434" i="5"/>
  <c r="AA499" i="5"/>
  <c r="AA526" i="5"/>
  <c r="AA422" i="5"/>
  <c r="AA366" i="5"/>
  <c r="AA460" i="5"/>
  <c r="AB460" i="5"/>
  <c r="AB456" i="5"/>
  <c r="AA456" i="5"/>
  <c r="AB208" i="5"/>
  <c r="AB202" i="5"/>
  <c r="AB27" i="5"/>
  <c r="AA27" i="5"/>
  <c r="AB425" i="5"/>
  <c r="AA425" i="5"/>
  <c r="AB309" i="5"/>
  <c r="AB453" i="5"/>
  <c r="AA246" i="5"/>
  <c r="AA535" i="5"/>
  <c r="AA485" i="5"/>
  <c r="Y162" i="5"/>
  <c r="Y47" i="5"/>
  <c r="X317" i="5"/>
  <c r="Y48" i="5"/>
  <c r="Y112" i="5"/>
  <c r="AA543" i="5"/>
  <c r="AA44" i="5"/>
  <c r="AB182" i="5"/>
  <c r="AB501" i="5"/>
  <c r="AB76" i="5"/>
  <c r="AA162" i="5"/>
  <c r="AA413" i="5"/>
  <c r="AB543" i="5"/>
  <c r="Y53" i="5"/>
  <c r="X191" i="5"/>
  <c r="AA275" i="5"/>
  <c r="AB535" i="5"/>
  <c r="Y127" i="5"/>
  <c r="Y359" i="5"/>
  <c r="AA208" i="5"/>
  <c r="AB550" i="5"/>
  <c r="AA84" i="5"/>
  <c r="AA172" i="5"/>
  <c r="AB348" i="5"/>
  <c r="AB527" i="5"/>
  <c r="AA23" i="5"/>
  <c r="AB548" i="5"/>
  <c r="AB393" i="5"/>
  <c r="AA393" i="5"/>
  <c r="AA318" i="5"/>
  <c r="AB318" i="5"/>
  <c r="AB174" i="5"/>
  <c r="AA77" i="5"/>
  <c r="AB77" i="5"/>
  <c r="AB138" i="5"/>
  <c r="AA438" i="5"/>
  <c r="AB52" i="5"/>
  <c r="AB278" i="5"/>
  <c r="Y30" i="5"/>
  <c r="Y77" i="5"/>
  <c r="X382" i="5"/>
  <c r="AB169" i="5"/>
  <c r="X91" i="5"/>
  <c r="X112" i="5"/>
  <c r="AB324" i="5"/>
  <c r="AA365" i="5"/>
  <c r="AB415" i="5"/>
  <c r="X114" i="5"/>
  <c r="Y187" i="5"/>
  <c r="Y234" i="5"/>
  <c r="AA202" i="5"/>
  <c r="AA310" i="5"/>
  <c r="AA492" i="5"/>
  <c r="AA407" i="5"/>
  <c r="AB485" i="5"/>
  <c r="AA331" i="5"/>
  <c r="AA216" i="5"/>
  <c r="AA525" i="5"/>
  <c r="X362" i="5"/>
  <c r="Y362" i="5"/>
  <c r="Y358" i="5"/>
  <c r="X276" i="5"/>
  <c r="Y276" i="5"/>
  <c r="X242" i="5"/>
  <c r="Y242" i="5"/>
  <c r="Y244" i="5"/>
  <c r="Y183" i="5"/>
  <c r="X183" i="5"/>
  <c r="X100" i="5"/>
  <c r="Y100" i="5"/>
  <c r="X42" i="5"/>
  <c r="Y42" i="5"/>
  <c r="AA502" i="5"/>
  <c r="X50" i="5"/>
  <c r="Y168" i="5"/>
  <c r="AA120" i="5"/>
  <c r="AB216" i="5"/>
  <c r="Y33" i="5"/>
  <c r="AB502" i="5"/>
  <c r="Y249" i="5"/>
  <c r="AA357" i="5"/>
  <c r="AB343" i="5"/>
  <c r="AA265" i="5"/>
  <c r="AB293" i="5"/>
  <c r="AA293" i="5"/>
  <c r="AB256" i="5"/>
  <c r="AA256" i="5"/>
  <c r="AB196" i="5"/>
  <c r="AB141" i="5"/>
  <c r="AA135" i="5"/>
  <c r="AB135" i="5"/>
  <c r="AA93" i="5"/>
  <c r="AA55" i="5"/>
  <c r="AB214" i="5"/>
  <c r="AA113" i="5"/>
  <c r="AB147" i="5"/>
  <c r="AB362" i="5"/>
  <c r="AA362" i="5"/>
  <c r="AA519" i="5"/>
  <c r="AB537" i="5"/>
  <c r="AA537" i="5"/>
  <c r="AA400" i="5"/>
  <c r="AB400" i="5"/>
  <c r="AB344" i="5"/>
  <c r="AA344" i="5"/>
  <c r="AB392" i="5"/>
  <c r="AA392" i="5"/>
  <c r="AA284" i="5"/>
  <c r="AA194" i="5"/>
  <c r="AA87" i="5"/>
  <c r="AB73" i="5"/>
  <c r="AB144" i="5"/>
  <c r="AA261" i="5"/>
  <c r="AB399" i="5"/>
  <c r="AA513" i="5"/>
  <c r="Y344" i="5"/>
  <c r="X344" i="5"/>
  <c r="X294" i="5"/>
  <c r="Y294" i="5"/>
  <c r="X199" i="5"/>
  <c r="Y199" i="5"/>
  <c r="Y113" i="5"/>
  <c r="X113" i="5"/>
  <c r="X54" i="5"/>
  <c r="Y54" i="5"/>
  <c r="AA371" i="5"/>
  <c r="Y106" i="5"/>
  <c r="AA552" i="5"/>
  <c r="AB552" i="5"/>
  <c r="AB210" i="5"/>
  <c r="AB513" i="5"/>
  <c r="X168" i="5"/>
  <c r="AB371" i="5"/>
  <c r="X120" i="5"/>
  <c r="AA418" i="5"/>
  <c r="AB418" i="5"/>
  <c r="AB319" i="5"/>
  <c r="AA319" i="5"/>
  <c r="AA230" i="5"/>
  <c r="AB230" i="5"/>
  <c r="AA180" i="5"/>
  <c r="AB180" i="5"/>
  <c r="AB102" i="5"/>
  <c r="AB62" i="5"/>
  <c r="AA62" i="5"/>
  <c r="AB41" i="5"/>
  <c r="AA41" i="5"/>
  <c r="AB236" i="5"/>
  <c r="AB157" i="5"/>
  <c r="AA445" i="5"/>
  <c r="AA104" i="5"/>
  <c r="AA431" i="5"/>
  <c r="AB396" i="5"/>
  <c r="AA479" i="5"/>
  <c r="AB553" i="5"/>
  <c r="Y105" i="5"/>
  <c r="Y121" i="5"/>
  <c r="X247" i="5"/>
  <c r="X224" i="5"/>
  <c r="X129" i="5"/>
  <c r="X432" i="5"/>
  <c r="AA210" i="5"/>
  <c r="AB525" i="5"/>
  <c r="AB515" i="5"/>
  <c r="Y141" i="5"/>
  <c r="AB113" i="5"/>
  <c r="AA218" i="5"/>
  <c r="AA264" i="5"/>
  <c r="AA309" i="5"/>
  <c r="AA274" i="5"/>
  <c r="AB445" i="5"/>
  <c r="AB354" i="5"/>
  <c r="Y63" i="5"/>
  <c r="Y220" i="5"/>
  <c r="Y419" i="5"/>
  <c r="AA196" i="5"/>
  <c r="AB310" i="5"/>
  <c r="AB357" i="5"/>
  <c r="AA454" i="5"/>
  <c r="AB519" i="5"/>
  <c r="AB490" i="5"/>
  <c r="AA490" i="5"/>
  <c r="AB528" i="5"/>
  <c r="AA234" i="5"/>
  <c r="AB173" i="5"/>
  <c r="AB117" i="5"/>
  <c r="AA254" i="5"/>
  <c r="AA238" i="5"/>
  <c r="AB238" i="5"/>
  <c r="AA164" i="5"/>
  <c r="AB226" i="5"/>
  <c r="AA514" i="5"/>
  <c r="AB137" i="5"/>
  <c r="AA328" i="5"/>
  <c r="AB23" i="5"/>
  <c r="AA114" i="5"/>
  <c r="AB213" i="5"/>
  <c r="AA163" i="5"/>
  <c r="AB254" i="5"/>
  <c r="AB297" i="5"/>
  <c r="AB474" i="5"/>
  <c r="AA383" i="5"/>
  <c r="AA369" i="5"/>
  <c r="AA277" i="5"/>
  <c r="AB165" i="5"/>
  <c r="AA240" i="5"/>
  <c r="AB170" i="5"/>
  <c r="AB158" i="5"/>
  <c r="AB92" i="5"/>
  <c r="AA51" i="5"/>
  <c r="AA439" i="5"/>
  <c r="AA252" i="5"/>
  <c r="AA171" i="5"/>
  <c r="AA287" i="5"/>
  <c r="AA267" i="5"/>
  <c r="AA126" i="5"/>
  <c r="AA67" i="5"/>
  <c r="AB179" i="5"/>
  <c r="AA531" i="5"/>
  <c r="AA529" i="5"/>
  <c r="AA245" i="5"/>
  <c r="AA66" i="5"/>
  <c r="AA226" i="5"/>
  <c r="AB245" i="5"/>
  <c r="AB306" i="5"/>
  <c r="AA137" i="5"/>
  <c r="AB446" i="5"/>
  <c r="AA409" i="5"/>
  <c r="AB74" i="5"/>
  <c r="AB163" i="5"/>
  <c r="AB300" i="5"/>
  <c r="AA379" i="5"/>
  <c r="AA286" i="5"/>
  <c r="AA398" i="5"/>
  <c r="AB531" i="5"/>
  <c r="AA469" i="5"/>
  <c r="AB40" i="5"/>
  <c r="AA158" i="5"/>
  <c r="AB185" i="5"/>
  <c r="AA173" i="5"/>
  <c r="AA165" i="5"/>
  <c r="AA315" i="5"/>
  <c r="AB287" i="5"/>
  <c r="AB522" i="5"/>
  <c r="AA450" i="5"/>
  <c r="AB450" i="5"/>
  <c r="AA459" i="5"/>
  <c r="AB459" i="5"/>
  <c r="AA28" i="5"/>
  <c r="AA402" i="5"/>
  <c r="AB402" i="5"/>
  <c r="AB59" i="5"/>
  <c r="AB66" i="5"/>
  <c r="AB95" i="5"/>
  <c r="AA128" i="5"/>
  <c r="AA306" i="5"/>
  <c r="AB272" i="5"/>
  <c r="AA446" i="5"/>
  <c r="AB438" i="5"/>
  <c r="AB409" i="5"/>
  <c r="AB68" i="5"/>
  <c r="AB139" i="5"/>
  <c r="AA300" i="5"/>
  <c r="AA511" i="5"/>
  <c r="AA518" i="5"/>
  <c r="AA81" i="5"/>
  <c r="AA149" i="5"/>
  <c r="AB124" i="5"/>
  <c r="AA220" i="5"/>
  <c r="AA269" i="5"/>
  <c r="AB267" i="5"/>
  <c r="AA56" i="5"/>
  <c r="AB122" i="5"/>
  <c r="AB221" i="5"/>
  <c r="AA304" i="5"/>
  <c r="AB416" i="5"/>
  <c r="AB299" i="5"/>
  <c r="AA299" i="5"/>
  <c r="AB387" i="5"/>
  <c r="AB386" i="5"/>
  <c r="AA386" i="5"/>
  <c r="AA544" i="5"/>
  <c r="AA301" i="5"/>
  <c r="AB217" i="5"/>
  <c r="AA142" i="5"/>
  <c r="AB119" i="5"/>
  <c r="AB86" i="5"/>
  <c r="AB352" i="5"/>
  <c r="AA333" i="5"/>
  <c r="AB263" i="5"/>
  <c r="AB201" i="5"/>
  <c r="AB225" i="5"/>
  <c r="AB78" i="5"/>
  <c r="AB24" i="5"/>
  <c r="AB109" i="5"/>
  <c r="AB370" i="5"/>
  <c r="AA378" i="5"/>
  <c r="AA500" i="5"/>
  <c r="AB484" i="5"/>
  <c r="AB471" i="5"/>
  <c r="AA483" i="5"/>
  <c r="AB366" i="5"/>
  <c r="AB492" i="5"/>
  <c r="AB493" i="5"/>
  <c r="AB526" i="5"/>
  <c r="AB389" i="5"/>
  <c r="AB556" i="5"/>
  <c r="AA556" i="5"/>
  <c r="AA316" i="5"/>
  <c r="AB316" i="5"/>
  <c r="AA508" i="5"/>
  <c r="AB508" i="5"/>
  <c r="AA429" i="5"/>
  <c r="AB429" i="5"/>
  <c r="AB503" i="5"/>
  <c r="AA503" i="5"/>
  <c r="AA432" i="5"/>
  <c r="AB432" i="5"/>
  <c r="AB505" i="5"/>
  <c r="AA505" i="5"/>
  <c r="AA437" i="5"/>
  <c r="AB437" i="5"/>
  <c r="AA388" i="5"/>
  <c r="AB388" i="5"/>
  <c r="AA311" i="5"/>
  <c r="AB311" i="5"/>
  <c r="AA377" i="5"/>
  <c r="AB377" i="5"/>
  <c r="AA60" i="5"/>
  <c r="AA204" i="5"/>
  <c r="AB259" i="5"/>
  <c r="AA294" i="5"/>
  <c r="AA320" i="5"/>
  <c r="AA395" i="5"/>
  <c r="AA345" i="5"/>
  <c r="AA462" i="5"/>
  <c r="AB189" i="5"/>
  <c r="AA455" i="5"/>
  <c r="AA520" i="5"/>
  <c r="AA530" i="5"/>
  <c r="AB368" i="5"/>
  <c r="AA447" i="5"/>
  <c r="AA35" i="5"/>
  <c r="AA97" i="5"/>
  <c r="AB130" i="5"/>
  <c r="AA222" i="5"/>
  <c r="AA338" i="5"/>
  <c r="AB419" i="5"/>
  <c r="AA367" i="5"/>
  <c r="AA548" i="5"/>
  <c r="AA440" i="5"/>
  <c r="AB440" i="5"/>
  <c r="AB346" i="5"/>
  <c r="AA346" i="5"/>
  <c r="AA330" i="5"/>
  <c r="AB330" i="5"/>
  <c r="AA288" i="5"/>
  <c r="AB288" i="5"/>
  <c r="AB237" i="5"/>
  <c r="AA237" i="5"/>
  <c r="AA192" i="5"/>
  <c r="AB192" i="5"/>
  <c r="AB143" i="5"/>
  <c r="AA143" i="5"/>
  <c r="AB155" i="5"/>
  <c r="AA155" i="5"/>
  <c r="AB101" i="5"/>
  <c r="AA101" i="5"/>
  <c r="AB57" i="5"/>
  <c r="AA57" i="5"/>
  <c r="AA49" i="5"/>
  <c r="AB49" i="5"/>
  <c r="AB361" i="5"/>
  <c r="AB181" i="5"/>
  <c r="AB123" i="5"/>
  <c r="AA80" i="5"/>
  <c r="AA37" i="5"/>
  <c r="AA24" i="5"/>
  <c r="AA78" i="5"/>
  <c r="AB91" i="5"/>
  <c r="AB98" i="5"/>
  <c r="AB133" i="5"/>
  <c r="AA134" i="5"/>
  <c r="AA156" i="5"/>
  <c r="AA176" i="5"/>
  <c r="AA195" i="5"/>
  <c r="AA225" i="5"/>
  <c r="AA197" i="5"/>
  <c r="AA201" i="5"/>
  <c r="AB253" i="5"/>
  <c r="AB307" i="5"/>
  <c r="AB290" i="5"/>
  <c r="AA263" i="5"/>
  <c r="AB314" i="5"/>
  <c r="AB333" i="5"/>
  <c r="AA417" i="5"/>
  <c r="AA352" i="5"/>
  <c r="AA25" i="5"/>
  <c r="AA63" i="5"/>
  <c r="AB32" i="5"/>
  <c r="AA82" i="5"/>
  <c r="AA86" i="5"/>
  <c r="AA125" i="5"/>
  <c r="AA119" i="5"/>
  <c r="AB142" i="5"/>
  <c r="AA166" i="5"/>
  <c r="AA183" i="5"/>
  <c r="AA217" i="5"/>
  <c r="AA184" i="5"/>
  <c r="AB198" i="5"/>
  <c r="AB242" i="5"/>
  <c r="AB302" i="5"/>
  <c r="AB280" i="5"/>
  <c r="AA255" i="5"/>
  <c r="AB301" i="5"/>
  <c r="AA243" i="5"/>
  <c r="AB404" i="5"/>
  <c r="AB292" i="5"/>
  <c r="AB37" i="5"/>
  <c r="AB134" i="5"/>
  <c r="AB156" i="5"/>
  <c r="AB195" i="5"/>
  <c r="AA253" i="5"/>
  <c r="AA290" i="5"/>
  <c r="AB417" i="5"/>
  <c r="AB183" i="5"/>
  <c r="AA198" i="5"/>
  <c r="AC178" i="5" l="1"/>
  <c r="AS178" i="5" s="1"/>
  <c r="AU178" i="5" s="1"/>
  <c r="AC84" i="5"/>
  <c r="AC148" i="5"/>
  <c r="AE148" i="5" s="1"/>
  <c r="AC471" i="5"/>
  <c r="AS471" i="5" s="1"/>
  <c r="AT471" i="5" s="1"/>
  <c r="AC316" i="5"/>
  <c r="AD316" i="5" s="1"/>
  <c r="AC326" i="10"/>
  <c r="AV326" i="10" s="1"/>
  <c r="AC454" i="5"/>
  <c r="AS454" i="5" s="1"/>
  <c r="AU454" i="5" s="1"/>
  <c r="AC509" i="5"/>
  <c r="AD509" i="5" s="1"/>
  <c r="AC476" i="5"/>
  <c r="AD476" i="5" s="1"/>
  <c r="AC112" i="5"/>
  <c r="AE112" i="5" s="1"/>
  <c r="AC44" i="5"/>
  <c r="AE44" i="5" s="1"/>
  <c r="AC80" i="5"/>
  <c r="AE80" i="5" s="1"/>
  <c r="W8" i="4"/>
  <c r="X8" i="4" s="1"/>
  <c r="AC185" i="10"/>
  <c r="AD185" i="10" s="1"/>
  <c r="AC440" i="10"/>
  <c r="AE440" i="10" s="1"/>
  <c r="AC54" i="10"/>
  <c r="AD54" i="10" s="1"/>
  <c r="AC372" i="5"/>
  <c r="AS372" i="5" s="1"/>
  <c r="AT372" i="5" s="1"/>
  <c r="AC77" i="5"/>
  <c r="AD77" i="5" s="1"/>
  <c r="AC125" i="5"/>
  <c r="AE125" i="5" s="1"/>
  <c r="AC8" i="5"/>
  <c r="AS8" i="5" s="1"/>
  <c r="AC151" i="5"/>
  <c r="AS151" i="5" s="1"/>
  <c r="AU151" i="5" s="1"/>
  <c r="AC69" i="10"/>
  <c r="AD69" i="10" s="1"/>
  <c r="AC211" i="10"/>
  <c r="AV211" i="10" s="1"/>
  <c r="AC399" i="5"/>
  <c r="AE399" i="5" s="1"/>
  <c r="AC466" i="5"/>
  <c r="AD466" i="5" s="1"/>
  <c r="AC58" i="5"/>
  <c r="AE58" i="5" s="1"/>
  <c r="AC289" i="5"/>
  <c r="AD289" i="5" s="1"/>
  <c r="AC144" i="5"/>
  <c r="AS144" i="5" s="1"/>
  <c r="AU144" i="5" s="1"/>
  <c r="AC258" i="5"/>
  <c r="AS258" i="5" s="1"/>
  <c r="AU258" i="5" s="1"/>
  <c r="AC556" i="5"/>
  <c r="AE556" i="5" s="1"/>
  <c r="AC45" i="5"/>
  <c r="AE45" i="5" s="1"/>
  <c r="AC526" i="5"/>
  <c r="AE526" i="5" s="1"/>
  <c r="AC150" i="5"/>
  <c r="AE150" i="5" s="1"/>
  <c r="AC375" i="5"/>
  <c r="AD375" i="5" s="1"/>
  <c r="AC451" i="5"/>
  <c r="AS451" i="5" s="1"/>
  <c r="AT451" i="5" s="1"/>
  <c r="AC395" i="10"/>
  <c r="AC250" i="10"/>
  <c r="AE250" i="10" s="1"/>
  <c r="AC498" i="10"/>
  <c r="AV498" i="10" s="1"/>
  <c r="AC200" i="10"/>
  <c r="AD200" i="10" s="1"/>
  <c r="AC108" i="5"/>
  <c r="AS108" i="5" s="1"/>
  <c r="AU108" i="5" s="1"/>
  <c r="AC129" i="10"/>
  <c r="X116" i="4"/>
  <c r="X154" i="4"/>
  <c r="X113" i="4"/>
  <c r="X130" i="4"/>
  <c r="X97" i="4"/>
  <c r="X102" i="4"/>
  <c r="X110" i="4"/>
  <c r="X54" i="4"/>
  <c r="AC279" i="10"/>
  <c r="AC224" i="10"/>
  <c r="AC274" i="10"/>
  <c r="AC53" i="10"/>
  <c r="AE53" i="10" s="1"/>
  <c r="AC160" i="10"/>
  <c r="AD160" i="10" s="1"/>
  <c r="AC242" i="10"/>
  <c r="AE242" i="10" s="1"/>
  <c r="AC28" i="10"/>
  <c r="AE28" i="10" s="1"/>
  <c r="AC55" i="10"/>
  <c r="AV55" i="10" s="1"/>
  <c r="AC278" i="10"/>
  <c r="AD278" i="10" s="1"/>
  <c r="AC516" i="10"/>
  <c r="X81" i="4"/>
  <c r="X69" i="4"/>
  <c r="X62" i="4"/>
  <c r="X52" i="4"/>
  <c r="X112" i="4"/>
  <c r="X152" i="4"/>
  <c r="X91" i="4"/>
  <c r="X126" i="4"/>
  <c r="X145" i="4"/>
  <c r="X150" i="4"/>
  <c r="X64" i="4"/>
  <c r="X146" i="4"/>
  <c r="X67" i="4"/>
  <c r="X142" i="4"/>
  <c r="X123" i="4"/>
  <c r="X111" i="4"/>
  <c r="X137" i="4"/>
  <c r="X106" i="4"/>
  <c r="X65" i="4"/>
  <c r="X90" i="4"/>
  <c r="X104" i="4"/>
  <c r="X79" i="4"/>
  <c r="AC548" i="10"/>
  <c r="AE548" i="10" s="1"/>
  <c r="AC164" i="10"/>
  <c r="AE164" i="10" s="1"/>
  <c r="AC534" i="10"/>
  <c r="AE534" i="10" s="1"/>
  <c r="BN20" i="4"/>
  <c r="AI20" i="4"/>
  <c r="AI134" i="4"/>
  <c r="AI96" i="4"/>
  <c r="BN72" i="4"/>
  <c r="AI72" i="4"/>
  <c r="BN29" i="4"/>
  <c r="AI29" i="4"/>
  <c r="AI135" i="4"/>
  <c r="BN43" i="4"/>
  <c r="AI43" i="4"/>
  <c r="BN33" i="4"/>
  <c r="AI33" i="4"/>
  <c r="BN38" i="4"/>
  <c r="AI38" i="4"/>
  <c r="AI153" i="4"/>
  <c r="BN45" i="4"/>
  <c r="AI45" i="4"/>
  <c r="AI119" i="4"/>
  <c r="BN70" i="4"/>
  <c r="AI70" i="4"/>
  <c r="AI144" i="4"/>
  <c r="AI87" i="4"/>
  <c r="AI83" i="4"/>
  <c r="BN22" i="4"/>
  <c r="AI22" i="4"/>
  <c r="AI101" i="4"/>
  <c r="BN28" i="4"/>
  <c r="AI28" i="4"/>
  <c r="BN60" i="4"/>
  <c r="AI60" i="4"/>
  <c r="AI114" i="4"/>
  <c r="BN50" i="4"/>
  <c r="AI50" i="4"/>
  <c r="AI147" i="4"/>
  <c r="BN12" i="4"/>
  <c r="AI12" i="4"/>
  <c r="BN9" i="4"/>
  <c r="AI9" i="4"/>
  <c r="AI151" i="4"/>
  <c r="AI98" i="4"/>
  <c r="BN14" i="4"/>
  <c r="AI14" i="4"/>
  <c r="AI139" i="4"/>
  <c r="AI85" i="4"/>
  <c r="AI128" i="4"/>
  <c r="BN23" i="4"/>
  <c r="AI23" i="4"/>
  <c r="AI109" i="4"/>
  <c r="BN17" i="4"/>
  <c r="AI17" i="4"/>
  <c r="AI127" i="4"/>
  <c r="BN44" i="4"/>
  <c r="AI44" i="4"/>
  <c r="BN18" i="4"/>
  <c r="AI18" i="4"/>
  <c r="BN25" i="4"/>
  <c r="AI25" i="4"/>
  <c r="BN58" i="4"/>
  <c r="AI58" i="4"/>
  <c r="AI103" i="4"/>
  <c r="AI138" i="4"/>
  <c r="BN11" i="4"/>
  <c r="AI11" i="4"/>
  <c r="AI132" i="4"/>
  <c r="AI131" i="4"/>
  <c r="BN40" i="4"/>
  <c r="AI40" i="4"/>
  <c r="AI89" i="4"/>
  <c r="BN57" i="4"/>
  <c r="AI57" i="4"/>
  <c r="AI100" i="4"/>
  <c r="BN13" i="4"/>
  <c r="AI13" i="4"/>
  <c r="AI86" i="4"/>
  <c r="BN55" i="4"/>
  <c r="AI55" i="4"/>
  <c r="BN27" i="4"/>
  <c r="AI27" i="4"/>
  <c r="AI92" i="4"/>
  <c r="BN74" i="4"/>
  <c r="AI74" i="4"/>
  <c r="AI84" i="4"/>
  <c r="AI105" i="4"/>
  <c r="BN15" i="4"/>
  <c r="AI15" i="4"/>
  <c r="BN53" i="4"/>
  <c r="AI53" i="4"/>
  <c r="BN77" i="4"/>
  <c r="AI77" i="4"/>
  <c r="BN73" i="4"/>
  <c r="AI73" i="4"/>
  <c r="BN16" i="4"/>
  <c r="AI16" i="4"/>
  <c r="AI99" i="4"/>
  <c r="AI93" i="4"/>
  <c r="BN68" i="4"/>
  <c r="AI68" i="4"/>
  <c r="AI129" i="4"/>
  <c r="BN42" i="4"/>
  <c r="AI42" i="4"/>
  <c r="BN10" i="4"/>
  <c r="AI10" i="4"/>
  <c r="BN66" i="4"/>
  <c r="AI66" i="4"/>
  <c r="BN30" i="4"/>
  <c r="AI30" i="4"/>
  <c r="BN31" i="4"/>
  <c r="AI31" i="4"/>
  <c r="BN34" i="4"/>
  <c r="AI34" i="4"/>
  <c r="BN36" i="4"/>
  <c r="AI36" i="4"/>
  <c r="BN78" i="4"/>
  <c r="AI78" i="4"/>
  <c r="AI141" i="4"/>
  <c r="AI80" i="4"/>
  <c r="BN51" i="4"/>
  <c r="AI51" i="4"/>
  <c r="AI115" i="4"/>
  <c r="AI125" i="4"/>
  <c r="BN71" i="4"/>
  <c r="AI71" i="4"/>
  <c r="AI95" i="4"/>
  <c r="BN63" i="4"/>
  <c r="AI63" i="4"/>
  <c r="AI121" i="4"/>
  <c r="BN35" i="4"/>
  <c r="AI35" i="4"/>
  <c r="BN61" i="4"/>
  <c r="AI61" i="4"/>
  <c r="AI155" i="4"/>
  <c r="BN76" i="4"/>
  <c r="AI76" i="4"/>
  <c r="AI88" i="4"/>
  <c r="AI120" i="4"/>
  <c r="X47" i="4"/>
  <c r="Y62" i="4"/>
  <c r="X46" i="4"/>
  <c r="X37" i="4"/>
  <c r="Z102" i="4"/>
  <c r="Y112" i="4"/>
  <c r="Z112" i="4"/>
  <c r="AD7" i="4"/>
  <c r="AH7" i="4"/>
  <c r="W156" i="4"/>
  <c r="X156" i="4" s="1"/>
  <c r="AP107" i="4"/>
  <c r="AO107" i="4" s="1"/>
  <c r="AN107" i="4" s="1"/>
  <c r="W92" i="4"/>
  <c r="X92" i="4" s="1"/>
  <c r="BN8" i="4"/>
  <c r="W107" i="4"/>
  <c r="X107" i="4" s="1"/>
  <c r="Y67" i="4"/>
  <c r="W40" i="4"/>
  <c r="X40" i="4" s="1"/>
  <c r="Z153" i="4"/>
  <c r="AA153" i="4" s="1"/>
  <c r="Y37" i="4"/>
  <c r="AI37" i="4" s="1"/>
  <c r="Y133" i="4"/>
  <c r="W108" i="4"/>
  <c r="X108" i="4" s="1"/>
  <c r="Z92" i="4"/>
  <c r="AA92" i="4" s="1"/>
  <c r="Y59" i="4"/>
  <c r="AI59" i="4" s="1"/>
  <c r="W59" i="4"/>
  <c r="X59" i="4" s="1"/>
  <c r="Z111" i="4"/>
  <c r="Y152" i="4"/>
  <c r="AI152" i="4" s="1"/>
  <c r="W122" i="4"/>
  <c r="X122" i="4" s="1"/>
  <c r="Y111" i="4"/>
  <c r="BI51" i="4"/>
  <c r="BI50" i="4"/>
  <c r="BI12" i="4"/>
  <c r="BI9" i="4"/>
  <c r="BI55" i="4"/>
  <c r="BI96" i="4"/>
  <c r="BI72" i="4"/>
  <c r="BI23" i="4"/>
  <c r="BI127" i="4"/>
  <c r="BI71" i="4"/>
  <c r="W74" i="4"/>
  <c r="X74" i="4" s="1"/>
  <c r="BI35" i="4"/>
  <c r="BI68" i="4"/>
  <c r="BI147" i="4"/>
  <c r="BI151" i="4"/>
  <c r="BI115" i="4"/>
  <c r="BI63" i="4"/>
  <c r="BI61" i="4"/>
  <c r="BI86" i="4"/>
  <c r="BI98" i="4"/>
  <c r="BI139" i="4"/>
  <c r="BI85" i="4"/>
  <c r="BI135" i="4"/>
  <c r="BI101" i="4"/>
  <c r="BI58" i="4"/>
  <c r="BI28" i="4"/>
  <c r="BI45" i="4"/>
  <c r="BI92" i="4"/>
  <c r="BI10" i="4"/>
  <c r="BI77" i="4"/>
  <c r="BI95" i="4"/>
  <c r="BI74" i="4"/>
  <c r="Z74" i="4"/>
  <c r="AA74" i="4" s="1"/>
  <c r="BI31" i="4"/>
  <c r="BI34" i="4"/>
  <c r="BI78" i="4"/>
  <c r="BI128" i="4"/>
  <c r="BI16" i="4"/>
  <c r="BI18" i="4"/>
  <c r="BI25" i="4"/>
  <c r="BI11" i="4"/>
  <c r="BI60" i="4"/>
  <c r="BI114" i="4"/>
  <c r="BI57" i="4"/>
  <c r="BI100" i="4"/>
  <c r="BI129" i="4"/>
  <c r="BI84" i="4"/>
  <c r="Y91" i="4"/>
  <c r="Y122" i="4"/>
  <c r="AI122" i="4" s="1"/>
  <c r="Y140" i="4"/>
  <c r="Y150" i="4"/>
  <c r="Y126" i="4"/>
  <c r="W57" i="4"/>
  <c r="X57" i="4" s="1"/>
  <c r="W100" i="4"/>
  <c r="X100" i="4" s="1"/>
  <c r="W56" i="4"/>
  <c r="X56" i="4" s="1"/>
  <c r="W114" i="4"/>
  <c r="X114" i="4" s="1"/>
  <c r="Z100" i="4"/>
  <c r="AA100" i="4" s="1"/>
  <c r="Y97" i="4"/>
  <c r="Y142" i="4"/>
  <c r="W84" i="4"/>
  <c r="X84" i="4" s="1"/>
  <c r="W157" i="4"/>
  <c r="X157" i="4" s="1"/>
  <c r="W68" i="4"/>
  <c r="X68" i="4" s="1"/>
  <c r="Y41" i="4"/>
  <c r="Y102" i="4"/>
  <c r="AI102" i="4" s="1"/>
  <c r="Y56" i="4"/>
  <c r="W143" i="4"/>
  <c r="X143" i="4" s="1"/>
  <c r="W94" i="4"/>
  <c r="X94" i="4" s="1"/>
  <c r="W41" i="4"/>
  <c r="X41" i="4" s="1"/>
  <c r="Y94" i="4"/>
  <c r="W124" i="4"/>
  <c r="X124" i="4" s="1"/>
  <c r="W129" i="4"/>
  <c r="X129" i="4" s="1"/>
  <c r="W82" i="4"/>
  <c r="X82" i="4" s="1"/>
  <c r="W75" i="4"/>
  <c r="X75" i="4" s="1"/>
  <c r="Z129" i="4"/>
  <c r="AA129" i="4" s="1"/>
  <c r="Z126" i="4"/>
  <c r="Y154" i="4"/>
  <c r="Y75" i="4"/>
  <c r="W60" i="4"/>
  <c r="X60" i="4" s="1"/>
  <c r="W140" i="4"/>
  <c r="X140" i="4" s="1"/>
  <c r="W147" i="4"/>
  <c r="X147" i="4" s="1"/>
  <c r="Z147" i="4"/>
  <c r="AA147" i="4" s="1"/>
  <c r="Z60" i="4"/>
  <c r="AA60" i="4" s="1"/>
  <c r="Y69" i="4"/>
  <c r="Z88" i="4"/>
  <c r="AA88" i="4" s="1"/>
  <c r="Y108" i="4"/>
  <c r="Y39" i="4"/>
  <c r="W88" i="4"/>
  <c r="X88" i="4" s="1"/>
  <c r="W76" i="4"/>
  <c r="X76" i="4" s="1"/>
  <c r="W39" i="4"/>
  <c r="X39" i="4" s="1"/>
  <c r="AP120" i="4"/>
  <c r="AO120" i="4" s="1"/>
  <c r="Y123" i="4"/>
  <c r="W120" i="4"/>
  <c r="X120" i="4" s="1"/>
  <c r="W45" i="4"/>
  <c r="X45" i="4" s="1"/>
  <c r="W153" i="4"/>
  <c r="X153" i="4" s="1"/>
  <c r="W89" i="4"/>
  <c r="X89" i="4" s="1"/>
  <c r="W133" i="4"/>
  <c r="X133" i="4" s="1"/>
  <c r="Z132" i="4"/>
  <c r="AA132" i="4" s="1"/>
  <c r="Z50" i="4"/>
  <c r="AA50" i="4" s="1"/>
  <c r="Z61" i="4"/>
  <c r="AA61" i="4" s="1"/>
  <c r="Y52" i="4"/>
  <c r="W132" i="4"/>
  <c r="X132" i="4" s="1"/>
  <c r="W131" i="4"/>
  <c r="X131" i="4" s="1"/>
  <c r="W50" i="4"/>
  <c r="X50" i="4" s="1"/>
  <c r="Z52" i="4"/>
  <c r="Z131" i="4"/>
  <c r="AA131" i="4" s="1"/>
  <c r="Z145" i="4"/>
  <c r="Y116" i="4"/>
  <c r="Y145" i="4"/>
  <c r="W61" i="4"/>
  <c r="X61" i="4" s="1"/>
  <c r="Y130" i="4"/>
  <c r="W155" i="4"/>
  <c r="X155" i="4" s="1"/>
  <c r="Z90" i="4"/>
  <c r="Y90" i="4"/>
  <c r="AA11" i="4"/>
  <c r="AA38" i="4"/>
  <c r="AA35" i="4"/>
  <c r="X30" i="4"/>
  <c r="X20" i="4"/>
  <c r="X10" i="4"/>
  <c r="X15" i="4"/>
  <c r="X26" i="4"/>
  <c r="X18" i="4"/>
  <c r="X24" i="4"/>
  <c r="X22" i="4"/>
  <c r="AP70" i="4"/>
  <c r="AP151" i="4"/>
  <c r="AP98" i="4"/>
  <c r="AO98" i="4" s="1"/>
  <c r="AP77" i="4"/>
  <c r="AP60" i="4"/>
  <c r="AO60" i="4" s="1"/>
  <c r="AP45" i="4"/>
  <c r="AP109" i="4"/>
  <c r="AP115" i="4"/>
  <c r="AP71" i="4"/>
  <c r="AO71" i="4" s="1"/>
  <c r="AP103" i="4"/>
  <c r="AP28" i="4"/>
  <c r="AO28" i="4" s="1"/>
  <c r="AP12" i="4"/>
  <c r="AP86" i="4"/>
  <c r="AO86" i="4" s="1"/>
  <c r="AP134" i="4"/>
  <c r="AP34" i="4"/>
  <c r="AP131" i="4"/>
  <c r="AP141" i="4"/>
  <c r="AP88" i="4"/>
  <c r="AP68" i="4"/>
  <c r="AO68" i="4" s="1"/>
  <c r="AP125" i="4"/>
  <c r="AP63" i="4"/>
  <c r="AP119" i="4"/>
  <c r="AP13" i="4"/>
  <c r="AP10" i="4"/>
  <c r="AO10" i="4" s="1"/>
  <c r="AP15" i="4"/>
  <c r="AP74" i="4"/>
  <c r="AO74" i="4" s="1"/>
  <c r="AP57" i="4"/>
  <c r="AP55" i="4"/>
  <c r="AP96" i="4"/>
  <c r="AP114" i="4"/>
  <c r="AP155" i="4"/>
  <c r="AP85" i="4"/>
  <c r="AP72" i="4"/>
  <c r="AP83" i="4"/>
  <c r="AO83" i="4" s="1"/>
  <c r="AP135" i="4"/>
  <c r="AP132" i="4"/>
  <c r="AP17" i="4"/>
  <c r="AP93" i="4"/>
  <c r="AP33" i="4"/>
  <c r="AP25" i="4"/>
  <c r="AP38" i="4"/>
  <c r="AP11" i="4"/>
  <c r="AP105" i="4"/>
  <c r="AP66" i="4"/>
  <c r="AP84" i="4"/>
  <c r="AP14" i="4"/>
  <c r="AO14" i="4" s="1"/>
  <c r="AP36" i="4"/>
  <c r="AO36" i="4" s="1"/>
  <c r="AP89" i="4"/>
  <c r="AP127" i="4"/>
  <c r="AP44" i="4"/>
  <c r="AP76" i="4"/>
  <c r="AP42" i="4"/>
  <c r="AP50" i="4"/>
  <c r="AP30" i="4"/>
  <c r="AP31" i="4"/>
  <c r="AP153" i="4"/>
  <c r="AP87" i="4"/>
  <c r="AO87" i="4" s="1"/>
  <c r="AP73" i="4"/>
  <c r="AP92" i="4"/>
  <c r="AP80" i="4"/>
  <c r="AP22" i="4"/>
  <c r="AO22" i="4" s="1"/>
  <c r="AP100" i="4"/>
  <c r="AP95" i="4"/>
  <c r="AO95" i="4" s="1"/>
  <c r="AP138" i="4"/>
  <c r="AP40" i="4"/>
  <c r="AO40" i="4" s="1"/>
  <c r="AP20" i="4"/>
  <c r="AP9" i="4"/>
  <c r="AP144" i="4"/>
  <c r="AP53" i="4"/>
  <c r="AP139" i="4"/>
  <c r="AP27" i="4"/>
  <c r="AP78" i="4"/>
  <c r="AO78" i="4" s="1"/>
  <c r="AP128" i="4"/>
  <c r="AP29" i="4"/>
  <c r="AP23" i="4"/>
  <c r="AP16" i="4"/>
  <c r="AP51" i="4"/>
  <c r="AP129" i="4"/>
  <c r="AP99" i="4"/>
  <c r="AO99" i="4" s="1"/>
  <c r="AP43" i="4"/>
  <c r="AP61" i="4"/>
  <c r="AP147" i="4"/>
  <c r="AP18" i="4"/>
  <c r="AO18" i="4" s="1"/>
  <c r="AP101" i="4"/>
  <c r="AP58" i="4"/>
  <c r="AP35" i="4"/>
  <c r="X21" i="4"/>
  <c r="X12" i="4"/>
  <c r="X9" i="4"/>
  <c r="X33" i="4"/>
  <c r="AA28" i="4"/>
  <c r="X17" i="4"/>
  <c r="X19" i="4"/>
  <c r="X32" i="4"/>
  <c r="X31" i="4"/>
  <c r="X34" i="4"/>
  <c r="X27" i="4"/>
  <c r="AP8" i="4"/>
  <c r="AA103" i="4"/>
  <c r="AA138" i="4"/>
  <c r="X16" i="4"/>
  <c r="X35" i="4"/>
  <c r="X28" i="4"/>
  <c r="X11" i="4"/>
  <c r="AA121" i="4"/>
  <c r="AA63" i="4"/>
  <c r="AA23" i="4"/>
  <c r="AA93" i="4"/>
  <c r="AA115" i="4"/>
  <c r="AA18" i="4"/>
  <c r="AA101" i="4"/>
  <c r="AA125" i="4"/>
  <c r="AA22" i="4"/>
  <c r="AA71" i="4"/>
  <c r="AA44" i="4"/>
  <c r="AA127" i="4"/>
  <c r="AA80" i="4"/>
  <c r="AA43" i="4"/>
  <c r="AA51" i="4"/>
  <c r="Z114" i="4"/>
  <c r="AA114" i="4" s="1"/>
  <c r="Z15" i="4"/>
  <c r="AA15" i="4" s="1"/>
  <c r="Z96" i="4"/>
  <c r="AA96" i="4" s="1"/>
  <c r="Z20" i="4"/>
  <c r="AA20" i="4" s="1"/>
  <c r="Z40" i="4"/>
  <c r="AA40" i="4" s="1"/>
  <c r="Z128" i="4"/>
  <c r="AA128" i="4" s="1"/>
  <c r="Z84" i="4"/>
  <c r="AA84" i="4" s="1"/>
  <c r="Z98" i="4"/>
  <c r="AA98" i="4" s="1"/>
  <c r="Z13" i="4"/>
  <c r="AA13" i="4" s="1"/>
  <c r="Z85" i="4"/>
  <c r="AA85" i="4" s="1"/>
  <c r="Z30" i="4"/>
  <c r="AA30" i="4" s="1"/>
  <c r="Z67" i="4"/>
  <c r="Z66" i="4"/>
  <c r="AA66" i="4" s="1"/>
  <c r="Z97" i="4"/>
  <c r="Y146" i="4"/>
  <c r="Z146" i="4"/>
  <c r="AA12" i="4"/>
  <c r="Y149" i="4"/>
  <c r="Y143" i="4"/>
  <c r="Z9" i="4"/>
  <c r="AA9" i="4" s="1"/>
  <c r="Z149" i="4"/>
  <c r="Z19" i="4"/>
  <c r="Y19" i="4"/>
  <c r="Z65" i="4"/>
  <c r="Y65" i="4"/>
  <c r="Y124" i="4"/>
  <c r="Y156" i="4"/>
  <c r="Y148" i="4"/>
  <c r="Y104" i="4"/>
  <c r="Y157" i="4"/>
  <c r="Y54" i="4"/>
  <c r="Y82" i="4"/>
  <c r="Y117" i="4"/>
  <c r="AA134" i="4"/>
  <c r="Z137" i="4"/>
  <c r="Y137" i="4"/>
  <c r="Z118" i="4"/>
  <c r="Y118" i="4"/>
  <c r="Z113" i="4"/>
  <c r="Y113" i="4"/>
  <c r="Z26" i="4"/>
  <c r="Y26" i="4"/>
  <c r="Z24" i="4"/>
  <c r="Y24" i="4"/>
  <c r="Y48" i="4"/>
  <c r="Y110" i="4"/>
  <c r="Z110" i="4"/>
  <c r="Y49" i="4"/>
  <c r="Y79" i="4"/>
  <c r="Y81" i="4"/>
  <c r="Z81" i="4"/>
  <c r="Z123" i="4"/>
  <c r="AA8" i="4"/>
  <c r="AB8" i="4" s="1"/>
  <c r="AH8" i="4" s="1"/>
  <c r="AA119" i="4"/>
  <c r="AA42" i="4"/>
  <c r="AA70" i="4"/>
  <c r="AA86" i="4"/>
  <c r="AA151" i="4"/>
  <c r="AA144" i="4"/>
  <c r="AA14" i="4"/>
  <c r="AA36" i="4"/>
  <c r="Z136" i="4"/>
  <c r="Y136" i="4"/>
  <c r="Z21" i="4"/>
  <c r="Y21" i="4"/>
  <c r="Z64" i="4"/>
  <c r="Y64" i="4"/>
  <c r="Z106" i="4"/>
  <c r="Y106" i="4"/>
  <c r="Y46" i="4"/>
  <c r="Z32" i="4"/>
  <c r="Y32" i="4"/>
  <c r="Z47" i="4"/>
  <c r="Y47" i="4"/>
  <c r="AA53" i="4"/>
  <c r="AA77" i="4"/>
  <c r="AA27" i="4"/>
  <c r="AA78" i="4"/>
  <c r="AA73" i="4"/>
  <c r="AA141" i="4"/>
  <c r="R116" i="10"/>
  <c r="S403" i="10"/>
  <c r="S185" i="10"/>
  <c r="AC403" i="10"/>
  <c r="AD403" i="10" s="1"/>
  <c r="S300" i="10"/>
  <c r="AC300" i="10"/>
  <c r="AE300" i="10" s="1"/>
  <c r="S92" i="10"/>
  <c r="AC92" i="10"/>
  <c r="AV92" i="10" s="1"/>
  <c r="S486" i="10"/>
  <c r="S174" i="10"/>
  <c r="AC556" i="10"/>
  <c r="AE556" i="10" s="1"/>
  <c r="S365" i="10"/>
  <c r="AC365" i="10"/>
  <c r="AE365" i="10" s="1"/>
  <c r="AC353" i="10"/>
  <c r="AE353" i="10" s="1"/>
  <c r="R462" i="10"/>
  <c r="R353" i="10"/>
  <c r="S377" i="10"/>
  <c r="AC283" i="10"/>
  <c r="AV283" i="10" s="1"/>
  <c r="AW283" i="10" s="1"/>
  <c r="R82" i="10"/>
  <c r="AC141" i="10"/>
  <c r="AD141" i="10" s="1"/>
  <c r="R535" i="10"/>
  <c r="R490" i="10"/>
  <c r="AC288" i="10"/>
  <c r="AD288" i="10" s="1"/>
  <c r="AC165" i="10"/>
  <c r="AE165" i="10" s="1"/>
  <c r="R422" i="10"/>
  <c r="R164" i="10"/>
  <c r="AC557" i="10"/>
  <c r="AD557" i="10" s="1"/>
  <c r="AC520" i="10"/>
  <c r="AV520" i="10" s="1"/>
  <c r="AC51" i="10"/>
  <c r="AD51" i="10" s="1"/>
  <c r="S165" i="10"/>
  <c r="R251" i="10"/>
  <c r="R73" i="10"/>
  <c r="AC132" i="10"/>
  <c r="AE132" i="10" s="1"/>
  <c r="AC464" i="10"/>
  <c r="AE464" i="10" s="1"/>
  <c r="AC137" i="10"/>
  <c r="AV137" i="10" s="1"/>
  <c r="AW137" i="10" s="1"/>
  <c r="AC378" i="10"/>
  <c r="AE378" i="10" s="1"/>
  <c r="AC458" i="10"/>
  <c r="AD458" i="10" s="1"/>
  <c r="AC499" i="10"/>
  <c r="AD499" i="10" s="1"/>
  <c r="S113" i="10"/>
  <c r="S297" i="10"/>
  <c r="S222" i="10"/>
  <c r="AC315" i="10"/>
  <c r="AE315" i="10" s="1"/>
  <c r="AC118" i="10"/>
  <c r="AD118" i="10" s="1"/>
  <c r="AC251" i="10"/>
  <c r="AV251" i="10" s="1"/>
  <c r="AW251" i="10" s="1"/>
  <c r="S478" i="10"/>
  <c r="R548" i="10"/>
  <c r="R127" i="10"/>
  <c r="S180" i="10"/>
  <c r="R413" i="10"/>
  <c r="AC411" i="10"/>
  <c r="AE411" i="10" s="1"/>
  <c r="AC249" i="10"/>
  <c r="AV249" i="10" s="1"/>
  <c r="AC377" i="10"/>
  <c r="AE377" i="10" s="1"/>
  <c r="AC174" i="10"/>
  <c r="AV174" i="10" s="1"/>
  <c r="AW174" i="10" s="1"/>
  <c r="R20" i="10"/>
  <c r="AC558" i="10"/>
  <c r="AD558" i="10" s="1"/>
  <c r="AC48" i="10"/>
  <c r="AE48" i="10" s="1"/>
  <c r="W11" i="10"/>
  <c r="X11" i="10" s="1"/>
  <c r="AC530" i="10"/>
  <c r="AD530" i="10" s="1"/>
  <c r="AC317" i="10"/>
  <c r="AV317" i="10" s="1"/>
  <c r="AC116" i="10"/>
  <c r="AE116" i="10" s="1"/>
  <c r="AC72" i="10"/>
  <c r="AD72" i="10" s="1"/>
  <c r="S250" i="10"/>
  <c r="AC56" i="10"/>
  <c r="AV56" i="10" s="1"/>
  <c r="S77" i="10"/>
  <c r="AC197" i="10"/>
  <c r="AD197" i="10" s="1"/>
  <c r="AC33" i="10"/>
  <c r="AE33" i="10" s="1"/>
  <c r="R437" i="10"/>
  <c r="AC102" i="10"/>
  <c r="AE102" i="10" s="1"/>
  <c r="AC215" i="10"/>
  <c r="AE215" i="10" s="1"/>
  <c r="S556" i="10"/>
  <c r="S475" i="10"/>
  <c r="AC209" i="10"/>
  <c r="AE209" i="10" s="1"/>
  <c r="AC446" i="5"/>
  <c r="AS446" i="5" s="1"/>
  <c r="AU446" i="5" s="1"/>
  <c r="S215" i="10"/>
  <c r="R157" i="10"/>
  <c r="S471" i="10"/>
  <c r="AC348" i="10"/>
  <c r="AV348" i="10" s="1"/>
  <c r="AC34" i="10"/>
  <c r="AV34" i="10" s="1"/>
  <c r="AC127" i="10"/>
  <c r="AV127" i="10" s="1"/>
  <c r="AC544" i="10"/>
  <c r="AE544" i="10" s="1"/>
  <c r="AC100" i="10"/>
  <c r="AE100" i="10" s="1"/>
  <c r="S393" i="10"/>
  <c r="AC488" i="10"/>
  <c r="AV488" i="10" s="1"/>
  <c r="AC89" i="10"/>
  <c r="AD89" i="10" s="1"/>
  <c r="AC373" i="10"/>
  <c r="AD373" i="10" s="1"/>
  <c r="AC41" i="10"/>
  <c r="AV41" i="10" s="1"/>
  <c r="AC172" i="10"/>
  <c r="AV172" i="10" s="1"/>
  <c r="AC314" i="10"/>
  <c r="AE314" i="10" s="1"/>
  <c r="AC203" i="10"/>
  <c r="AD203" i="10" s="1"/>
  <c r="AC382" i="10"/>
  <c r="AD382" i="10" s="1"/>
  <c r="AC380" i="10"/>
  <c r="AV380" i="10" s="1"/>
  <c r="AC290" i="10"/>
  <c r="AD290" i="10" s="1"/>
  <c r="AC432" i="10"/>
  <c r="AE432" i="10" s="1"/>
  <c r="AC13" i="10"/>
  <c r="AV13" i="10" s="1"/>
  <c r="AW13" i="10" s="1"/>
  <c r="AC502" i="10"/>
  <c r="AE502" i="10" s="1"/>
  <c r="AC202" i="10"/>
  <c r="AD202" i="10" s="1"/>
  <c r="S259" i="10"/>
  <c r="R68" i="10"/>
  <c r="R197" i="10"/>
  <c r="AC170" i="10"/>
  <c r="AV170" i="10" s="1"/>
  <c r="AC444" i="10"/>
  <c r="AE444" i="10" s="1"/>
  <c r="AC514" i="10"/>
  <c r="AV514" i="10" s="1"/>
  <c r="R432" i="10"/>
  <c r="S382" i="10"/>
  <c r="R361" i="10"/>
  <c r="AC259" i="10"/>
  <c r="AV259" i="10" s="1"/>
  <c r="S56" i="10"/>
  <c r="R129" i="10"/>
  <c r="R543" i="10"/>
  <c r="S444" i="10"/>
  <c r="R54" i="10"/>
  <c r="S69" i="10"/>
  <c r="S93" i="10"/>
  <c r="AC456" i="10"/>
  <c r="AV456" i="10" s="1"/>
  <c r="S299" i="10"/>
  <c r="S244" i="10"/>
  <c r="R56" i="10"/>
  <c r="R202" i="10"/>
  <c r="AC468" i="10"/>
  <c r="AE468" i="10" s="1"/>
  <c r="AC121" i="10"/>
  <c r="AD121" i="10" s="1"/>
  <c r="AC428" i="10"/>
  <c r="AV428" i="10" s="1"/>
  <c r="AC473" i="10"/>
  <c r="AD473" i="10" s="1"/>
  <c r="AC320" i="10"/>
  <c r="AE320" i="10" s="1"/>
  <c r="S544" i="10"/>
  <c r="S326" i="10"/>
  <c r="S100" i="10"/>
  <c r="S440" i="10"/>
  <c r="AC272" i="10"/>
  <c r="AD272" i="10" s="1"/>
  <c r="AC157" i="10"/>
  <c r="AV157" i="10" s="1"/>
  <c r="S33" i="10"/>
  <c r="R301" i="10"/>
  <c r="S348" i="10"/>
  <c r="R122" i="10"/>
  <c r="R272" i="10"/>
  <c r="S465" i="10"/>
  <c r="R85" i="10"/>
  <c r="S522" i="10"/>
  <c r="R325" i="10"/>
  <c r="AC301" i="10"/>
  <c r="AD301" i="10" s="1"/>
  <c r="AC441" i="10"/>
  <c r="AD441" i="10" s="1"/>
  <c r="AC522" i="10"/>
  <c r="AE522" i="10" s="1"/>
  <c r="AC77" i="10"/>
  <c r="AV77" i="10" s="1"/>
  <c r="AC536" i="10"/>
  <c r="AD536" i="10" s="1"/>
  <c r="AC543" i="10"/>
  <c r="AV543" i="10" s="1"/>
  <c r="AC465" i="10"/>
  <c r="AE465" i="10" s="1"/>
  <c r="AC261" i="10"/>
  <c r="AE261" i="10" s="1"/>
  <c r="AC122" i="10"/>
  <c r="AV122" i="10" s="1"/>
  <c r="R556" i="10"/>
  <c r="AC471" i="10"/>
  <c r="AD471" i="10" s="1"/>
  <c r="AC437" i="10"/>
  <c r="AV437" i="10" s="1"/>
  <c r="AC85" i="10"/>
  <c r="AD85" i="10" s="1"/>
  <c r="AC393" i="10"/>
  <c r="AE393" i="10" s="1"/>
  <c r="AC475" i="10"/>
  <c r="AD475" i="10" s="1"/>
  <c r="AC325" i="10"/>
  <c r="AD325" i="10" s="1"/>
  <c r="R358" i="10"/>
  <c r="S358" i="10"/>
  <c r="R388" i="10"/>
  <c r="AC388" i="10"/>
  <c r="AE388" i="10" s="1"/>
  <c r="S206" i="10"/>
  <c r="R206" i="10"/>
  <c r="AC501" i="10"/>
  <c r="AE501" i="10" s="1"/>
  <c r="R501" i="10"/>
  <c r="S173" i="10"/>
  <c r="R173" i="10"/>
  <c r="AC38" i="10"/>
  <c r="AE38" i="10" s="1"/>
  <c r="S38" i="10"/>
  <c r="AC405" i="10"/>
  <c r="AE405" i="10" s="1"/>
  <c r="S405" i="10"/>
  <c r="AC90" i="10"/>
  <c r="AD90" i="10" s="1"/>
  <c r="R90" i="10"/>
  <c r="S416" i="10"/>
  <c r="R416" i="10"/>
  <c r="S337" i="10"/>
  <c r="R337" i="10"/>
  <c r="AC139" i="10"/>
  <c r="AD139" i="10" s="1"/>
  <c r="S139" i="10"/>
  <c r="R139" i="10"/>
  <c r="AC47" i="10"/>
  <c r="AD47" i="10" s="1"/>
  <c r="R47" i="10"/>
  <c r="R96" i="10"/>
  <c r="S96" i="10"/>
  <c r="AC295" i="10"/>
  <c r="AV295" i="10" s="1"/>
  <c r="R295" i="10"/>
  <c r="R463" i="10"/>
  <c r="S463" i="10"/>
  <c r="AC8" i="10"/>
  <c r="AE8" i="10" s="1"/>
  <c r="R8" i="10"/>
  <c r="AC43" i="10"/>
  <c r="AD43" i="10" s="1"/>
  <c r="R43" i="10"/>
  <c r="AC153" i="10"/>
  <c r="AV153" i="10" s="1"/>
  <c r="R153" i="10"/>
  <c r="R258" i="10"/>
  <c r="AC258" i="10"/>
  <c r="AE258" i="10" s="1"/>
  <c r="S290" i="10"/>
  <c r="R290" i="10"/>
  <c r="AC399" i="10"/>
  <c r="AV399" i="10" s="1"/>
  <c r="AX399" i="10" s="1"/>
  <c r="R399" i="10"/>
  <c r="S512" i="10"/>
  <c r="R512" i="10"/>
  <c r="S469" i="10"/>
  <c r="R469" i="10"/>
  <c r="S452" i="10"/>
  <c r="R452" i="10"/>
  <c r="AC452" i="10"/>
  <c r="AE452" i="10" s="1"/>
  <c r="R387" i="10"/>
  <c r="S387" i="10"/>
  <c r="S39" i="10"/>
  <c r="R39" i="10"/>
  <c r="AC168" i="10"/>
  <c r="AV168" i="10" s="1"/>
  <c r="S168" i="10"/>
  <c r="R72" i="10"/>
  <c r="S72" i="10"/>
  <c r="R115" i="10"/>
  <c r="AC115" i="10"/>
  <c r="AV115" i="10" s="1"/>
  <c r="R286" i="10"/>
  <c r="S286" i="10"/>
  <c r="AC330" i="10"/>
  <c r="AE330" i="10" s="1"/>
  <c r="R330" i="10"/>
  <c r="AC323" i="10"/>
  <c r="AE323" i="10" s="1"/>
  <c r="S323" i="10"/>
  <c r="R323" i="10"/>
  <c r="R391" i="10"/>
  <c r="S391" i="10"/>
  <c r="S436" i="10"/>
  <c r="AC436" i="10"/>
  <c r="AE436" i="10" s="1"/>
  <c r="S492" i="10"/>
  <c r="R492" i="10"/>
  <c r="R466" i="10"/>
  <c r="S466" i="10"/>
  <c r="S507" i="10"/>
  <c r="R507" i="10"/>
  <c r="S500" i="10"/>
  <c r="R500" i="10"/>
  <c r="AC225" i="10"/>
  <c r="AD225" i="10" s="1"/>
  <c r="S225" i="10"/>
  <c r="R225" i="10"/>
  <c r="S37" i="10"/>
  <c r="R37" i="10"/>
  <c r="R312" i="10"/>
  <c r="S312" i="10"/>
  <c r="S430" i="10"/>
  <c r="R430" i="10"/>
  <c r="AC492" i="10"/>
  <c r="AE492" i="10" s="1"/>
  <c r="S219" i="10"/>
  <c r="S47" i="10"/>
  <c r="S501" i="10"/>
  <c r="R425" i="10"/>
  <c r="S533" i="10"/>
  <c r="R167" i="10"/>
  <c r="S8" i="10"/>
  <c r="S115" i="10"/>
  <c r="AC551" i="10"/>
  <c r="AV551" i="10" s="1"/>
  <c r="AC219" i="10"/>
  <c r="AE219" i="10" s="1"/>
  <c r="S560" i="10"/>
  <c r="S90" i="10"/>
  <c r="AC387" i="10"/>
  <c r="AV387" i="10" s="1"/>
  <c r="AC125" i="10"/>
  <c r="AV125" i="10" s="1"/>
  <c r="S399" i="10"/>
  <c r="AC37" i="10"/>
  <c r="AV37" i="10" s="1"/>
  <c r="AX37" i="10" s="1"/>
  <c r="AC367" i="10"/>
  <c r="AV367" i="10" s="1"/>
  <c r="AW367" i="10" s="1"/>
  <c r="R356" i="10"/>
  <c r="R502" i="10"/>
  <c r="AC420" i="10"/>
  <c r="AV420" i="10" s="1"/>
  <c r="AC356" i="10"/>
  <c r="AD356" i="10" s="1"/>
  <c r="S455" i="10"/>
  <c r="R319" i="10"/>
  <c r="S291" i="10"/>
  <c r="S50" i="10"/>
  <c r="R366" i="10"/>
  <c r="S126" i="10"/>
  <c r="S380" i="10"/>
  <c r="AC478" i="10"/>
  <c r="AV478" i="10" s="1"/>
  <c r="S502" i="10"/>
  <c r="R509" i="10"/>
  <c r="S110" i="10"/>
  <c r="S513" i="10"/>
  <c r="S510" i="10"/>
  <c r="R182" i="10"/>
  <c r="R13" i="10"/>
  <c r="AC244" i="10"/>
  <c r="AD244" i="10" s="1"/>
  <c r="AC36" i="10"/>
  <c r="AD36" i="10" s="1"/>
  <c r="AC358" i="10"/>
  <c r="AV358" i="10" s="1"/>
  <c r="AX358" i="10" s="1"/>
  <c r="AC78" i="10"/>
  <c r="AV78" i="10" s="1"/>
  <c r="AC124" i="10"/>
  <c r="AV124" i="10" s="1"/>
  <c r="AC513" i="10"/>
  <c r="AD513" i="10" s="1"/>
  <c r="AC297" i="10"/>
  <c r="AV297" i="10" s="1"/>
  <c r="AC126" i="10"/>
  <c r="AD126" i="10" s="1"/>
  <c r="AC113" i="10"/>
  <c r="AV113" i="10" s="1"/>
  <c r="S372" i="10"/>
  <c r="AC182" i="10"/>
  <c r="AE182" i="10" s="1"/>
  <c r="AC434" i="10"/>
  <c r="AE434" i="10" s="1"/>
  <c r="AC361" i="10"/>
  <c r="AE361" i="10" s="1"/>
  <c r="AC425" i="10"/>
  <c r="AD425" i="10" s="1"/>
  <c r="AC507" i="10"/>
  <c r="AD507" i="10" s="1"/>
  <c r="AC205" i="10"/>
  <c r="AD205" i="10" s="1"/>
  <c r="AC222" i="10"/>
  <c r="AD222" i="10" s="1"/>
  <c r="AC285" i="10"/>
  <c r="AV285" i="10" s="1"/>
  <c r="AW285" i="10" s="1"/>
  <c r="AC342" i="10"/>
  <c r="AE342" i="10" s="1"/>
  <c r="AC443" i="10"/>
  <c r="AV443" i="10" s="1"/>
  <c r="AC455" i="10"/>
  <c r="AE455" i="10" s="1"/>
  <c r="AC552" i="10"/>
  <c r="AE552" i="10" s="1"/>
  <c r="AC218" i="10"/>
  <c r="AE218" i="10" s="1"/>
  <c r="AC275" i="10"/>
  <c r="AD275" i="10" s="1"/>
  <c r="AC93" i="10"/>
  <c r="AD93" i="10" s="1"/>
  <c r="AC490" i="10"/>
  <c r="AE490" i="10" s="1"/>
  <c r="AC291" i="10"/>
  <c r="AE291" i="10" s="1"/>
  <c r="AC104" i="10"/>
  <c r="AD104" i="10" s="1"/>
  <c r="AC188" i="10"/>
  <c r="AE188" i="10" s="1"/>
  <c r="AC248" i="10"/>
  <c r="AD248" i="10" s="1"/>
  <c r="AC413" i="10"/>
  <c r="AD413" i="10" s="1"/>
  <c r="AC512" i="10"/>
  <c r="AE512" i="10" s="1"/>
  <c r="AC110" i="10"/>
  <c r="AE110" i="10" s="1"/>
  <c r="AC500" i="10"/>
  <c r="AE500" i="10" s="1"/>
  <c r="S88" i="10"/>
  <c r="AC88" i="10"/>
  <c r="AD88" i="10" s="1"/>
  <c r="AC503" i="10"/>
  <c r="AV503" i="10" s="1"/>
  <c r="R503" i="10"/>
  <c r="S503" i="10"/>
  <c r="S364" i="10"/>
  <c r="AC364" i="10"/>
  <c r="AV364" i="10" s="1"/>
  <c r="S304" i="10"/>
  <c r="AC304" i="10"/>
  <c r="AD304" i="10" s="1"/>
  <c r="S335" i="10"/>
  <c r="R335" i="10"/>
  <c r="S426" i="10"/>
  <c r="R426" i="10"/>
  <c r="R278" i="10"/>
  <c r="R364" i="10"/>
  <c r="R497" i="10"/>
  <c r="S497" i="10"/>
  <c r="R487" i="10"/>
  <c r="S487" i="10"/>
  <c r="S124" i="10"/>
  <c r="R124" i="10"/>
  <c r="S26" i="10"/>
  <c r="AC26" i="10"/>
  <c r="AD26" i="10" s="1"/>
  <c r="R411" i="10"/>
  <c r="S411" i="10"/>
  <c r="R305" i="10"/>
  <c r="AC305" i="10"/>
  <c r="AV305" i="10" s="1"/>
  <c r="S305" i="10"/>
  <c r="AC176" i="10"/>
  <c r="AE176" i="10" s="1"/>
  <c r="R176" i="10"/>
  <c r="S338" i="10"/>
  <c r="R338" i="10"/>
  <c r="S331" i="10"/>
  <c r="R331" i="10"/>
  <c r="S433" i="10"/>
  <c r="R433" i="10"/>
  <c r="S474" i="10"/>
  <c r="R474" i="10"/>
  <c r="S549" i="10"/>
  <c r="R549" i="10"/>
  <c r="S494" i="10"/>
  <c r="R494" i="10"/>
  <c r="S170" i="10"/>
  <c r="R170" i="10"/>
  <c r="AC491" i="10"/>
  <c r="AE491" i="10" s="1"/>
  <c r="R491" i="10"/>
  <c r="S35" i="10"/>
  <c r="AC35" i="10"/>
  <c r="AV35" i="10" s="1"/>
  <c r="R35" i="10"/>
  <c r="S443" i="10"/>
  <c r="R443" i="10"/>
  <c r="AC254" i="10"/>
  <c r="AE254" i="10" s="1"/>
  <c r="AC462" i="10"/>
  <c r="AE462" i="10" s="1"/>
  <c r="S253" i="10"/>
  <c r="R253" i="10"/>
  <c r="S552" i="10"/>
  <c r="R552" i="10"/>
  <c r="S58" i="10"/>
  <c r="R58" i="10"/>
  <c r="AC252" i="5"/>
  <c r="AS252" i="5" s="1"/>
  <c r="AT252" i="5" s="1"/>
  <c r="AC466" i="10"/>
  <c r="AE466" i="10" s="1"/>
  <c r="AC338" i="10"/>
  <c r="AE338" i="10" s="1"/>
  <c r="AC331" i="10"/>
  <c r="AD331" i="10" s="1"/>
  <c r="S306" i="10"/>
  <c r="S330" i="10"/>
  <c r="R254" i="10"/>
  <c r="R145" i="10"/>
  <c r="R104" i="10"/>
  <c r="R41" i="10"/>
  <c r="R293" i="10"/>
  <c r="S316" i="10"/>
  <c r="R151" i="10"/>
  <c r="R405" i="10"/>
  <c r="R447" i="10"/>
  <c r="S162" i="10"/>
  <c r="S547" i="10"/>
  <c r="S367" i="10"/>
  <c r="R283" i="10"/>
  <c r="S111" i="10"/>
  <c r="R141" i="10"/>
  <c r="R36" i="10"/>
  <c r="R125" i="10"/>
  <c r="R385" i="10"/>
  <c r="S209" i="10"/>
  <c r="R551" i="10"/>
  <c r="R343" i="10"/>
  <c r="S295" i="10"/>
  <c r="S43" i="10"/>
  <c r="R420" i="10"/>
  <c r="AC442" i="10"/>
  <c r="AV442" i="10" s="1"/>
  <c r="AC316" i="10"/>
  <c r="AE316" i="10" s="1"/>
  <c r="S434" i="10"/>
  <c r="R227" i="10"/>
  <c r="S153" i="10"/>
  <c r="R304" i="10"/>
  <c r="S401" i="10"/>
  <c r="S317" i="10"/>
  <c r="R526" i="10"/>
  <c r="R521" i="10"/>
  <c r="R78" i="10"/>
  <c r="R558" i="10"/>
  <c r="R280" i="10"/>
  <c r="AC371" i="10"/>
  <c r="AV371" i="10" s="1"/>
  <c r="S371" i="10"/>
  <c r="R76" i="10"/>
  <c r="S76" i="10"/>
  <c r="S223" i="10"/>
  <c r="R223" i="10"/>
  <c r="S508" i="10"/>
  <c r="R508" i="10"/>
  <c r="R340" i="10"/>
  <c r="S340" i="10"/>
  <c r="AC340" i="10"/>
  <c r="AD340" i="10" s="1"/>
  <c r="AC280" i="10"/>
  <c r="AV280" i="10" s="1"/>
  <c r="AC526" i="10"/>
  <c r="AV526" i="10" s="1"/>
  <c r="S390" i="10"/>
  <c r="R390" i="10"/>
  <c r="AC79" i="10"/>
  <c r="AV79" i="10" s="1"/>
  <c r="S79" i="10"/>
  <c r="S186" i="10"/>
  <c r="R186" i="10"/>
  <c r="R208" i="10"/>
  <c r="AC208" i="10"/>
  <c r="AD208" i="10" s="1"/>
  <c r="S208" i="10"/>
  <c r="AC105" i="10"/>
  <c r="AE105" i="10" s="1"/>
  <c r="R188" i="10"/>
  <c r="S188" i="10"/>
  <c r="S263" i="10"/>
  <c r="R263" i="10"/>
  <c r="S485" i="10"/>
  <c r="R485" i="10"/>
  <c r="S181" i="10"/>
  <c r="R181" i="10"/>
  <c r="AC181" i="10"/>
  <c r="AE181" i="10" s="1"/>
  <c r="S117" i="10"/>
  <c r="R117" i="10"/>
  <c r="AC112" i="10"/>
  <c r="AD112" i="10" s="1"/>
  <c r="R112" i="10"/>
  <c r="R80" i="10"/>
  <c r="S80" i="10"/>
  <c r="AC123" i="10"/>
  <c r="AE123" i="10" s="1"/>
  <c r="S123" i="10"/>
  <c r="R123" i="10"/>
  <c r="AC229" i="10"/>
  <c r="AV229" i="10" s="1"/>
  <c r="R229" i="10"/>
  <c r="S249" i="10"/>
  <c r="R249" i="10"/>
  <c r="R102" i="10"/>
  <c r="S102" i="10"/>
  <c r="AC469" i="10"/>
  <c r="AV469" i="10" s="1"/>
  <c r="AW469" i="10" s="1"/>
  <c r="S342" i="10"/>
  <c r="R342" i="10"/>
  <c r="R534" i="10"/>
  <c r="S534" i="10"/>
  <c r="R412" i="10"/>
  <c r="AC412" i="10"/>
  <c r="AE412" i="10" s="1"/>
  <c r="AC227" i="10"/>
  <c r="AE227" i="10" s="1"/>
  <c r="AC111" i="10"/>
  <c r="AV111" i="10" s="1"/>
  <c r="AC433" i="10"/>
  <c r="AE433" i="10" s="1"/>
  <c r="S514" i="10"/>
  <c r="R514" i="10"/>
  <c r="AC497" i="10"/>
  <c r="AD497" i="10" s="1"/>
  <c r="AC486" i="10"/>
  <c r="AE486" i="10" s="1"/>
  <c r="AC381" i="10"/>
  <c r="AE381" i="10" s="1"/>
  <c r="AC410" i="10"/>
  <c r="AE410" i="10" s="1"/>
  <c r="AC322" i="10"/>
  <c r="AV322" i="10" s="1"/>
  <c r="AC309" i="10"/>
  <c r="AV309" i="10" s="1"/>
  <c r="AC186" i="10"/>
  <c r="AD186" i="10" s="1"/>
  <c r="AC117" i="10"/>
  <c r="AV117" i="10" s="1"/>
  <c r="R370" i="10"/>
  <c r="S232" i="10"/>
  <c r="S105" i="10"/>
  <c r="R435" i="10"/>
  <c r="R468" i="10"/>
  <c r="R38" i="10"/>
  <c r="S369" i="10"/>
  <c r="R190" i="10"/>
  <c r="AC138" i="10"/>
  <c r="AD138" i="10" s="1"/>
  <c r="S275" i="10"/>
  <c r="R79" i="10"/>
  <c r="R228" i="10"/>
  <c r="S491" i="10"/>
  <c r="R209" i="10"/>
  <c r="S218" i="10"/>
  <c r="R204" i="10"/>
  <c r="R545" i="10"/>
  <c r="R239" i="10"/>
  <c r="R67" i="10"/>
  <c r="R257" i="10"/>
  <c r="S248" i="10"/>
  <c r="AC73" i="10"/>
  <c r="AD73" i="10" s="1"/>
  <c r="S258" i="10"/>
  <c r="R240" i="10"/>
  <c r="S118" i="10"/>
  <c r="S285" i="10"/>
  <c r="R320" i="10"/>
  <c r="R210" i="10"/>
  <c r="S138" i="10"/>
  <c r="R516" i="10"/>
  <c r="AC233" i="10"/>
  <c r="AV233" i="10" s="1"/>
  <c r="AC228" i="10"/>
  <c r="AD228" i="10" s="1"/>
  <c r="AC422" i="10"/>
  <c r="AE422" i="10" s="1"/>
  <c r="AC510" i="10"/>
  <c r="AV510" i="10" s="1"/>
  <c r="AC253" i="10"/>
  <c r="AE253" i="10" s="1"/>
  <c r="AC319" i="10"/>
  <c r="AD319" i="10" s="1"/>
  <c r="AC509" i="10"/>
  <c r="AD509" i="10" s="1"/>
  <c r="AC351" i="10"/>
  <c r="AD351" i="10" s="1"/>
  <c r="AC241" i="10"/>
  <c r="AE241" i="10" s="1"/>
  <c r="AC194" i="10"/>
  <c r="AV194" i="10" s="1"/>
  <c r="AC221" i="10"/>
  <c r="AE221" i="10" s="1"/>
  <c r="AC59" i="10"/>
  <c r="AE59" i="10" s="1"/>
  <c r="AC236" i="10"/>
  <c r="AD236" i="10" s="1"/>
  <c r="AC318" i="10"/>
  <c r="AE318" i="10" s="1"/>
  <c r="AC363" i="10"/>
  <c r="AD363" i="10" s="1"/>
  <c r="AC540" i="10"/>
  <c r="AE540" i="10" s="1"/>
  <c r="AC143" i="10"/>
  <c r="AE143" i="10" s="1"/>
  <c r="AC296" i="10"/>
  <c r="AD296" i="10" s="1"/>
  <c r="AC538" i="10"/>
  <c r="AD538" i="10" s="1"/>
  <c r="AC276" i="10"/>
  <c r="AD276" i="10" s="1"/>
  <c r="AC136" i="10"/>
  <c r="AE136" i="10" s="1"/>
  <c r="AC63" i="10"/>
  <c r="AE63" i="10" s="1"/>
  <c r="AC302" i="10"/>
  <c r="AE302" i="10" s="1"/>
  <c r="AC362" i="10"/>
  <c r="AE362" i="10" s="1"/>
  <c r="AC423" i="10"/>
  <c r="AE423" i="10" s="1"/>
  <c r="AC406" i="10"/>
  <c r="AD406" i="10" s="1"/>
  <c r="AC383" i="10"/>
  <c r="AV383" i="10" s="1"/>
  <c r="AC293" i="10"/>
  <c r="AD293" i="10" s="1"/>
  <c r="AC337" i="10"/>
  <c r="AV337" i="10" s="1"/>
  <c r="AC286" i="10"/>
  <c r="AE286" i="10" s="1"/>
  <c r="AC350" i="10"/>
  <c r="AD350" i="10" s="1"/>
  <c r="AC416" i="10"/>
  <c r="AV416" i="10" s="1"/>
  <c r="AC391" i="10"/>
  <c r="AV391" i="10" s="1"/>
  <c r="AC463" i="10"/>
  <c r="AE463" i="10" s="1"/>
  <c r="AC547" i="10"/>
  <c r="AV547" i="10" s="1"/>
  <c r="AC263" i="10"/>
  <c r="AE263" i="10" s="1"/>
  <c r="AC45" i="10"/>
  <c r="AV45" i="10" s="1"/>
  <c r="AC145" i="10"/>
  <c r="AE145" i="10" s="1"/>
  <c r="AC61" i="10"/>
  <c r="AD61" i="10" s="1"/>
  <c r="AC58" i="10"/>
  <c r="AD58" i="10" s="1"/>
  <c r="AC82" i="10"/>
  <c r="AD82" i="10" s="1"/>
  <c r="AC167" i="10"/>
  <c r="AE167" i="10" s="1"/>
  <c r="AC80" i="10"/>
  <c r="AE80" i="10" s="1"/>
  <c r="AC284" i="10"/>
  <c r="AD284" i="10" s="1"/>
  <c r="AC206" i="10"/>
  <c r="AV206" i="10" s="1"/>
  <c r="AX206" i="10" s="1"/>
  <c r="AC335" i="10"/>
  <c r="AD335" i="10" s="1"/>
  <c r="AC385" i="10"/>
  <c r="AV385" i="10" s="1"/>
  <c r="AW385" i="10" s="1"/>
  <c r="AC487" i="10"/>
  <c r="AE487" i="10" s="1"/>
  <c r="AC533" i="10"/>
  <c r="AE533" i="10" s="1"/>
  <c r="AC195" i="10"/>
  <c r="AD195" i="10" s="1"/>
  <c r="R62" i="10"/>
  <c r="R524" i="10"/>
  <c r="R446" i="10"/>
  <c r="R314" i="10"/>
  <c r="R99" i="10"/>
  <c r="R55" i="10"/>
  <c r="R245" i="10"/>
  <c r="S213" i="10"/>
  <c r="AC152" i="10"/>
  <c r="AV152" i="10" s="1"/>
  <c r="R175" i="10"/>
  <c r="AC107" i="10"/>
  <c r="AV107" i="10" s="1"/>
  <c r="S541" i="10"/>
  <c r="S418" i="10"/>
  <c r="S322" i="10"/>
  <c r="R108" i="10"/>
  <c r="S439" i="10"/>
  <c r="R537" i="10"/>
  <c r="R410" i="10"/>
  <c r="R203" i="10"/>
  <c r="R152" i="10"/>
  <c r="R121" i="10"/>
  <c r="S154" i="10"/>
  <c r="R296" i="10"/>
  <c r="S318" i="10"/>
  <c r="AC389" i="10"/>
  <c r="AD389" i="10" s="1"/>
  <c r="S458" i="10"/>
  <c r="S378" i="10"/>
  <c r="S107" i="10"/>
  <c r="R408" i="10"/>
  <c r="S554" i="10"/>
  <c r="AC343" i="10"/>
  <c r="AV343" i="10" s="1"/>
  <c r="AC334" i="10"/>
  <c r="AE334" i="10" s="1"/>
  <c r="AC446" i="10"/>
  <c r="AE446" i="10" s="1"/>
  <c r="AC494" i="10"/>
  <c r="AD494" i="10" s="1"/>
  <c r="AC535" i="10"/>
  <c r="AV535" i="10" s="1"/>
  <c r="AC173" i="10"/>
  <c r="AV173" i="10" s="1"/>
  <c r="AC151" i="10"/>
  <c r="AE151" i="10" s="1"/>
  <c r="AC204" i="10"/>
  <c r="AV204" i="10" s="1"/>
  <c r="AC310" i="10"/>
  <c r="AV310" i="10" s="1"/>
  <c r="AX310" i="10" s="1"/>
  <c r="AC485" i="10"/>
  <c r="AE485" i="10" s="1"/>
  <c r="AC560" i="10"/>
  <c r="AD560" i="10" s="1"/>
  <c r="AS7" i="5"/>
  <c r="AU7" i="5" s="1"/>
  <c r="R419" i="10"/>
  <c r="AC419" i="10"/>
  <c r="AD419" i="10" s="1"/>
  <c r="S419" i="10"/>
  <c r="AC60" i="10"/>
  <c r="AD60" i="10" s="1"/>
  <c r="R60" i="10"/>
  <c r="S321" i="10"/>
  <c r="R321" i="10"/>
  <c r="AC135" i="10"/>
  <c r="AE135" i="10" s="1"/>
  <c r="R135" i="10"/>
  <c r="S135" i="10"/>
  <c r="R163" i="10"/>
  <c r="AC163" i="10"/>
  <c r="AE163" i="10" s="1"/>
  <c r="R193" i="10"/>
  <c r="S193" i="10"/>
  <c r="AC193" i="10"/>
  <c r="AD193" i="10" s="1"/>
  <c r="AC238" i="10"/>
  <c r="AE238" i="10" s="1"/>
  <c r="S238" i="10"/>
  <c r="R479" i="10"/>
  <c r="S479" i="10"/>
  <c r="AC479" i="10"/>
  <c r="AD479" i="10" s="1"/>
  <c r="S288" i="10"/>
  <c r="R288" i="10"/>
  <c r="AC515" i="10"/>
  <c r="AD515" i="10" s="1"/>
  <c r="R515" i="10"/>
  <c r="S515" i="10"/>
  <c r="S527" i="10"/>
  <c r="AC527" i="10"/>
  <c r="AV527" i="10" s="1"/>
  <c r="R352" i="10"/>
  <c r="AC352" i="10"/>
  <c r="AD352" i="10" s="1"/>
  <c r="S268" i="10"/>
  <c r="R268" i="10"/>
  <c r="R21" i="10"/>
  <c r="AC21" i="10"/>
  <c r="AD21" i="10" s="1"/>
  <c r="S140" i="10"/>
  <c r="R140" i="10"/>
  <c r="S65" i="10"/>
  <c r="R65" i="10"/>
  <c r="AC65" i="10"/>
  <c r="AV65" i="10" s="1"/>
  <c r="AC183" i="10"/>
  <c r="AE183" i="10" s="1"/>
  <c r="S183" i="10"/>
  <c r="R183" i="10"/>
  <c r="S303" i="10"/>
  <c r="R303" i="10"/>
  <c r="R379" i="10"/>
  <c r="S379" i="10"/>
  <c r="AC379" i="10"/>
  <c r="AD379" i="10" s="1"/>
  <c r="R427" i="10"/>
  <c r="S427" i="10"/>
  <c r="AC427" i="10"/>
  <c r="AV427" i="10" s="1"/>
  <c r="R441" i="10"/>
  <c r="S441" i="10"/>
  <c r="S289" i="10"/>
  <c r="AC289" i="10"/>
  <c r="AE289" i="10" s="1"/>
  <c r="R101" i="10"/>
  <c r="AC101" i="10"/>
  <c r="AE101" i="10" s="1"/>
  <c r="R29" i="10"/>
  <c r="AC29" i="10"/>
  <c r="AD29" i="10" s="1"/>
  <c r="S192" i="10"/>
  <c r="R192" i="10"/>
  <c r="S75" i="10"/>
  <c r="R75" i="10"/>
  <c r="AC75" i="10"/>
  <c r="AD75" i="10" s="1"/>
  <c r="AC266" i="10"/>
  <c r="AE266" i="10" s="1"/>
  <c r="S266" i="10"/>
  <c r="R354" i="10"/>
  <c r="AC354" i="10"/>
  <c r="AE354" i="10" s="1"/>
  <c r="R347" i="10"/>
  <c r="AC347" i="10"/>
  <c r="AD347" i="10" s="1"/>
  <c r="S347" i="10"/>
  <c r="S386" i="10"/>
  <c r="R386" i="10"/>
  <c r="AC386" i="10"/>
  <c r="AV386" i="10" s="1"/>
  <c r="AC489" i="10"/>
  <c r="AE489" i="10" s="1"/>
  <c r="R489" i="10"/>
  <c r="R12" i="10"/>
  <c r="S12" i="10"/>
  <c r="S166" i="10"/>
  <c r="R166" i="10"/>
  <c r="S189" i="10"/>
  <c r="AC189" i="10"/>
  <c r="AV189" i="10" s="1"/>
  <c r="AW189" i="10" s="1"/>
  <c r="R189" i="10"/>
  <c r="S198" i="10"/>
  <c r="AC198" i="10"/>
  <c r="AV198" i="10" s="1"/>
  <c r="AC169" i="10"/>
  <c r="AV169" i="10" s="1"/>
  <c r="S169" i="10"/>
  <c r="AC332" i="10"/>
  <c r="AD332" i="10" s="1"/>
  <c r="R332" i="10"/>
  <c r="AC109" i="10"/>
  <c r="AD109" i="10" s="1"/>
  <c r="R109" i="10"/>
  <c r="AC184" i="10"/>
  <c r="AE184" i="10" s="1"/>
  <c r="R184" i="10"/>
  <c r="AC161" i="10"/>
  <c r="AE161" i="10" s="1"/>
  <c r="R161" i="10"/>
  <c r="S161" i="10"/>
  <c r="AC346" i="10"/>
  <c r="AE346" i="10" s="1"/>
  <c r="S346" i="10"/>
  <c r="R346" i="10"/>
  <c r="AC339" i="10"/>
  <c r="AD339" i="10" s="1"/>
  <c r="S339" i="10"/>
  <c r="R339" i="10"/>
  <c r="S477" i="10"/>
  <c r="AC477" i="10"/>
  <c r="AE477" i="10" s="1"/>
  <c r="R482" i="10"/>
  <c r="S482" i="10"/>
  <c r="AC559" i="10"/>
  <c r="AE559" i="10" s="1"/>
  <c r="R559" i="10"/>
  <c r="S481" i="10"/>
  <c r="AC481" i="10"/>
  <c r="AD481" i="10" s="1"/>
  <c r="AC148" i="10"/>
  <c r="AD148" i="10" s="1"/>
  <c r="R148" i="10"/>
  <c r="S400" i="10"/>
  <c r="R400" i="10"/>
  <c r="R200" i="10"/>
  <c r="S200" i="10"/>
  <c r="R196" i="10"/>
  <c r="S196" i="10"/>
  <c r="R130" i="10"/>
  <c r="S130" i="10"/>
  <c r="R553" i="10"/>
  <c r="S553" i="10"/>
  <c r="AC553" i="10"/>
  <c r="AV553" i="10" s="1"/>
  <c r="AC292" i="10"/>
  <c r="AE292" i="10" s="1"/>
  <c r="AC277" i="10"/>
  <c r="AV277" i="10" s="1"/>
  <c r="AC546" i="10"/>
  <c r="AD546" i="10" s="1"/>
  <c r="AC12" i="10"/>
  <c r="AV12" i="10" s="1"/>
  <c r="AW12" i="10" s="1"/>
  <c r="AC128" i="10"/>
  <c r="AD128" i="10" s="1"/>
  <c r="AC192" i="10"/>
  <c r="AV192" i="10" s="1"/>
  <c r="AX192" i="10" s="1"/>
  <c r="AC376" i="10"/>
  <c r="AV376" i="10" s="1"/>
  <c r="AC415" i="10"/>
  <c r="AD415" i="10" s="1"/>
  <c r="AC133" i="10"/>
  <c r="AE133" i="10" s="1"/>
  <c r="S489" i="10"/>
  <c r="S354" i="10"/>
  <c r="S163" i="10"/>
  <c r="AC372" i="10"/>
  <c r="AD372" i="10" s="1"/>
  <c r="AC303" i="10"/>
  <c r="AV303" i="10" s="1"/>
  <c r="S184" i="10"/>
  <c r="R527" i="10"/>
  <c r="S60" i="10"/>
  <c r="S109" i="10"/>
  <c r="S376" i="10"/>
  <c r="S531" i="10"/>
  <c r="S529" i="10"/>
  <c r="R529" i="10"/>
  <c r="AC529" i="10"/>
  <c r="AV529" i="10" s="1"/>
  <c r="R34" i="10"/>
  <c r="S34" i="10"/>
  <c r="R233" i="10"/>
  <c r="S233" i="10"/>
  <c r="R546" i="10"/>
  <c r="S546" i="10"/>
  <c r="S498" i="10"/>
  <c r="R498" i="10"/>
  <c r="R550" i="10"/>
  <c r="S550" i="10"/>
  <c r="AC550" i="10"/>
  <c r="AV550" i="10" s="1"/>
  <c r="AC333" i="10"/>
  <c r="AV333" i="10" s="1"/>
  <c r="S333" i="10"/>
  <c r="R333" i="10"/>
  <c r="R142" i="10"/>
  <c r="AC142" i="10"/>
  <c r="AV142" i="10" s="1"/>
  <c r="S142" i="10"/>
  <c r="AC360" i="10"/>
  <c r="AD360" i="10" s="1"/>
  <c r="S360" i="10"/>
  <c r="AC32" i="10"/>
  <c r="AE32" i="10" s="1"/>
  <c r="S32" i="10"/>
  <c r="S384" i="10"/>
  <c r="AC384" i="10"/>
  <c r="AV384" i="10" s="1"/>
  <c r="R384" i="10"/>
  <c r="R57" i="10"/>
  <c r="S57" i="10"/>
  <c r="AC57" i="10"/>
  <c r="AD57" i="10" s="1"/>
  <c r="R46" i="10"/>
  <c r="AC46" i="10"/>
  <c r="AV46" i="10" s="1"/>
  <c r="R220" i="10"/>
  <c r="S220" i="10"/>
  <c r="S87" i="10"/>
  <c r="R87" i="10"/>
  <c r="R271" i="10"/>
  <c r="AC271" i="10"/>
  <c r="AD271" i="10" s="1"/>
  <c r="S398" i="10"/>
  <c r="R398" i="10"/>
  <c r="AC496" i="10"/>
  <c r="AE496" i="10" s="1"/>
  <c r="S496" i="10"/>
  <c r="R496" i="10"/>
  <c r="R329" i="10"/>
  <c r="S329" i="10"/>
  <c r="S292" i="10"/>
  <c r="R292" i="10"/>
  <c r="AC66" i="10"/>
  <c r="AV66" i="10" s="1"/>
  <c r="R66" i="10"/>
  <c r="S66" i="10"/>
  <c r="R128" i="10"/>
  <c r="S128" i="10"/>
  <c r="S48" i="10"/>
  <c r="R48" i="10"/>
  <c r="S171" i="10"/>
  <c r="R171" i="10"/>
  <c r="AC171" i="10"/>
  <c r="AE171" i="10" s="1"/>
  <c r="S298" i="10"/>
  <c r="AC298" i="10"/>
  <c r="AD298" i="10" s="1"/>
  <c r="R243" i="10"/>
  <c r="AC243" i="10"/>
  <c r="AE243" i="10" s="1"/>
  <c r="S243" i="10"/>
  <c r="R415" i="10"/>
  <c r="S415" i="10"/>
  <c r="R467" i="10"/>
  <c r="AC467" i="10"/>
  <c r="AE467" i="10" s="1"/>
  <c r="S467" i="10"/>
  <c r="AC525" i="10"/>
  <c r="AD525" i="10" s="1"/>
  <c r="S525" i="10"/>
  <c r="R217" i="10"/>
  <c r="AC217" i="10"/>
  <c r="AE217" i="10" s="1"/>
  <c r="S217" i="10"/>
  <c r="S506" i="10"/>
  <c r="R506" i="10"/>
  <c r="AC506" i="10"/>
  <c r="AV506" i="10" s="1"/>
  <c r="AC421" i="10"/>
  <c r="AV421" i="10" s="1"/>
  <c r="R421" i="10"/>
  <c r="AC106" i="10"/>
  <c r="AE106" i="10" s="1"/>
  <c r="R106" i="10"/>
  <c r="AC424" i="10"/>
  <c r="AE424" i="10" s="1"/>
  <c r="S424" i="10"/>
  <c r="AC345" i="10"/>
  <c r="AE345" i="10" s="1"/>
  <c r="S345" i="10"/>
  <c r="AC155" i="10"/>
  <c r="AE155" i="10" s="1"/>
  <c r="R155" i="10"/>
  <c r="S49" i="10"/>
  <c r="AC49" i="10"/>
  <c r="AE49" i="10" s="1"/>
  <c r="AC120" i="10"/>
  <c r="AE120" i="10" s="1"/>
  <c r="S120" i="10"/>
  <c r="R120" i="10"/>
  <c r="R24" i="10"/>
  <c r="AC24" i="10"/>
  <c r="AD24" i="10" s="1"/>
  <c r="S131" i="10"/>
  <c r="R131" i="10"/>
  <c r="AC131" i="10"/>
  <c r="AV131" i="10" s="1"/>
  <c r="AC294" i="10"/>
  <c r="AD294" i="10" s="1"/>
  <c r="R294" i="10"/>
  <c r="R235" i="10"/>
  <c r="S235" i="10"/>
  <c r="AC235" i="10"/>
  <c r="AD235" i="10" s="1"/>
  <c r="R407" i="10"/>
  <c r="S407" i="10"/>
  <c r="S459" i="10"/>
  <c r="AC459" i="10"/>
  <c r="AE459" i="10" s="1"/>
  <c r="S517" i="10"/>
  <c r="AC517" i="10"/>
  <c r="AV517" i="10" s="1"/>
  <c r="AX517" i="10" s="1"/>
  <c r="S449" i="10"/>
  <c r="AC449" i="10"/>
  <c r="AV449" i="10" s="1"/>
  <c r="R449" i="10"/>
  <c r="R191" i="10"/>
  <c r="AC191" i="10"/>
  <c r="AD191" i="10" s="1"/>
  <c r="S191" i="10"/>
  <c r="R252" i="10"/>
  <c r="AC252" i="10"/>
  <c r="AD252" i="10" s="1"/>
  <c r="AC349" i="10"/>
  <c r="AE349" i="10" s="1"/>
  <c r="S349" i="10"/>
  <c r="R349" i="10"/>
  <c r="AC321" i="10"/>
  <c r="AV321" i="10" s="1"/>
  <c r="AC400" i="10"/>
  <c r="AE400" i="10" s="1"/>
  <c r="AC299" i="10"/>
  <c r="AE299" i="10" s="1"/>
  <c r="AC130" i="10"/>
  <c r="AE130" i="10" s="1"/>
  <c r="AC68" i="10"/>
  <c r="AD68" i="10" s="1"/>
  <c r="AC268" i="10"/>
  <c r="AE268" i="10" s="1"/>
  <c r="AC398" i="10"/>
  <c r="AV398" i="10" s="1"/>
  <c r="R459" i="10"/>
  <c r="R477" i="10"/>
  <c r="S294" i="10"/>
  <c r="R262" i="10"/>
  <c r="S277" i="10"/>
  <c r="R32" i="10"/>
  <c r="R133" i="10"/>
  <c r="R98" i="10"/>
  <c r="R238" i="10"/>
  <c r="S148" i="10"/>
  <c r="S155" i="10"/>
  <c r="S332" i="10"/>
  <c r="R198" i="10"/>
  <c r="AC140" i="10"/>
  <c r="AD140" i="10" s="1"/>
  <c r="AC50" i="10"/>
  <c r="AD50" i="10" s="1"/>
  <c r="S559" i="10"/>
  <c r="R517" i="10"/>
  <c r="AC407" i="10"/>
  <c r="AD407" i="10" s="1"/>
  <c r="R49" i="10"/>
  <c r="R345" i="10"/>
  <c r="R169" i="10"/>
  <c r="S252" i="10"/>
  <c r="AC87" i="10"/>
  <c r="AV87" i="10" s="1"/>
  <c r="R359" i="10"/>
  <c r="S101" i="10"/>
  <c r="R114" i="10"/>
  <c r="AC114" i="10"/>
  <c r="AE114" i="10" s="1"/>
  <c r="S30" i="10"/>
  <c r="AC30" i="10"/>
  <c r="AV30" i="10" s="1"/>
  <c r="S7" i="10"/>
  <c r="AC7" i="10"/>
  <c r="AD7" i="10" s="1"/>
  <c r="S178" i="10"/>
  <c r="AC178" i="10"/>
  <c r="AD178" i="10" s="1"/>
  <c r="AC451" i="10"/>
  <c r="AE451" i="10" s="1"/>
  <c r="AC482" i="10"/>
  <c r="AV482" i="10" s="1"/>
  <c r="AC220" i="10"/>
  <c r="AD220" i="10" s="1"/>
  <c r="AC531" i="10"/>
  <c r="AV531" i="10" s="1"/>
  <c r="AC374" i="5"/>
  <c r="AE374" i="5" s="1"/>
  <c r="S557" i="10"/>
  <c r="AC396" i="10"/>
  <c r="AE396" i="10" s="1"/>
  <c r="AC52" i="10"/>
  <c r="AV52" i="10" s="1"/>
  <c r="R207" i="10"/>
  <c r="AC518" i="10"/>
  <c r="AD518" i="10" s="1"/>
  <c r="S256" i="10"/>
  <c r="AC256" i="10"/>
  <c r="AD256" i="10" s="1"/>
  <c r="AC214" i="10"/>
  <c r="AD214" i="10" s="1"/>
  <c r="R95" i="10"/>
  <c r="AC95" i="10"/>
  <c r="AV95" i="10" s="1"/>
  <c r="AC166" i="10"/>
  <c r="AD166" i="10" s="1"/>
  <c r="AC359" i="10"/>
  <c r="AE359" i="10" s="1"/>
  <c r="AC103" i="10"/>
  <c r="AE103" i="10" s="1"/>
  <c r="AC262" i="10"/>
  <c r="AV262" i="10" s="1"/>
  <c r="AX262" i="10" s="1"/>
  <c r="AC81" i="10"/>
  <c r="AE81" i="10" s="1"/>
  <c r="R221" i="10"/>
  <c r="R484" i="10"/>
  <c r="S313" i="10"/>
  <c r="AC196" i="10"/>
  <c r="AD196" i="10" s="1"/>
  <c r="AC366" i="10"/>
  <c r="AV366" i="10" s="1"/>
  <c r="AC390" i="10"/>
  <c r="AV390" i="10" s="1"/>
  <c r="AC67" i="10"/>
  <c r="AE67" i="10" s="1"/>
  <c r="AC98" i="10"/>
  <c r="AV98" i="10" s="1"/>
  <c r="AX98" i="10" s="1"/>
  <c r="AC239" i="10"/>
  <c r="AE239" i="10" s="1"/>
  <c r="AC329" i="10"/>
  <c r="AE329" i="10" s="1"/>
  <c r="AC25" i="10"/>
  <c r="AV25" i="10" s="1"/>
  <c r="AC369" i="10"/>
  <c r="AE369" i="10" s="1"/>
  <c r="AC549" i="10"/>
  <c r="AE549" i="10" s="1"/>
  <c r="AC39" i="10"/>
  <c r="AV39" i="10" s="1"/>
  <c r="AC312" i="10"/>
  <c r="AV312" i="10" s="1"/>
  <c r="AC44" i="10"/>
  <c r="AE44" i="10" s="1"/>
  <c r="AC414" i="10"/>
  <c r="AD414" i="10" s="1"/>
  <c r="AC555" i="10"/>
  <c r="AD555" i="10" s="1"/>
  <c r="S536" i="10"/>
  <c r="R394" i="10"/>
  <c r="R351" i="10"/>
  <c r="S456" i="10"/>
  <c r="R44" i="10"/>
  <c r="R241" i="10"/>
  <c r="AC445" i="10"/>
  <c r="AV445" i="10" s="1"/>
  <c r="AC476" i="10"/>
  <c r="AV476" i="10" s="1"/>
  <c r="AC324" i="10"/>
  <c r="AE324" i="10" s="1"/>
  <c r="AC265" i="10"/>
  <c r="AD265" i="10" s="1"/>
  <c r="R453" i="10"/>
  <c r="R423" i="10"/>
  <c r="R362" i="10"/>
  <c r="R246" i="10"/>
  <c r="S63" i="10"/>
  <c r="S94" i="10"/>
  <c r="R381" i="10"/>
  <c r="S397" i="10"/>
  <c r="R373" i="10"/>
  <c r="R89" i="10"/>
  <c r="R519" i="10"/>
  <c r="S429" i="10"/>
  <c r="AC175" i="10"/>
  <c r="AV175" i="10" s="1"/>
  <c r="AC154" i="10"/>
  <c r="AD154" i="10" s="1"/>
  <c r="R518" i="10"/>
  <c r="S53" i="10"/>
  <c r="R276" i="10"/>
  <c r="R538" i="10"/>
  <c r="S450" i="10"/>
  <c r="R334" i="10"/>
  <c r="S279" i="10"/>
  <c r="R236" i="10"/>
  <c r="AC210" i="10"/>
  <c r="AE210" i="10" s="1"/>
  <c r="S511" i="10"/>
  <c r="S431" i="10"/>
  <c r="S211" i="10"/>
  <c r="S274" i="10"/>
  <c r="S84" i="10"/>
  <c r="R61" i="10"/>
  <c r="R234" i="10"/>
  <c r="AC374" i="10"/>
  <c r="AV374" i="10" s="1"/>
  <c r="R555" i="10"/>
  <c r="AC435" i="10"/>
  <c r="AD435" i="10" s="1"/>
  <c r="T11" i="10"/>
  <c r="U11" i="10" s="1"/>
  <c r="AC461" i="10"/>
  <c r="AD461" i="10" s="1"/>
  <c r="AC328" i="10"/>
  <c r="AD328" i="10" s="1"/>
  <c r="AC480" i="10"/>
  <c r="AV480" i="10" s="1"/>
  <c r="AX480" i="10" s="1"/>
  <c r="AC22" i="10"/>
  <c r="AV22" i="10" s="1"/>
  <c r="S302" i="10"/>
  <c r="S177" i="10"/>
  <c r="AC70" i="10"/>
  <c r="AD70" i="10" s="1"/>
  <c r="AC23" i="10"/>
  <c r="AD23" i="10" s="1"/>
  <c r="R540" i="10"/>
  <c r="R363" i="10"/>
  <c r="R307" i="10"/>
  <c r="R224" i="10"/>
  <c r="AC483" i="10"/>
  <c r="AE483" i="10" s="1"/>
  <c r="S414" i="10"/>
  <c r="R311" i="10"/>
  <c r="AC344" i="10"/>
  <c r="AE344" i="10" s="1"/>
  <c r="AC144" i="10"/>
  <c r="AE144" i="10" s="1"/>
  <c r="AC269" i="10"/>
  <c r="AD269" i="10" s="1"/>
  <c r="AC313" i="10"/>
  <c r="AE313" i="10" s="1"/>
  <c r="AC392" i="10"/>
  <c r="AE392" i="10" s="1"/>
  <c r="AC431" i="10"/>
  <c r="AE431" i="10" s="1"/>
  <c r="AC539" i="10"/>
  <c r="AD539" i="10" s="1"/>
  <c r="R83" i="10"/>
  <c r="AC177" i="10"/>
  <c r="AV177" i="10" s="1"/>
  <c r="AC542" i="10"/>
  <c r="AV542" i="10" s="1"/>
  <c r="AC495" i="10"/>
  <c r="AD495" i="10" s="1"/>
  <c r="AC450" i="10"/>
  <c r="AE450" i="10" s="1"/>
  <c r="AC439" i="10"/>
  <c r="AE439" i="10" s="1"/>
  <c r="AC76" i="10"/>
  <c r="AV76" i="10" s="1"/>
  <c r="AC158" i="10"/>
  <c r="AD158" i="10" s="1"/>
  <c r="S23" i="10"/>
  <c r="R261" i="10"/>
  <c r="R464" i="10"/>
  <c r="S194" i="10"/>
  <c r="S70" i="10"/>
  <c r="S409" i="10"/>
  <c r="S22" i="10"/>
  <c r="R406" i="10"/>
  <c r="R132" i="10"/>
  <c r="R30" i="10"/>
  <c r="S214" i="10"/>
  <c r="S143" i="10"/>
  <c r="R327" i="10"/>
  <c r="AC418" i="10"/>
  <c r="AV418" i="10" s="1"/>
  <c r="AC273" i="10"/>
  <c r="AV273" i="10" s="1"/>
  <c r="AC86" i="10"/>
  <c r="AD86" i="10" s="1"/>
  <c r="AC247" i="10"/>
  <c r="AV247" i="10" s="1"/>
  <c r="R499" i="10"/>
  <c r="S473" i="10"/>
  <c r="S315" i="10"/>
  <c r="S282" i="10"/>
  <c r="S137" i="10"/>
  <c r="S160" i="10"/>
  <c r="R178" i="10"/>
  <c r="S395" i="10"/>
  <c r="AC162" i="10"/>
  <c r="AV162" i="10" s="1"/>
  <c r="AX162" i="10" s="1"/>
  <c r="AC96" i="10"/>
  <c r="AE96" i="10" s="1"/>
  <c r="AC474" i="10"/>
  <c r="AE474" i="10" s="1"/>
  <c r="AC401" i="10"/>
  <c r="AV401" i="10" s="1"/>
  <c r="AX401" i="10" s="1"/>
  <c r="AC430" i="10"/>
  <c r="AV430" i="10" s="1"/>
  <c r="AW430" i="10" s="1"/>
  <c r="AC511" i="10"/>
  <c r="AD511" i="10" s="1"/>
  <c r="AC341" i="10"/>
  <c r="AE341" i="10" s="1"/>
  <c r="AC97" i="10"/>
  <c r="AE97" i="10" s="1"/>
  <c r="S528" i="10"/>
  <c r="S423" i="10"/>
  <c r="S355" i="10"/>
  <c r="R302" i="10"/>
  <c r="S270" i="10"/>
  <c r="R63" i="10"/>
  <c r="R216" i="10"/>
  <c r="R150" i="10"/>
  <c r="S221" i="10"/>
  <c r="S461" i="10"/>
  <c r="R194" i="10"/>
  <c r="R308" i="10"/>
  <c r="R344" i="10"/>
  <c r="S451" i="10"/>
  <c r="AC493" i="10"/>
  <c r="AV493" i="10" s="1"/>
  <c r="AC368" i="10"/>
  <c r="AV368" i="10" s="1"/>
  <c r="AC260" i="10"/>
  <c r="AD260" i="10" s="1"/>
  <c r="AC207" i="10"/>
  <c r="AV207" i="10" s="1"/>
  <c r="AC62" i="10"/>
  <c r="AV62" i="10" s="1"/>
  <c r="S518" i="10"/>
  <c r="R488" i="10"/>
  <c r="S95" i="10"/>
  <c r="R212" i="10"/>
  <c r="R53" i="10"/>
  <c r="S276" i="10"/>
  <c r="R214" i="10"/>
  <c r="S538" i="10"/>
  <c r="S296" i="10"/>
  <c r="R456" i="10"/>
  <c r="R143" i="10"/>
  <c r="S374" i="10"/>
  <c r="R318" i="10"/>
  <c r="R279" i="10"/>
  <c r="S236" i="10"/>
  <c r="S156" i="10"/>
  <c r="R336" i="10"/>
  <c r="S74" i="10"/>
  <c r="S241" i="10"/>
  <c r="S64" i="10"/>
  <c r="R357" i="10"/>
  <c r="S539" i="10"/>
  <c r="AC484" i="10"/>
  <c r="AV484" i="10" s="1"/>
  <c r="AC355" i="10"/>
  <c r="AV355" i="10" s="1"/>
  <c r="AC84" i="10"/>
  <c r="AD84" i="10" s="1"/>
  <c r="AC40" i="10"/>
  <c r="AD40" i="10" s="1"/>
  <c r="S445" i="10"/>
  <c r="S363" i="10"/>
  <c r="R383" i="10"/>
  <c r="R274" i="10"/>
  <c r="S187" i="10"/>
  <c r="S224" i="10"/>
  <c r="S144" i="10"/>
  <c r="S480" i="10"/>
  <c r="R493" i="10"/>
  <c r="R448" i="10"/>
  <c r="AC504" i="10"/>
  <c r="AE504" i="10" s="1"/>
  <c r="AC454" i="10"/>
  <c r="AE454" i="10" s="1"/>
  <c r="AC408" i="10"/>
  <c r="AV408" i="10" s="1"/>
  <c r="AC119" i="10"/>
  <c r="AE119" i="10" s="1"/>
  <c r="S247" i="10"/>
  <c r="R149" i="10"/>
  <c r="S172" i="10"/>
  <c r="R40" i="10"/>
  <c r="S273" i="10"/>
  <c r="R417" i="10"/>
  <c r="AC199" i="10"/>
  <c r="AD199" i="10" s="1"/>
  <c r="AC528" i="10"/>
  <c r="AD528" i="10" s="1"/>
  <c r="AC394" i="10"/>
  <c r="AE394" i="10" s="1"/>
  <c r="AC308" i="10"/>
  <c r="AE308" i="10" s="1"/>
  <c r="AC234" i="10"/>
  <c r="AE234" i="10" s="1"/>
  <c r="AC216" i="10"/>
  <c r="AD216" i="10" s="1"/>
  <c r="AC179" i="10"/>
  <c r="AE179" i="10" s="1"/>
  <c r="AC375" i="10"/>
  <c r="AD375" i="10" s="1"/>
  <c r="AC83" i="10"/>
  <c r="AE83" i="10" s="1"/>
  <c r="AC64" i="10"/>
  <c r="AE64" i="10" s="1"/>
  <c r="R495" i="10"/>
  <c r="S375" i="10"/>
  <c r="S362" i="10"/>
  <c r="R179" i="10"/>
  <c r="R136" i="10"/>
  <c r="R226" i="10"/>
  <c r="R520" i="10"/>
  <c r="S505" i="10"/>
  <c r="R396" i="10"/>
  <c r="R557" i="10"/>
  <c r="AC270" i="10"/>
  <c r="AE270" i="10" s="1"/>
  <c r="AC336" i="10"/>
  <c r="AD336" i="10" s="1"/>
  <c r="AC311" i="10"/>
  <c r="AD311" i="10" s="1"/>
  <c r="AC307" i="10"/>
  <c r="AV307" i="10" s="1"/>
  <c r="AC42" i="10"/>
  <c r="AE42" i="10" s="1"/>
  <c r="S406" i="10"/>
  <c r="S351" i="10"/>
  <c r="R199" i="10"/>
  <c r="R267" i="10"/>
  <c r="R81" i="10"/>
  <c r="R281" i="10"/>
  <c r="R392" i="10"/>
  <c r="S42" i="10"/>
  <c r="R368" i="10"/>
  <c r="S158" i="10"/>
  <c r="R341" i="10"/>
  <c r="S114" i="10"/>
  <c r="S542" i="10"/>
  <c r="R504" i="10"/>
  <c r="R454" i="10"/>
  <c r="R103" i="10"/>
  <c r="R59" i="10"/>
  <c r="R52" i="10"/>
  <c r="S260" i="10"/>
  <c r="S483" i="10"/>
  <c r="S328" i="10"/>
  <c r="AC505" i="10"/>
  <c r="AE505" i="10" s="1"/>
  <c r="AC226" i="10"/>
  <c r="AD226" i="10" s="1"/>
  <c r="AC187" i="10"/>
  <c r="AE187" i="10" s="1"/>
  <c r="AC150" i="10"/>
  <c r="AE150" i="10" s="1"/>
  <c r="AC91" i="10"/>
  <c r="AE91" i="10" s="1"/>
  <c r="S540" i="10"/>
  <c r="R402" i="10"/>
  <c r="R195" i="10"/>
  <c r="R91" i="10"/>
  <c r="R51" i="10"/>
  <c r="R97" i="10"/>
  <c r="R269" i="10"/>
  <c r="R7" i="10"/>
  <c r="AC146" i="10"/>
  <c r="AD146" i="10" s="1"/>
  <c r="AC281" i="10"/>
  <c r="AD281" i="10" s="1"/>
  <c r="AC156" i="10"/>
  <c r="AE156" i="10" s="1"/>
  <c r="S136" i="10"/>
  <c r="S520" i="10"/>
  <c r="AC448" i="10"/>
  <c r="AV448" i="10" s="1"/>
  <c r="AC212" i="10"/>
  <c r="AD212" i="10" s="1"/>
  <c r="AC267" i="10"/>
  <c r="AE267" i="10" s="1"/>
  <c r="S59" i="10"/>
  <c r="AC402" i="10"/>
  <c r="AV402" i="10" s="1"/>
  <c r="S51" i="10"/>
  <c r="AC417" i="10"/>
  <c r="AV417" i="10" s="1"/>
  <c r="AE7" i="5"/>
  <c r="AC537" i="10"/>
  <c r="AV537" i="10" s="1"/>
  <c r="AC397" i="10"/>
  <c r="AE397" i="10" s="1"/>
  <c r="AC404" i="10"/>
  <c r="AD404" i="10" s="1"/>
  <c r="AC232" i="10"/>
  <c r="AD232" i="10" s="1"/>
  <c r="AC94" i="10"/>
  <c r="AV94" i="10" s="1"/>
  <c r="AC149" i="10"/>
  <c r="AD149" i="10" s="1"/>
  <c r="AC20" i="10"/>
  <c r="AV20" i="10" s="1"/>
  <c r="AC524" i="10"/>
  <c r="AD524" i="10" s="1"/>
  <c r="AC523" i="10"/>
  <c r="AE523" i="10" s="1"/>
  <c r="AC508" i="10"/>
  <c r="AD508" i="10" s="1"/>
  <c r="AC409" i="10"/>
  <c r="AE409" i="10" s="1"/>
  <c r="AC230" i="10"/>
  <c r="AV230" i="10" s="1"/>
  <c r="AC213" i="10"/>
  <c r="AD213" i="10" s="1"/>
  <c r="S442" i="10"/>
  <c r="S310" i="10"/>
  <c r="R88" i="10"/>
  <c r="S19" i="10"/>
  <c r="S28" i="10"/>
  <c r="S242" i="10"/>
  <c r="S265" i="10"/>
  <c r="R237" i="10"/>
  <c r="S457" i="10"/>
  <c r="R530" i="10"/>
  <c r="R532" i="10"/>
  <c r="R71" i="10"/>
  <c r="R324" i="10"/>
  <c r="S476" i="10"/>
  <c r="R86" i="10"/>
  <c r="R264" i="10"/>
  <c r="S309" i="10"/>
  <c r="S404" i="10"/>
  <c r="R27" i="10"/>
  <c r="S45" i="10"/>
  <c r="S460" i="10"/>
  <c r="S428" i="10"/>
  <c r="S438" i="10"/>
  <c r="S255" i="10"/>
  <c r="S119" i="10"/>
  <c r="S31" i="10"/>
  <c r="R134" i="10"/>
  <c r="R146" i="10"/>
  <c r="AC521" i="10"/>
  <c r="AD521" i="10" s="1"/>
  <c r="AC457" i="10"/>
  <c r="AD457" i="10" s="1"/>
  <c r="AC447" i="10"/>
  <c r="AE447" i="10" s="1"/>
  <c r="AC282" i="10"/>
  <c r="AV282" i="10" s="1"/>
  <c r="AC240" i="10"/>
  <c r="AD240" i="10" s="1"/>
  <c r="R541" i="10"/>
  <c r="S499" i="10"/>
  <c r="R458" i="10"/>
  <c r="R473" i="10"/>
  <c r="R378" i="10"/>
  <c r="R315" i="10"/>
  <c r="R211" i="10"/>
  <c r="R250" i="10"/>
  <c r="R137" i="10"/>
  <c r="R160" i="10"/>
  <c r="S320" i="10"/>
  <c r="AC470" i="10"/>
  <c r="AD470" i="10" s="1"/>
  <c r="AC190" i="10"/>
  <c r="AE190" i="10" s="1"/>
  <c r="AC223" i="10"/>
  <c r="AE223" i="10" s="1"/>
  <c r="S470" i="10"/>
  <c r="S350" i="10"/>
  <c r="S287" i="10"/>
  <c r="S205" i="10"/>
  <c r="R389" i="10"/>
  <c r="S25" i="10"/>
  <c r="S388" i="10"/>
  <c r="AC237" i="10"/>
  <c r="AD237" i="10" s="1"/>
  <c r="AC246" i="10"/>
  <c r="AE246" i="10" s="1"/>
  <c r="AG11" i="10"/>
  <c r="AH11" i="10" s="1"/>
  <c r="AM11" i="10"/>
  <c r="AN11" i="10" s="1"/>
  <c r="AC545" i="10"/>
  <c r="AE545" i="10" s="1"/>
  <c r="AC519" i="10"/>
  <c r="AD519" i="10" s="1"/>
  <c r="AC453" i="10"/>
  <c r="AD453" i="10" s="1"/>
  <c r="AC429" i="10"/>
  <c r="AD429" i="10" s="1"/>
  <c r="AC306" i="10"/>
  <c r="AV306" i="10" s="1"/>
  <c r="AC357" i="10"/>
  <c r="AD357" i="10" s="1"/>
  <c r="AC370" i="10"/>
  <c r="AV370" i="10" s="1"/>
  <c r="AC264" i="10"/>
  <c r="AE264" i="10" s="1"/>
  <c r="AC147" i="10"/>
  <c r="AE147" i="10" s="1"/>
  <c r="AC99" i="10"/>
  <c r="AV99" i="10" s="1"/>
  <c r="S203" i="10"/>
  <c r="S314" i="10"/>
  <c r="S278" i="10"/>
  <c r="S55" i="10"/>
  <c r="S41" i="10"/>
  <c r="S121" i="10"/>
  <c r="S245" i="10"/>
  <c r="S464" i="10"/>
  <c r="S373" i="10"/>
  <c r="S468" i="10"/>
  <c r="S89" i="10"/>
  <c r="AC532" i="10"/>
  <c r="AV532" i="10" s="1"/>
  <c r="AC472" i="10"/>
  <c r="AV472" i="10" s="1"/>
  <c r="AC327" i="10"/>
  <c r="AE327" i="10" s="1"/>
  <c r="AC159" i="10"/>
  <c r="AE159" i="10" s="1"/>
  <c r="AC74" i="10"/>
  <c r="AD74" i="10" s="1"/>
  <c r="AC255" i="10"/>
  <c r="AD255" i="10" s="1"/>
  <c r="S488" i="10"/>
  <c r="R371" i="10"/>
  <c r="S132" i="10"/>
  <c r="S257" i="10"/>
  <c r="AC554" i="10"/>
  <c r="AE554" i="10" s="1"/>
  <c r="AC438" i="10"/>
  <c r="AE438" i="10" s="1"/>
  <c r="AC134" i="10"/>
  <c r="AV134" i="10" s="1"/>
  <c r="AC71" i="10"/>
  <c r="AD71" i="10" s="1"/>
  <c r="S284" i="10"/>
  <c r="R201" i="10"/>
  <c r="R230" i="10"/>
  <c r="R523" i="10"/>
  <c r="R147" i="10"/>
  <c r="R472" i="10"/>
  <c r="R159" i="10"/>
  <c r="R395" i="10"/>
  <c r="R172" i="10"/>
  <c r="S108" i="10"/>
  <c r="AC19" i="10"/>
  <c r="AD19" i="10" s="1"/>
  <c r="AJ11" i="10"/>
  <c r="AK11" i="10" s="1"/>
  <c r="Z11" i="10"/>
  <c r="S10" i="10"/>
  <c r="AC460" i="10"/>
  <c r="AD460" i="10" s="1"/>
  <c r="AC27" i="10"/>
  <c r="AD27" i="10" s="1"/>
  <c r="AC201" i="10"/>
  <c r="AE201" i="10" s="1"/>
  <c r="AC287" i="10"/>
  <c r="AE287" i="10" s="1"/>
  <c r="AC31" i="10"/>
  <c r="AE31" i="10" s="1"/>
  <c r="R28" i="10"/>
  <c r="R242" i="10"/>
  <c r="R428" i="10"/>
  <c r="S146" i="10"/>
  <c r="AP11" i="10"/>
  <c r="AQ11" i="10" s="1"/>
  <c r="AC10" i="10"/>
  <c r="AV10" i="10" s="1"/>
  <c r="H82" i="1"/>
  <c r="S274" i="5"/>
  <c r="AC52" i="5"/>
  <c r="AE52" i="5" s="1"/>
  <c r="AC274" i="5"/>
  <c r="AD274" i="5" s="1"/>
  <c r="AC115" i="5"/>
  <c r="AE115" i="5" s="1"/>
  <c r="S205" i="5"/>
  <c r="AC288" i="5"/>
  <c r="AD288" i="5" s="1"/>
  <c r="R481" i="5"/>
  <c r="AC481" i="5"/>
  <c r="AE481" i="5" s="1"/>
  <c r="S422" i="5"/>
  <c r="AC205" i="5"/>
  <c r="AE205" i="5" s="1"/>
  <c r="S52" i="5"/>
  <c r="S287" i="5"/>
  <c r="R115" i="5"/>
  <c r="S288" i="5"/>
  <c r="R374" i="5"/>
  <c r="R33" i="5"/>
  <c r="R470" i="5"/>
  <c r="AC397" i="5"/>
  <c r="AD397" i="5" s="1"/>
  <c r="S397" i="5"/>
  <c r="S366" i="5"/>
  <c r="AC470" i="5"/>
  <c r="AD470" i="5" s="1"/>
  <c r="R306" i="5"/>
  <c r="S229" i="5"/>
  <c r="S479" i="5"/>
  <c r="S214" i="5"/>
  <c r="AC216" i="5"/>
  <c r="AS216" i="5" s="1"/>
  <c r="AT216" i="5" s="1"/>
  <c r="AE55" i="10"/>
  <c r="AC204" i="5"/>
  <c r="AE204" i="5" s="1"/>
  <c r="AC229" i="5"/>
  <c r="AD229" i="5" s="1"/>
  <c r="R509" i="5"/>
  <c r="AC422" i="5"/>
  <c r="AS422" i="5" s="1"/>
  <c r="AT422" i="5" s="1"/>
  <c r="S408" i="5"/>
  <c r="R434" i="5"/>
  <c r="S19" i="5"/>
  <c r="S216" i="5"/>
  <c r="AM11" i="5"/>
  <c r="AO11" i="5" s="1"/>
  <c r="S204" i="5"/>
  <c r="AC440" i="5"/>
  <c r="AD440" i="5" s="1"/>
  <c r="AC540" i="5"/>
  <c r="AE540" i="5" s="1"/>
  <c r="R347" i="5"/>
  <c r="AC306" i="5"/>
  <c r="AE306" i="5" s="1"/>
  <c r="AC160" i="5"/>
  <c r="AS160" i="5" s="1"/>
  <c r="AU160" i="5" s="1"/>
  <c r="AC363" i="5"/>
  <c r="AD363" i="5" s="1"/>
  <c r="S504" i="5"/>
  <c r="R416" i="5"/>
  <c r="R461" i="5"/>
  <c r="S515" i="5"/>
  <c r="R363" i="5"/>
  <c r="S160" i="5"/>
  <c r="AC366" i="5"/>
  <c r="AS366" i="5" s="1"/>
  <c r="AU366" i="5" s="1"/>
  <c r="S240" i="5"/>
  <c r="R117" i="5"/>
  <c r="S273" i="5"/>
  <c r="R305" i="5"/>
  <c r="R194" i="5"/>
  <c r="AC117" i="5"/>
  <c r="AS117" i="5" s="1"/>
  <c r="AU117" i="5" s="1"/>
  <c r="S437" i="5"/>
  <c r="R22" i="5"/>
  <c r="R189" i="5"/>
  <c r="AC19" i="5"/>
  <c r="AE19" i="5" s="1"/>
  <c r="AC347" i="5"/>
  <c r="AE347" i="5" s="1"/>
  <c r="AC287" i="5"/>
  <c r="AD287" i="5" s="1"/>
  <c r="AC189" i="5"/>
  <c r="AD189" i="5" s="1"/>
  <c r="AC240" i="5"/>
  <c r="AD240" i="5" s="1"/>
  <c r="AC515" i="5"/>
  <c r="AD515" i="5" s="1"/>
  <c r="AC434" i="5"/>
  <c r="AS434" i="5" s="1"/>
  <c r="AT434" i="5" s="1"/>
  <c r="AC9" i="10"/>
  <c r="AD9" i="10" s="1"/>
  <c r="R9" i="10"/>
  <c r="S9" i="10"/>
  <c r="AC492" i="5"/>
  <c r="AE492" i="5" s="1"/>
  <c r="AH9" i="10"/>
  <c r="AI9" i="10"/>
  <c r="AO9" i="10"/>
  <c r="AN9" i="10"/>
  <c r="AS9" i="10"/>
  <c r="R188" i="5"/>
  <c r="R446" i="5"/>
  <c r="R540" i="5"/>
  <c r="AC483" i="5"/>
  <c r="AE483" i="5" s="1"/>
  <c r="AQ9" i="10"/>
  <c r="AR9" i="10"/>
  <c r="AA9" i="10"/>
  <c r="AB9" i="10"/>
  <c r="U9" i="10"/>
  <c r="V9" i="10"/>
  <c r="AC33" i="5"/>
  <c r="AS33" i="5" s="1"/>
  <c r="AT33" i="5" s="1"/>
  <c r="S11" i="10"/>
  <c r="R11" i="10"/>
  <c r="S440" i="5"/>
  <c r="AC437" i="5"/>
  <c r="AD437" i="5" s="1"/>
  <c r="AC22" i="5"/>
  <c r="AE22" i="5" s="1"/>
  <c r="AC266" i="5"/>
  <c r="AE266" i="5" s="1"/>
  <c r="AC504" i="5"/>
  <c r="AS504" i="5" s="1"/>
  <c r="AT504" i="5" s="1"/>
  <c r="Y9" i="10"/>
  <c r="X9" i="10"/>
  <c r="AK9" i="10"/>
  <c r="AL9" i="10"/>
  <c r="AD55" i="10"/>
  <c r="AE326" i="10"/>
  <c r="AV278" i="10"/>
  <c r="AW278" i="10" s="1"/>
  <c r="S95" i="5"/>
  <c r="S30" i="5"/>
  <c r="S498" i="5"/>
  <c r="S203" i="5"/>
  <c r="R107" i="5"/>
  <c r="R89" i="5"/>
  <c r="R73" i="5"/>
  <c r="S147" i="5"/>
  <c r="R37" i="5"/>
  <c r="AC193" i="5"/>
  <c r="AE193" i="5" s="1"/>
  <c r="AC73" i="5"/>
  <c r="AE73" i="5" s="1"/>
  <c r="AC203" i="5"/>
  <c r="AD203" i="5" s="1"/>
  <c r="AC30" i="5"/>
  <c r="AD30" i="5" s="1"/>
  <c r="AC107" i="5"/>
  <c r="AE107" i="5" s="1"/>
  <c r="AC147" i="5"/>
  <c r="AS147" i="5" s="1"/>
  <c r="AU147" i="5" s="1"/>
  <c r="AE278" i="10"/>
  <c r="R281" i="5"/>
  <c r="R530" i="5"/>
  <c r="S492" i="5"/>
  <c r="R355" i="5"/>
  <c r="S266" i="5"/>
  <c r="S193" i="5"/>
  <c r="AC281" i="5"/>
  <c r="AS281" i="5" s="1"/>
  <c r="AU281" i="5" s="1"/>
  <c r="AC89" i="5"/>
  <c r="AD89" i="5" s="1"/>
  <c r="AC530" i="5"/>
  <c r="AD530" i="5" s="1"/>
  <c r="AC95" i="5"/>
  <c r="AE95" i="5" s="1"/>
  <c r="AD326" i="10"/>
  <c r="R65" i="5"/>
  <c r="R346" i="5"/>
  <c r="R483" i="5"/>
  <c r="R146" i="5"/>
  <c r="S519" i="5"/>
  <c r="S190" i="5"/>
  <c r="T11" i="5"/>
  <c r="U11" i="5" s="1"/>
  <c r="R175" i="5"/>
  <c r="S169" i="5"/>
  <c r="R252" i="5"/>
  <c r="AC188" i="5"/>
  <c r="AS188" i="5" s="1"/>
  <c r="AU188" i="5" s="1"/>
  <c r="AC138" i="5"/>
  <c r="AD138" i="5" s="1"/>
  <c r="R138" i="5"/>
  <c r="R432" i="5"/>
  <c r="S525" i="5"/>
  <c r="S329" i="5"/>
  <c r="R42" i="5"/>
  <c r="AC519" i="5"/>
  <c r="AD519" i="5" s="1"/>
  <c r="AC279" i="5"/>
  <c r="AS279" i="5" s="1"/>
  <c r="AU279" i="5" s="1"/>
  <c r="AC194" i="5"/>
  <c r="AE194" i="5" s="1"/>
  <c r="AC342" i="5"/>
  <c r="AD342" i="5" s="1"/>
  <c r="AC213" i="5"/>
  <c r="AS213" i="5" s="1"/>
  <c r="AU213" i="5" s="1"/>
  <c r="AC346" i="5"/>
  <c r="AE346" i="5" s="1"/>
  <c r="AC329" i="5"/>
  <c r="AE329" i="5" s="1"/>
  <c r="AC525" i="5"/>
  <c r="AE525" i="5" s="1"/>
  <c r="AC408" i="5"/>
  <c r="AS408" i="5" s="1"/>
  <c r="AU408" i="5" s="1"/>
  <c r="AC190" i="5"/>
  <c r="AD190" i="5" s="1"/>
  <c r="AE426" i="10"/>
  <c r="AV426" i="10"/>
  <c r="AD426" i="10"/>
  <c r="AV257" i="10"/>
  <c r="AD257" i="10"/>
  <c r="AE257" i="10"/>
  <c r="R403" i="5"/>
  <c r="R90" i="5"/>
  <c r="AC403" i="5"/>
  <c r="AD403" i="5" s="1"/>
  <c r="AC90" i="5"/>
  <c r="AE90" i="5" s="1"/>
  <c r="AE231" i="10"/>
  <c r="AD231" i="10"/>
  <c r="AV231" i="10"/>
  <c r="AE129" i="10"/>
  <c r="AD129" i="10"/>
  <c r="AV129" i="10"/>
  <c r="AD180" i="10"/>
  <c r="AE180" i="10"/>
  <c r="AV180" i="10"/>
  <c r="AD516" i="10"/>
  <c r="AV516" i="10"/>
  <c r="AE516" i="10"/>
  <c r="AE274" i="10"/>
  <c r="AV274" i="10"/>
  <c r="AD274" i="10"/>
  <c r="R388" i="5"/>
  <c r="S411" i="5"/>
  <c r="AD164" i="10"/>
  <c r="S162" i="5"/>
  <c r="S319" i="5"/>
  <c r="R157" i="5"/>
  <c r="S70" i="5"/>
  <c r="AC305" i="5"/>
  <c r="AS305" i="5" s="1"/>
  <c r="AU305" i="5" s="1"/>
  <c r="AC65" i="5"/>
  <c r="AD65" i="5" s="1"/>
  <c r="AC411" i="5"/>
  <c r="AE411" i="5" s="1"/>
  <c r="AD395" i="10"/>
  <c r="AE395" i="10"/>
  <c r="AV395" i="10"/>
  <c r="AE108" i="10"/>
  <c r="AD108" i="10"/>
  <c r="AV108" i="10"/>
  <c r="AE541" i="10"/>
  <c r="AV541" i="10"/>
  <c r="AD541" i="10"/>
  <c r="AV245" i="10"/>
  <c r="AD245" i="10"/>
  <c r="AE245" i="10"/>
  <c r="AD224" i="10"/>
  <c r="AV224" i="10"/>
  <c r="AE224" i="10"/>
  <c r="AE279" i="10"/>
  <c r="AV279" i="10"/>
  <c r="AD279" i="10"/>
  <c r="AX326" i="10"/>
  <c r="AW326" i="10"/>
  <c r="AX55" i="10"/>
  <c r="AW55" i="10"/>
  <c r="AC388" i="5"/>
  <c r="AD388" i="5" s="1"/>
  <c r="S394" i="5"/>
  <c r="S100" i="5"/>
  <c r="R399" i="5"/>
  <c r="AC400" i="5"/>
  <c r="AE400" i="5" s="1"/>
  <c r="S207" i="5"/>
  <c r="R400" i="5"/>
  <c r="AC100" i="5"/>
  <c r="AS100" i="5" s="1"/>
  <c r="AT100" i="5" s="1"/>
  <c r="AC207" i="5"/>
  <c r="AS207" i="5" s="1"/>
  <c r="AU207" i="5" s="1"/>
  <c r="AC355" i="5"/>
  <c r="AD355" i="5" s="1"/>
  <c r="S421" i="5"/>
  <c r="AC421" i="5"/>
  <c r="AE421" i="5" s="1"/>
  <c r="R541" i="5"/>
  <c r="R296" i="5"/>
  <c r="R477" i="5"/>
  <c r="S86" i="5"/>
  <c r="S61" i="5"/>
  <c r="S279" i="5"/>
  <c r="R445" i="5"/>
  <c r="R300" i="5"/>
  <c r="R369" i="5"/>
  <c r="S60" i="5"/>
  <c r="R213" i="5"/>
  <c r="R176" i="5"/>
  <c r="R113" i="5"/>
  <c r="S236" i="5"/>
  <c r="R342" i="5"/>
  <c r="AC176" i="5"/>
  <c r="AE176" i="5" s="1"/>
  <c r="AC70" i="5"/>
  <c r="AS70" i="5" s="1"/>
  <c r="AT70" i="5" s="1"/>
  <c r="AC94" i="5"/>
  <c r="AE94" i="5" s="1"/>
  <c r="AC42" i="5"/>
  <c r="AE42" i="5" s="1"/>
  <c r="AC60" i="5"/>
  <c r="AS60" i="5" s="1"/>
  <c r="S522" i="5"/>
  <c r="R126" i="5"/>
  <c r="AC522" i="5"/>
  <c r="AD522" i="5" s="1"/>
  <c r="S383" i="5"/>
  <c r="AC394" i="5"/>
  <c r="AD394" i="5" s="1"/>
  <c r="AC239" i="5"/>
  <c r="AE239" i="5" s="1"/>
  <c r="AC393" i="5"/>
  <c r="AS393" i="5" s="1"/>
  <c r="AU393" i="5" s="1"/>
  <c r="S148" i="5"/>
  <c r="R170" i="5"/>
  <c r="S83" i="5"/>
  <c r="R549" i="5"/>
  <c r="R239" i="5"/>
  <c r="AC383" i="5"/>
  <c r="AE383" i="5" s="1"/>
  <c r="AC410" i="5"/>
  <c r="AE410" i="5" s="1"/>
  <c r="AC83" i="5"/>
  <c r="AD83" i="5" s="1"/>
  <c r="AC170" i="5"/>
  <c r="AE170" i="5" s="1"/>
  <c r="R257" i="5"/>
  <c r="S447" i="5"/>
  <c r="R410" i="5"/>
  <c r="R393" i="5"/>
  <c r="R36" i="5"/>
  <c r="AC549" i="5"/>
  <c r="AE549" i="5" s="1"/>
  <c r="R337" i="5"/>
  <c r="R47" i="5"/>
  <c r="S520" i="5"/>
  <c r="S350" i="5"/>
  <c r="S496" i="5"/>
  <c r="S351" i="5"/>
  <c r="AC292" i="5"/>
  <c r="AD292" i="5" s="1"/>
  <c r="AC337" i="5"/>
  <c r="AS337" i="5" s="1"/>
  <c r="AT337" i="5" s="1"/>
  <c r="AC196" i="5"/>
  <c r="AE196" i="5" s="1"/>
  <c r="AC86" i="5"/>
  <c r="AD86" i="5" s="1"/>
  <c r="AC541" i="5"/>
  <c r="AS541" i="5" s="1"/>
  <c r="AT541" i="5" s="1"/>
  <c r="S292" i="5"/>
  <c r="R373" i="5"/>
  <c r="S94" i="5"/>
  <c r="AC296" i="5"/>
  <c r="AE296" i="5" s="1"/>
  <c r="AC47" i="5"/>
  <c r="AE47" i="5" s="1"/>
  <c r="AC351" i="5"/>
  <c r="AD351" i="5" s="1"/>
  <c r="AC257" i="5"/>
  <c r="AD257" i="5" s="1"/>
  <c r="AC520" i="5"/>
  <c r="AS520" i="5" s="1"/>
  <c r="AT520" i="5" s="1"/>
  <c r="S201" i="5"/>
  <c r="R536" i="5"/>
  <c r="AC496" i="5"/>
  <c r="AD496" i="5" s="1"/>
  <c r="AC536" i="5"/>
  <c r="AD536" i="5" s="1"/>
  <c r="AC201" i="5"/>
  <c r="AS201" i="5" s="1"/>
  <c r="AT201" i="5" s="1"/>
  <c r="S109" i="5"/>
  <c r="S227" i="5"/>
  <c r="S311" i="5"/>
  <c r="AC311" i="5"/>
  <c r="AS311" i="5" s="1"/>
  <c r="AU311" i="5" s="1"/>
  <c r="AC109" i="5"/>
  <c r="AS109" i="5" s="1"/>
  <c r="AU109" i="5" s="1"/>
  <c r="AC373" i="5"/>
  <c r="AS373" i="5" s="1"/>
  <c r="AU373" i="5" s="1"/>
  <c r="AC227" i="5"/>
  <c r="AS227" i="5" s="1"/>
  <c r="AU227" i="5" s="1"/>
  <c r="R246" i="5"/>
  <c r="AC246" i="5"/>
  <c r="AE246" i="5" s="1"/>
  <c r="AC482" i="5"/>
  <c r="AE482" i="5" s="1"/>
  <c r="S265" i="5"/>
  <c r="R512" i="5"/>
  <c r="AC66" i="5"/>
  <c r="AS66" i="5" s="1"/>
  <c r="AU66" i="5" s="1"/>
  <c r="R423" i="5"/>
  <c r="S66" i="5"/>
  <c r="R183" i="5"/>
  <c r="S277" i="5"/>
  <c r="AC423" i="5"/>
  <c r="AD423" i="5" s="1"/>
  <c r="AC183" i="5"/>
  <c r="AS183" i="5" s="1"/>
  <c r="AU183" i="5" s="1"/>
  <c r="AC335" i="5"/>
  <c r="AE335" i="5" s="1"/>
  <c r="S487" i="5"/>
  <c r="S245" i="5"/>
  <c r="S458" i="5"/>
  <c r="AC460" i="5"/>
  <c r="AD460" i="5" s="1"/>
  <c r="R500" i="5"/>
  <c r="Z11" i="5"/>
  <c r="AA11" i="5" s="1"/>
  <c r="S368" i="5"/>
  <c r="R560" i="5"/>
  <c r="R268" i="5"/>
  <c r="R154" i="5"/>
  <c r="R28" i="5"/>
  <c r="S152" i="5"/>
  <c r="S465" i="5"/>
  <c r="S452" i="5"/>
  <c r="R468" i="5"/>
  <c r="S102" i="5"/>
  <c r="S127" i="5"/>
  <c r="S166" i="5"/>
  <c r="S99" i="5"/>
  <c r="AC500" i="5"/>
  <c r="AE500" i="5" s="1"/>
  <c r="AC503" i="5"/>
  <c r="AE503" i="5" s="1"/>
  <c r="AC326" i="5"/>
  <c r="AE326" i="5" s="1"/>
  <c r="AC113" i="5"/>
  <c r="AS113" i="5" s="1"/>
  <c r="AT113" i="5" s="1"/>
  <c r="AC553" i="5"/>
  <c r="AS553" i="5" s="1"/>
  <c r="AT553" i="5" s="1"/>
  <c r="AC102" i="5"/>
  <c r="AD102" i="5" s="1"/>
  <c r="AC162" i="5"/>
  <c r="AS162" i="5" s="1"/>
  <c r="AT162" i="5" s="1"/>
  <c r="AC278" i="5"/>
  <c r="AE278" i="5" s="1"/>
  <c r="AC459" i="5"/>
  <c r="AD459" i="5" s="1"/>
  <c r="AC324" i="5"/>
  <c r="AE324" i="5" s="1"/>
  <c r="AC256" i="5"/>
  <c r="AS256" i="5" s="1"/>
  <c r="AU256" i="5" s="1"/>
  <c r="AC191" i="5"/>
  <c r="AE191" i="5" s="1"/>
  <c r="AC452" i="5"/>
  <c r="AD452" i="5" s="1"/>
  <c r="AC244" i="5"/>
  <c r="AE244" i="5" s="1"/>
  <c r="AI11" i="5"/>
  <c r="R156" i="5"/>
  <c r="S427" i="5"/>
  <c r="S405" i="5"/>
  <c r="R324" i="5"/>
  <c r="S545" i="5"/>
  <c r="R77" i="5"/>
  <c r="R241" i="5"/>
  <c r="S69" i="5"/>
  <c r="R414" i="5"/>
  <c r="S552" i="5"/>
  <c r="R330" i="5"/>
  <c r="S68" i="5"/>
  <c r="R225" i="5"/>
  <c r="AC143" i="5"/>
  <c r="AD143" i="5" s="1"/>
  <c r="AC35" i="5"/>
  <c r="AD35" i="5" s="1"/>
  <c r="AC61" i="5"/>
  <c r="AS61" i="5" s="1"/>
  <c r="AU61" i="5" s="1"/>
  <c r="AC368" i="5"/>
  <c r="AE368" i="5" s="1"/>
  <c r="AC54" i="5"/>
  <c r="AS54" i="5" s="1"/>
  <c r="AU54" i="5" s="1"/>
  <c r="AC136" i="5"/>
  <c r="AS136" i="5" s="1"/>
  <c r="AU136" i="5" s="1"/>
  <c r="AC360" i="5"/>
  <c r="AS360" i="5" s="1"/>
  <c r="AT360" i="5" s="1"/>
  <c r="AC268" i="5"/>
  <c r="AE268" i="5" s="1"/>
  <c r="AC461" i="5"/>
  <c r="AS461" i="5" s="1"/>
  <c r="AC417" i="5"/>
  <c r="AE417" i="5" s="1"/>
  <c r="AC529" i="5"/>
  <c r="AS529" i="5" s="1"/>
  <c r="AC545" i="5"/>
  <c r="AD545" i="5" s="1"/>
  <c r="AC416" i="5"/>
  <c r="AE416" i="5" s="1"/>
  <c r="AC154" i="5"/>
  <c r="AE154" i="5" s="1"/>
  <c r="AC127" i="5"/>
  <c r="AE127" i="5" s="1"/>
  <c r="R426" i="5"/>
  <c r="AJ11" i="5"/>
  <c r="S67" i="5"/>
  <c r="S453" i="5"/>
  <c r="R514" i="5"/>
  <c r="S417" i="5"/>
  <c r="R529" i="5"/>
  <c r="S35" i="5"/>
  <c r="R27" i="5"/>
  <c r="R235" i="5"/>
  <c r="R105" i="5"/>
  <c r="S360" i="5"/>
  <c r="R244" i="5"/>
  <c r="AC273" i="5"/>
  <c r="AE273" i="5" s="1"/>
  <c r="AC177" i="5"/>
  <c r="AS177" i="5" s="1"/>
  <c r="AC253" i="5"/>
  <c r="AS253" i="5" s="1"/>
  <c r="AT253" i="5" s="1"/>
  <c r="R395" i="5"/>
  <c r="AC330" i="5"/>
  <c r="AD330" i="5" s="1"/>
  <c r="AC426" i="5"/>
  <c r="AD426" i="5" s="1"/>
  <c r="AC215" i="5"/>
  <c r="AS215" i="5" s="1"/>
  <c r="AU215" i="5" s="1"/>
  <c r="AC395" i="5"/>
  <c r="AS395" i="5" s="1"/>
  <c r="AT395" i="5" s="1"/>
  <c r="AC169" i="5"/>
  <c r="AS169" i="5" s="1"/>
  <c r="AT169" i="5" s="1"/>
  <c r="S58" i="5"/>
  <c r="R97" i="5"/>
  <c r="S460" i="5"/>
  <c r="R144" i="5"/>
  <c r="S450" i="5"/>
  <c r="S466" i="5"/>
  <c r="R335" i="5"/>
  <c r="AC81" i="5"/>
  <c r="AS81" i="5" s="1"/>
  <c r="AT81" i="5" s="1"/>
  <c r="S362" i="5"/>
  <c r="S81" i="5"/>
  <c r="R196" i="5"/>
  <c r="AC450" i="5"/>
  <c r="AS450" i="5" s="1"/>
  <c r="AU450" i="5" s="1"/>
  <c r="AC97" i="5"/>
  <c r="AD97" i="5" s="1"/>
  <c r="S29" i="5"/>
  <c r="R180" i="5"/>
  <c r="S482" i="5"/>
  <c r="S354" i="5"/>
  <c r="R200" i="5"/>
  <c r="AC200" i="5"/>
  <c r="AS200" i="5" s="1"/>
  <c r="AU200" i="5" s="1"/>
  <c r="AC429" i="5"/>
  <c r="AD429" i="5" s="1"/>
  <c r="S341" i="5"/>
  <c r="S533" i="5"/>
  <c r="S528" i="5"/>
  <c r="S444" i="5"/>
  <c r="W11" i="5"/>
  <c r="X11" i="5" s="1"/>
  <c r="R322" i="5"/>
  <c r="S206" i="5"/>
  <c r="S256" i="5"/>
  <c r="S339" i="5"/>
  <c r="R459" i="5"/>
  <c r="S370" i="5"/>
  <c r="S179" i="5"/>
  <c r="S125" i="5"/>
  <c r="R289" i="5"/>
  <c r="S371" i="5"/>
  <c r="R497" i="5"/>
  <c r="R74" i="5"/>
  <c r="R297" i="5"/>
  <c r="R143" i="5"/>
  <c r="R263" i="5"/>
  <c r="R547" i="5"/>
  <c r="S293" i="5"/>
  <c r="R120" i="5"/>
  <c r="R462" i="5"/>
  <c r="AC300" i="5"/>
  <c r="AE300" i="5" s="1"/>
  <c r="AC472" i="5"/>
  <c r="AD472" i="5" s="1"/>
  <c r="AC235" i="5"/>
  <c r="AD235" i="5" s="1"/>
  <c r="AC552" i="5"/>
  <c r="AD552" i="5" s="1"/>
  <c r="AC341" i="5"/>
  <c r="AS341" i="5" s="1"/>
  <c r="AU341" i="5" s="1"/>
  <c r="AC99" i="5"/>
  <c r="AD99" i="5" s="1"/>
  <c r="AC544" i="5"/>
  <c r="AD544" i="5" s="1"/>
  <c r="AC560" i="5"/>
  <c r="AD560" i="5" s="1"/>
  <c r="AC69" i="5"/>
  <c r="AS69" i="5" s="1"/>
  <c r="AT69" i="5" s="1"/>
  <c r="AC370" i="5"/>
  <c r="AD370" i="5" s="1"/>
  <c r="AC75" i="5"/>
  <c r="AD75" i="5" s="1"/>
  <c r="AC68" i="5"/>
  <c r="AD68" i="5" s="1"/>
  <c r="AC371" i="5"/>
  <c r="AE371" i="5" s="1"/>
  <c r="AC221" i="5"/>
  <c r="AE221" i="5" s="1"/>
  <c r="AC547" i="5"/>
  <c r="AD547" i="5" s="1"/>
  <c r="AC263" i="5"/>
  <c r="AE263" i="5" s="1"/>
  <c r="AC206" i="5"/>
  <c r="AS206" i="5" s="1"/>
  <c r="AT206" i="5" s="1"/>
  <c r="AC387" i="5"/>
  <c r="AD387" i="5" s="1"/>
  <c r="S503" i="5"/>
  <c r="R378" i="5"/>
  <c r="S231" i="5"/>
  <c r="Q11" i="5"/>
  <c r="R11" i="5" s="1"/>
  <c r="R124" i="5"/>
  <c r="R82" i="5"/>
  <c r="R136" i="5"/>
  <c r="R54" i="5"/>
  <c r="S8" i="5"/>
  <c r="R221" i="5"/>
  <c r="R372" i="5"/>
  <c r="R544" i="5"/>
  <c r="R326" i="5"/>
  <c r="S59" i="5"/>
  <c r="S472" i="5"/>
  <c r="R387" i="5"/>
  <c r="S253" i="5"/>
  <c r="S75" i="5"/>
  <c r="R513" i="5"/>
  <c r="S177" i="5"/>
  <c r="R215" i="5"/>
  <c r="R391" i="5"/>
  <c r="S20" i="5"/>
  <c r="R553" i="5"/>
  <c r="R278" i="5"/>
  <c r="AC405" i="5"/>
  <c r="AE405" i="5" s="1"/>
  <c r="AC391" i="5"/>
  <c r="AD391" i="5" s="1"/>
  <c r="AC462" i="5"/>
  <c r="AS462" i="5" s="1"/>
  <c r="AT462" i="5" s="1"/>
  <c r="AC339" i="5"/>
  <c r="AS339" i="5" s="1"/>
  <c r="AU339" i="5" s="1"/>
  <c r="AC357" i="5"/>
  <c r="AS357" i="5" s="1"/>
  <c r="AU357" i="5" s="1"/>
  <c r="AC369" i="5"/>
  <c r="AE369" i="5" s="1"/>
  <c r="AC27" i="5"/>
  <c r="AS27" i="5" s="1"/>
  <c r="AT27" i="5" s="1"/>
  <c r="AC156" i="5"/>
  <c r="AE156" i="5" s="1"/>
  <c r="AC465" i="5"/>
  <c r="AS465" i="5" s="1"/>
  <c r="AC241" i="5"/>
  <c r="AS241" i="5" s="1"/>
  <c r="AU241" i="5" s="1"/>
  <c r="S357" i="5"/>
  <c r="AC444" i="5"/>
  <c r="AE444" i="5" s="1"/>
  <c r="AC175" i="5"/>
  <c r="AE175" i="5" s="1"/>
  <c r="AC293" i="5"/>
  <c r="AD293" i="5" s="1"/>
  <c r="AC432" i="5"/>
  <c r="AE432" i="5" s="1"/>
  <c r="AC480" i="5"/>
  <c r="AS480" i="5" s="1"/>
  <c r="AU480" i="5" s="1"/>
  <c r="AC199" i="5"/>
  <c r="AE199" i="5" s="1"/>
  <c r="AC533" i="5"/>
  <c r="AD533" i="5" s="1"/>
  <c r="AC157" i="5"/>
  <c r="AS157" i="5" s="1"/>
  <c r="AU157" i="5" s="1"/>
  <c r="AC319" i="5"/>
  <c r="AS319" i="5" s="1"/>
  <c r="AU319" i="5" s="1"/>
  <c r="AC166" i="5"/>
  <c r="AD166" i="5" s="1"/>
  <c r="AC378" i="5"/>
  <c r="AD378" i="5" s="1"/>
  <c r="AC67" i="5"/>
  <c r="AE67" i="5" s="1"/>
  <c r="AC514" i="5"/>
  <c r="AE514" i="5" s="1"/>
  <c r="AC105" i="5"/>
  <c r="AS105" i="5" s="1"/>
  <c r="AT105" i="5" s="1"/>
  <c r="AC477" i="5"/>
  <c r="AE477" i="5" s="1"/>
  <c r="R219" i="5"/>
  <c r="R381" i="5"/>
  <c r="S486" i="5"/>
  <c r="AC449" i="5"/>
  <c r="AE449" i="5" s="1"/>
  <c r="AC554" i="5"/>
  <c r="AE554" i="5" s="1"/>
  <c r="AC212" i="5"/>
  <c r="AD212" i="5" s="1"/>
  <c r="AC407" i="5"/>
  <c r="AE407" i="5" s="1"/>
  <c r="AC76" i="5"/>
  <c r="AD76" i="5" s="1"/>
  <c r="AC382" i="5"/>
  <c r="AE382" i="5" s="1"/>
  <c r="AC518" i="5"/>
  <c r="AE518" i="5" s="1"/>
  <c r="AC29" i="5"/>
  <c r="AD29" i="5" s="1"/>
  <c r="R260" i="5"/>
  <c r="R142" i="5"/>
  <c r="AC380" i="5"/>
  <c r="AE380" i="5" s="1"/>
  <c r="S230" i="5"/>
  <c r="AC230" i="5"/>
  <c r="AE230" i="5" s="1"/>
  <c r="AC334" i="5"/>
  <c r="AD334" i="5" s="1"/>
  <c r="R250" i="5"/>
  <c r="S336" i="5"/>
  <c r="S471" i="5"/>
  <c r="AC303" i="5"/>
  <c r="AE303" i="5" s="1"/>
  <c r="AC336" i="5"/>
  <c r="AD336" i="5" s="1"/>
  <c r="AC120" i="5"/>
  <c r="AD120" i="5" s="1"/>
  <c r="R133" i="5"/>
  <c r="R187" i="5"/>
  <c r="R26" i="5"/>
  <c r="S428" i="5"/>
  <c r="S456" i="5"/>
  <c r="R518" i="5"/>
  <c r="S72" i="5"/>
  <c r="S321" i="5"/>
  <c r="R314" i="5"/>
  <c r="S50" i="5"/>
  <c r="R57" i="5"/>
  <c r="R454" i="5"/>
  <c r="AC456" i="5"/>
  <c r="AD456" i="5" s="1"/>
  <c r="AC464" i="5"/>
  <c r="AD464" i="5" s="1"/>
  <c r="AC354" i="5"/>
  <c r="AD354" i="5" s="1"/>
  <c r="AC192" i="5"/>
  <c r="AS192" i="5" s="1"/>
  <c r="AU192" i="5" s="1"/>
  <c r="AC133" i="5"/>
  <c r="AD133" i="5" s="1"/>
  <c r="AC43" i="5"/>
  <c r="AS43" i="5" s="1"/>
  <c r="AT43" i="5" s="1"/>
  <c r="AC435" i="5"/>
  <c r="AD435" i="5" s="1"/>
  <c r="AC436" i="5"/>
  <c r="AD436" i="5" s="1"/>
  <c r="AC270" i="5"/>
  <c r="AD270" i="5" s="1"/>
  <c r="AC236" i="5"/>
  <c r="AE236" i="5" s="1"/>
  <c r="AC271" i="5"/>
  <c r="AE271" i="5" s="1"/>
  <c r="AC284" i="5"/>
  <c r="AD284" i="5" s="1"/>
  <c r="R349" i="5"/>
  <c r="S285" i="5"/>
  <c r="AC118" i="5"/>
  <c r="AS118" i="5" s="1"/>
  <c r="AT118" i="5" s="1"/>
  <c r="R495" i="5"/>
  <c r="S114" i="5"/>
  <c r="AC286" i="5"/>
  <c r="AS286" i="5" s="1"/>
  <c r="AU286" i="5" s="1"/>
  <c r="AC172" i="5"/>
  <c r="AE172" i="5" s="1"/>
  <c r="AC238" i="5"/>
  <c r="AS238" i="5" s="1"/>
  <c r="AT238" i="5" s="1"/>
  <c r="AC527" i="5"/>
  <c r="AS527" i="5" s="1"/>
  <c r="AC548" i="5"/>
  <c r="AS548" i="5" s="1"/>
  <c r="AT548" i="5" s="1"/>
  <c r="AC420" i="5"/>
  <c r="AD420" i="5" s="1"/>
  <c r="AC392" i="5"/>
  <c r="AS392" i="5" s="1"/>
  <c r="AT392" i="5" s="1"/>
  <c r="AC364" i="5"/>
  <c r="AS364" i="5" s="1"/>
  <c r="AU364" i="5" s="1"/>
  <c r="AC103" i="5"/>
  <c r="AD103" i="5" s="1"/>
  <c r="AC219" i="5"/>
  <c r="AE219" i="5" s="1"/>
  <c r="AC173" i="5"/>
  <c r="AS173" i="5" s="1"/>
  <c r="AU173" i="5" s="1"/>
  <c r="R286" i="5"/>
  <c r="R129" i="5"/>
  <c r="S192" i="5"/>
  <c r="R534" i="5"/>
  <c r="R264" i="5"/>
  <c r="AC255" i="5"/>
  <c r="AD255" i="5" s="1"/>
  <c r="AC250" i="5"/>
  <c r="AE250" i="5" s="1"/>
  <c r="R333" i="5"/>
  <c r="R433" i="5"/>
  <c r="R238" i="5"/>
  <c r="R172" i="5"/>
  <c r="S491" i="5"/>
  <c r="R532" i="5"/>
  <c r="R404" i="5"/>
  <c r="R262" i="5"/>
  <c r="S457" i="5"/>
  <c r="S429" i="5"/>
  <c r="R271" i="5"/>
  <c r="R116" i="5"/>
  <c r="R139" i="5"/>
  <c r="R554" i="5"/>
  <c r="AC262" i="5"/>
  <c r="AD262" i="5" s="1"/>
  <c r="R407" i="5"/>
  <c r="R270" i="5"/>
  <c r="S334" i="5"/>
  <c r="AC180" i="5"/>
  <c r="AD180" i="5" s="1"/>
  <c r="R64" i="5"/>
  <c r="AC486" i="5"/>
  <c r="AD486" i="5" s="1"/>
  <c r="AC116" i="5"/>
  <c r="AS116" i="5" s="1"/>
  <c r="AU116" i="5" s="1"/>
  <c r="R202" i="5"/>
  <c r="R272" i="5"/>
  <c r="AC202" i="5"/>
  <c r="AS202" i="5" s="1"/>
  <c r="AU202" i="5" s="1"/>
  <c r="AC272" i="5"/>
  <c r="AD272" i="5" s="1"/>
  <c r="AC331" i="5"/>
  <c r="AD331" i="5" s="1"/>
  <c r="S210" i="5"/>
  <c r="R198" i="5"/>
  <c r="R352" i="5"/>
  <c r="R316" i="5"/>
  <c r="S96" i="5"/>
  <c r="S110" i="5"/>
  <c r="R484" i="5"/>
  <c r="S255" i="5"/>
  <c r="S137" i="5"/>
  <c r="S386" i="5"/>
  <c r="R464" i="5"/>
  <c r="AC264" i="5"/>
  <c r="AD264" i="5" s="1"/>
  <c r="AC413" i="5"/>
  <c r="AS413" i="5" s="1"/>
  <c r="AU413" i="5" s="1"/>
  <c r="AC26" i="5"/>
  <c r="AE26" i="5" s="1"/>
  <c r="AC433" i="5"/>
  <c r="AS433" i="5" s="1"/>
  <c r="AU433" i="5" s="1"/>
  <c r="AC475" i="5"/>
  <c r="AS475" i="5" s="1"/>
  <c r="AT475" i="5" s="1"/>
  <c r="AC114" i="5"/>
  <c r="AD114" i="5" s="1"/>
  <c r="AC386" i="5"/>
  <c r="AS386" i="5" s="1"/>
  <c r="AC93" i="5"/>
  <c r="AE93" i="5" s="1"/>
  <c r="AC96" i="5"/>
  <c r="AS96" i="5" s="1"/>
  <c r="AU96" i="5" s="1"/>
  <c r="AC226" i="5"/>
  <c r="AD226" i="5" s="1"/>
  <c r="AC455" i="5"/>
  <c r="AD455" i="5" s="1"/>
  <c r="R261" i="5"/>
  <c r="S392" i="5"/>
  <c r="R380" i="5"/>
  <c r="S84" i="5"/>
  <c r="S93" i="5"/>
  <c r="S475" i="5"/>
  <c r="R181" i="5"/>
  <c r="AC285" i="5"/>
  <c r="AE285" i="5" s="1"/>
  <c r="AC314" i="5"/>
  <c r="AD314" i="5" s="1"/>
  <c r="AC439" i="5"/>
  <c r="AD439" i="5" s="1"/>
  <c r="AC51" i="5"/>
  <c r="AS51" i="5" s="1"/>
  <c r="AT51" i="5" s="1"/>
  <c r="AC333" i="5"/>
  <c r="AD333" i="5" s="1"/>
  <c r="S548" i="5"/>
  <c r="S51" i="5"/>
  <c r="R168" i="5"/>
  <c r="S418" i="5"/>
  <c r="S111" i="5"/>
  <c r="S516" i="5"/>
  <c r="S267" i="5"/>
  <c r="S226" i="5"/>
  <c r="S439" i="5"/>
  <c r="S248" i="5"/>
  <c r="R310" i="5"/>
  <c r="AC242" i="5"/>
  <c r="AD242" i="5" s="1"/>
  <c r="AC321" i="5"/>
  <c r="AD321" i="5" s="1"/>
  <c r="AC310" i="5"/>
  <c r="AD310" i="5" s="1"/>
  <c r="S485" i="5"/>
  <c r="R556" i="5"/>
  <c r="S223" i="5"/>
  <c r="AC489" i="5"/>
  <c r="AS489" i="5" s="1"/>
  <c r="AU489" i="5" s="1"/>
  <c r="AC149" i="5"/>
  <c r="AE149" i="5" s="1"/>
  <c r="AC62" i="5"/>
  <c r="AS62" i="5" s="1"/>
  <c r="AT62" i="5" s="1"/>
  <c r="AC232" i="5"/>
  <c r="AS232" i="5" s="1"/>
  <c r="AU232" i="5" s="1"/>
  <c r="AC328" i="5"/>
  <c r="AE328" i="5" s="1"/>
  <c r="AC502" i="5"/>
  <c r="AS502" i="5" s="1"/>
  <c r="AT502" i="5" s="1"/>
  <c r="AC38" i="5"/>
  <c r="AE38" i="5" s="1"/>
  <c r="AC123" i="5"/>
  <c r="AD123" i="5" s="1"/>
  <c r="AC424" i="5"/>
  <c r="AS424" i="5" s="1"/>
  <c r="AT424" i="5" s="1"/>
  <c r="AC259" i="5"/>
  <c r="AE259" i="5" s="1"/>
  <c r="S511" i="5"/>
  <c r="AC317" i="5"/>
  <c r="AS317" i="5" s="1"/>
  <c r="AT317" i="5" s="1"/>
  <c r="S208" i="5"/>
  <c r="S441" i="5"/>
  <c r="AC254" i="5"/>
  <c r="AD254" i="5" s="1"/>
  <c r="AC234" i="5"/>
  <c r="AS234" i="5" s="1"/>
  <c r="AU234" i="5" s="1"/>
  <c r="AC307" i="5"/>
  <c r="AE307" i="5" s="1"/>
  <c r="AC110" i="5"/>
  <c r="AS110" i="5" s="1"/>
  <c r="AU110" i="5" s="1"/>
  <c r="AC441" i="5"/>
  <c r="AE441" i="5" s="1"/>
  <c r="AC25" i="5"/>
  <c r="AD25" i="5" s="1"/>
  <c r="AC13" i="5"/>
  <c r="AS13" i="5" s="1"/>
  <c r="AU13" i="5" s="1"/>
  <c r="AC111" i="5"/>
  <c r="AD111" i="5" s="1"/>
  <c r="AC267" i="5"/>
  <c r="AS267" i="5" s="1"/>
  <c r="AU267" i="5" s="1"/>
  <c r="AC290" i="5"/>
  <c r="AS290" i="5" s="1"/>
  <c r="AU290" i="5" s="1"/>
  <c r="AC168" i="5"/>
  <c r="AD168" i="5" s="1"/>
  <c r="AC381" i="5"/>
  <c r="AD381" i="5" s="1"/>
  <c r="AC418" i="5"/>
  <c r="AS418" i="5" s="1"/>
  <c r="AT418" i="5" s="1"/>
  <c r="S494" i="5"/>
  <c r="R103" i="5"/>
  <c r="R254" i="5"/>
  <c r="S435" i="5"/>
  <c r="R211" i="5"/>
  <c r="R413" i="5"/>
  <c r="S108" i="5"/>
  <c r="S106" i="5"/>
  <c r="R455" i="5"/>
  <c r="R307" i="5"/>
  <c r="R290" i="5"/>
  <c r="R234" i="5"/>
  <c r="AC106" i="5"/>
  <c r="AD106" i="5" s="1"/>
  <c r="AC181" i="5"/>
  <c r="AS181" i="5" s="1"/>
  <c r="AC79" i="5"/>
  <c r="AD79" i="5" s="1"/>
  <c r="AC495" i="5"/>
  <c r="AS495" i="5" s="1"/>
  <c r="AU495" i="5" s="1"/>
  <c r="R25" i="5"/>
  <c r="R527" i="5"/>
  <c r="R13" i="5"/>
  <c r="R269" i="5"/>
  <c r="R309" i="5"/>
  <c r="R79" i="5"/>
  <c r="R490" i="5"/>
  <c r="S345" i="5"/>
  <c r="R282" i="5"/>
  <c r="R178" i="5"/>
  <c r="R161" i="5"/>
  <c r="R145" i="5"/>
  <c r="S323" i="5"/>
  <c r="S101" i="5"/>
  <c r="S420" i="5"/>
  <c r="R34" i="5"/>
  <c r="S436" i="5"/>
  <c r="AC490" i="5"/>
  <c r="AE490" i="5" s="1"/>
  <c r="AC532" i="5"/>
  <c r="AD532" i="5" s="1"/>
  <c r="AC352" i="5"/>
  <c r="AS352" i="5" s="1"/>
  <c r="AU352" i="5" s="1"/>
  <c r="AC491" i="5"/>
  <c r="AE491" i="5" s="1"/>
  <c r="AC145" i="5"/>
  <c r="AS145" i="5" s="1"/>
  <c r="AT145" i="5" s="1"/>
  <c r="AC137" i="5"/>
  <c r="AS137" i="5" s="1"/>
  <c r="AU137" i="5" s="1"/>
  <c r="AC428" i="5"/>
  <c r="AE428" i="5" s="1"/>
  <c r="AC248" i="5"/>
  <c r="AS248" i="5" s="1"/>
  <c r="AU248" i="5" s="1"/>
  <c r="AC349" i="5"/>
  <c r="AD349" i="5" s="1"/>
  <c r="S242" i="5"/>
  <c r="AC516" i="5"/>
  <c r="AE516" i="5" s="1"/>
  <c r="AC129" i="5"/>
  <c r="AE129" i="5" s="1"/>
  <c r="AC57" i="5"/>
  <c r="AS57" i="5" s="1"/>
  <c r="AU57" i="5" s="1"/>
  <c r="AC484" i="5"/>
  <c r="AS484" i="5" s="1"/>
  <c r="AT484" i="5" s="1"/>
  <c r="AC261" i="5"/>
  <c r="AE261" i="5" s="1"/>
  <c r="AC198" i="5"/>
  <c r="AE198" i="5" s="1"/>
  <c r="AC50" i="5"/>
  <c r="AE50" i="5" s="1"/>
  <c r="S104" i="5"/>
  <c r="S247" i="5"/>
  <c r="R41" i="5"/>
  <c r="R118" i="5"/>
  <c r="S149" i="5"/>
  <c r="R304" i="5"/>
  <c r="S353" i="5"/>
  <c r="R542" i="5"/>
  <c r="R343" i="5"/>
  <c r="R232" i="5"/>
  <c r="S98" i="5"/>
  <c r="R365" i="5"/>
  <c r="R546" i="5"/>
  <c r="AC494" i="5"/>
  <c r="AD494" i="5" s="1"/>
  <c r="AC10" i="5"/>
  <c r="AD10" i="5" s="1"/>
  <c r="AC478" i="5"/>
  <c r="AE478" i="5" s="1"/>
  <c r="AC367" i="5"/>
  <c r="AE367" i="5" s="1"/>
  <c r="AC283" i="5"/>
  <c r="AS283" i="5" s="1"/>
  <c r="AT283" i="5" s="1"/>
  <c r="AC165" i="5"/>
  <c r="AD165" i="5" s="1"/>
  <c r="AC208" i="5"/>
  <c r="AD208" i="5" s="1"/>
  <c r="AC217" i="5"/>
  <c r="AS217" i="5" s="1"/>
  <c r="AU217" i="5" s="1"/>
  <c r="AC32" i="5"/>
  <c r="AS32" i="5" s="1"/>
  <c r="AU32" i="5" s="1"/>
  <c r="S10" i="5"/>
  <c r="R499" i="5"/>
  <c r="AC463" i="5"/>
  <c r="AE463" i="5" s="1"/>
  <c r="R243" i="5"/>
  <c r="S165" i="5"/>
  <c r="S140" i="5"/>
  <c r="R39" i="5"/>
  <c r="R32" i="5"/>
  <c r="S62" i="5"/>
  <c r="AC141" i="5"/>
  <c r="AS141" i="5" s="1"/>
  <c r="AU141" i="5" s="1"/>
  <c r="R128" i="5"/>
  <c r="R298" i="5"/>
  <c r="S237" i="5"/>
  <c r="S535" i="5"/>
  <c r="R467" i="5"/>
  <c r="R63" i="5"/>
  <c r="R348" i="5"/>
  <c r="AC425" i="5"/>
  <c r="AE425" i="5" s="1"/>
  <c r="AC442" i="5"/>
  <c r="AS442" i="5" s="1"/>
  <c r="AU442" i="5" s="1"/>
  <c r="AC195" i="5"/>
  <c r="AE195" i="5" s="1"/>
  <c r="S431" i="5"/>
  <c r="S325" i="5"/>
  <c r="S489" i="5"/>
  <c r="S228" i="5"/>
  <c r="S195" i="5"/>
  <c r="R463" i="5"/>
  <c r="S71" i="5"/>
  <c r="R313" i="5"/>
  <c r="R402" i="5"/>
  <c r="S280" i="5"/>
  <c r="R478" i="5"/>
  <c r="R473" i="5"/>
  <c r="R259" i="5"/>
  <c r="S317" i="5"/>
  <c r="R121" i="5"/>
  <c r="R153" i="5"/>
  <c r="R502" i="5"/>
  <c r="R283" i="5"/>
  <c r="R151" i="5"/>
  <c r="AC153" i="5"/>
  <c r="AD153" i="5" s="1"/>
  <c r="AC228" i="5"/>
  <c r="AD228" i="5" s="1"/>
  <c r="AC467" i="5"/>
  <c r="AS467" i="5" s="1"/>
  <c r="AU467" i="5" s="1"/>
  <c r="AC53" i="5"/>
  <c r="AD53" i="5" s="1"/>
  <c r="AC48" i="5"/>
  <c r="AE48" i="5" s="1"/>
  <c r="AC98" i="5"/>
  <c r="AS98" i="5" s="1"/>
  <c r="AC474" i="5"/>
  <c r="AD474" i="5" s="1"/>
  <c r="AC280" i="5"/>
  <c r="AS280" i="5" s="1"/>
  <c r="AU280" i="5" s="1"/>
  <c r="AC485" i="5"/>
  <c r="AD485" i="5" s="1"/>
  <c r="AC531" i="5"/>
  <c r="AE531" i="5" s="1"/>
  <c r="AC473" i="5"/>
  <c r="AD473" i="5" s="1"/>
  <c r="AC210" i="5"/>
  <c r="AD210" i="5" s="1"/>
  <c r="AC365" i="5"/>
  <c r="AS365" i="5" s="1"/>
  <c r="AU365" i="5" s="1"/>
  <c r="AC104" i="5"/>
  <c r="AS104" i="5" s="1"/>
  <c r="AC23" i="5"/>
  <c r="AE23" i="5" s="1"/>
  <c r="AC546" i="5"/>
  <c r="AD546" i="5" s="1"/>
  <c r="AC243" i="5"/>
  <c r="AD243" i="5" s="1"/>
  <c r="AC282" i="5"/>
  <c r="AE282" i="5" s="1"/>
  <c r="AC325" i="5"/>
  <c r="AD325" i="5" s="1"/>
  <c r="AC313" i="5"/>
  <c r="AE313" i="5" s="1"/>
  <c r="R449" i="5"/>
  <c r="S135" i="5"/>
  <c r="R523" i="5"/>
  <c r="S23" i="5"/>
  <c r="R389" i="5"/>
  <c r="S184" i="5"/>
  <c r="S123" i="5"/>
  <c r="S40" i="5"/>
  <c r="S141" i="5"/>
  <c r="S358" i="5"/>
  <c r="S367" i="5"/>
  <c r="S182" i="5"/>
  <c r="R258" i="5"/>
  <c r="R474" i="5"/>
  <c r="S442" i="5"/>
  <c r="R45" i="5"/>
  <c r="S92" i="5"/>
  <c r="S443" i="5"/>
  <c r="AC358" i="5"/>
  <c r="AD358" i="5" s="1"/>
  <c r="AC39" i="5"/>
  <c r="AE39" i="5" s="1"/>
  <c r="AC269" i="5"/>
  <c r="AE269" i="5" s="1"/>
  <c r="AC431" i="5"/>
  <c r="AD431" i="5" s="1"/>
  <c r="AC499" i="5"/>
  <c r="AS499" i="5" s="1"/>
  <c r="AU499" i="5" s="1"/>
  <c r="AC128" i="5"/>
  <c r="AS128" i="5" s="1"/>
  <c r="AT128" i="5" s="1"/>
  <c r="AC443" i="5"/>
  <c r="AE443" i="5" s="1"/>
  <c r="AC220" i="5"/>
  <c r="AD220" i="5" s="1"/>
  <c r="AC340" i="5"/>
  <c r="AD340" i="5" s="1"/>
  <c r="AC179" i="5"/>
  <c r="AS179" i="5" s="1"/>
  <c r="AT179" i="5" s="1"/>
  <c r="S412" i="5"/>
  <c r="R390" i="5"/>
  <c r="S91" i="5"/>
  <c r="R382" i="5"/>
  <c r="R451" i="5"/>
  <c r="S303" i="5"/>
  <c r="R150" i="5"/>
  <c r="S469" i="5"/>
  <c r="AC469" i="5"/>
  <c r="AD469" i="5" s="1"/>
  <c r="AC28" i="5"/>
  <c r="AE28" i="5" s="1"/>
  <c r="AC139" i="5"/>
  <c r="AD139" i="5" s="1"/>
  <c r="R130" i="5"/>
  <c r="S174" i="5"/>
  <c r="R401" i="5"/>
  <c r="S76" i="5"/>
  <c r="AC448" i="5"/>
  <c r="AS448" i="5" s="1"/>
  <c r="AU448" i="5" s="1"/>
  <c r="AC209" i="5"/>
  <c r="AD209" i="5" s="1"/>
  <c r="AC88" i="5"/>
  <c r="AS88" i="5" s="1"/>
  <c r="AU88" i="5" s="1"/>
  <c r="AC174" i="5"/>
  <c r="AS174" i="5" s="1"/>
  <c r="AT174" i="5" s="1"/>
  <c r="AC318" i="5"/>
  <c r="AD318" i="5" s="1"/>
  <c r="AC119" i="5"/>
  <c r="AD119" i="5" s="1"/>
  <c r="AC332" i="5"/>
  <c r="AS332" i="5" s="1"/>
  <c r="AU332" i="5" s="1"/>
  <c r="AC251" i="5"/>
  <c r="AS251" i="5" s="1"/>
  <c r="AU251" i="5" s="1"/>
  <c r="R276" i="5"/>
  <c r="S276" i="5"/>
  <c r="R506" i="5"/>
  <c r="S506" i="5"/>
  <c r="R212" i="5"/>
  <c r="S212" i="5"/>
  <c r="S438" i="5"/>
  <c r="R438" i="5"/>
  <c r="AC294" i="5"/>
  <c r="AE294" i="5" s="1"/>
  <c r="AC543" i="5"/>
  <c r="AS543" i="5" s="1"/>
  <c r="AU543" i="5" s="1"/>
  <c r="R406" i="5"/>
  <c r="S112" i="5"/>
  <c r="S119" i="5"/>
  <c r="R295" i="5"/>
  <c r="S448" i="5"/>
  <c r="S155" i="5"/>
  <c r="S415" i="5"/>
  <c r="R338" i="5"/>
  <c r="S233" i="5"/>
  <c r="S78" i="5"/>
  <c r="R396" i="5"/>
  <c r="S379" i="5"/>
  <c r="R557" i="5"/>
  <c r="AC295" i="5"/>
  <c r="AD295" i="5" s="1"/>
  <c r="S377" i="5"/>
  <c r="R377" i="5"/>
  <c r="S385" i="5"/>
  <c r="R385" i="5"/>
  <c r="R122" i="5"/>
  <c r="S122" i="5"/>
  <c r="R510" i="5"/>
  <c r="S510" i="5"/>
  <c r="R80" i="5"/>
  <c r="S80" i="5"/>
  <c r="AC78" i="5"/>
  <c r="AS78" i="5" s="1"/>
  <c r="AT78" i="5" s="1"/>
  <c r="AC21" i="5"/>
  <c r="AS21" i="5" s="1"/>
  <c r="AU21" i="5" s="1"/>
  <c r="S543" i="5"/>
  <c r="R131" i="5"/>
  <c r="S275" i="5"/>
  <c r="R356" i="5"/>
  <c r="R308" i="5"/>
  <c r="R44" i="5"/>
  <c r="S550" i="5"/>
  <c r="AC130" i="5"/>
  <c r="AD130" i="5" s="1"/>
  <c r="AC356" i="5"/>
  <c r="AD356" i="5" s="1"/>
  <c r="AC359" i="5"/>
  <c r="AE359" i="5" s="1"/>
  <c r="AC558" i="5"/>
  <c r="AE558" i="5" s="1"/>
  <c r="S501" i="5"/>
  <c r="AC71" i="5"/>
  <c r="AS71" i="5" s="1"/>
  <c r="AU71" i="5" s="1"/>
  <c r="AC87" i="5"/>
  <c r="AE87" i="5" s="1"/>
  <c r="AC361" i="5"/>
  <c r="AE361" i="5" s="1"/>
  <c r="AC501" i="5"/>
  <c r="AS501" i="5" s="1"/>
  <c r="AU501" i="5" s="1"/>
  <c r="AC457" i="5"/>
  <c r="AD457" i="5" s="1"/>
  <c r="AC308" i="5"/>
  <c r="AS308" i="5" s="1"/>
  <c r="AT308" i="5" s="1"/>
  <c r="AC222" i="5"/>
  <c r="AE222" i="5" s="1"/>
  <c r="AC275" i="5"/>
  <c r="AS275" i="5" s="1"/>
  <c r="AT275" i="5" s="1"/>
  <c r="AC131" i="5"/>
  <c r="AE131" i="5" s="1"/>
  <c r="AC171" i="5"/>
  <c r="AS171" i="5" s="1"/>
  <c r="AU171" i="5" s="1"/>
  <c r="AC276" i="5"/>
  <c r="AE276" i="5" s="1"/>
  <c r="AC550" i="5"/>
  <c r="AS550" i="5" s="1"/>
  <c r="AU550" i="5" s="1"/>
  <c r="R299" i="5"/>
  <c r="S299" i="5"/>
  <c r="R53" i="5"/>
  <c r="S53" i="5"/>
  <c r="S521" i="5"/>
  <c r="R521" i="5"/>
  <c r="R173" i="5"/>
  <c r="S173" i="5"/>
  <c r="R186" i="5"/>
  <c r="S186" i="5"/>
  <c r="R284" i="5"/>
  <c r="S284" i="5"/>
  <c r="S48" i="5"/>
  <c r="R48" i="5"/>
  <c r="R531" i="5"/>
  <c r="S531" i="5"/>
  <c r="S217" i="5"/>
  <c r="R217" i="5"/>
  <c r="R331" i="5"/>
  <c r="S331" i="5"/>
  <c r="S24" i="5"/>
  <c r="R24" i="5"/>
  <c r="S38" i="5"/>
  <c r="R38" i="5"/>
  <c r="S526" i="5"/>
  <c r="R526" i="5"/>
  <c r="R328" i="5"/>
  <c r="S328" i="5"/>
  <c r="R361" i="5"/>
  <c r="S361" i="5"/>
  <c r="R384" i="5"/>
  <c r="S384" i="5"/>
  <c r="R167" i="5"/>
  <c r="S167" i="5"/>
  <c r="R220" i="5"/>
  <c r="S220" i="5"/>
  <c r="R49" i="5"/>
  <c r="S49" i="5"/>
  <c r="S340" i="5"/>
  <c r="R340" i="5"/>
  <c r="R185" i="5"/>
  <c r="S185" i="5"/>
  <c r="R430" i="5"/>
  <c r="S312" i="5"/>
  <c r="S398" i="5"/>
  <c r="R555" i="5"/>
  <c r="S302" i="5"/>
  <c r="S488" i="5"/>
  <c r="R209" i="5"/>
  <c r="R251" i="5"/>
  <c r="R320" i="5"/>
  <c r="R163" i="5"/>
  <c r="S558" i="5"/>
  <c r="R85" i="5"/>
  <c r="R493" i="5"/>
  <c r="R21" i="5"/>
  <c r="AC49" i="5"/>
  <c r="AS49" i="5" s="1"/>
  <c r="AT49" i="5" s="1"/>
  <c r="AC438" i="5"/>
  <c r="AD438" i="5" s="1"/>
  <c r="AC155" i="5"/>
  <c r="AD155" i="5" s="1"/>
  <c r="AC327" i="5"/>
  <c r="AD327" i="5" s="1"/>
  <c r="AC488" i="5"/>
  <c r="AE488" i="5" s="1"/>
  <c r="R476" i="5"/>
  <c r="R507" i="5"/>
  <c r="S327" i="5"/>
  <c r="R222" i="5"/>
  <c r="R318" i="5"/>
  <c r="S132" i="5"/>
  <c r="R87" i="5"/>
  <c r="R375" i="5"/>
  <c r="S315" i="5"/>
  <c r="S171" i="5"/>
  <c r="R12" i="5"/>
  <c r="S294" i="5"/>
  <c r="AC415" i="5"/>
  <c r="AE415" i="5" s="1"/>
  <c r="AC379" i="5"/>
  <c r="AE379" i="5" s="1"/>
  <c r="AC384" i="5"/>
  <c r="AS384" i="5" s="1"/>
  <c r="AT384" i="5" s="1"/>
  <c r="AC493" i="5"/>
  <c r="AS493" i="5" s="1"/>
  <c r="AT493" i="5" s="1"/>
  <c r="AC12" i="5"/>
  <c r="AD12" i="5" s="1"/>
  <c r="AC320" i="5"/>
  <c r="AE320" i="5" s="1"/>
  <c r="AC85" i="5"/>
  <c r="AE85" i="5" s="1"/>
  <c r="S31" i="5"/>
  <c r="AC398" i="5"/>
  <c r="AS398" i="5" s="1"/>
  <c r="AC555" i="5"/>
  <c r="AD555" i="5" s="1"/>
  <c r="AC167" i="5"/>
  <c r="AD167" i="5" s="1"/>
  <c r="AC223" i="5"/>
  <c r="AS223" i="5" s="1"/>
  <c r="AT223" i="5" s="1"/>
  <c r="AC237" i="5"/>
  <c r="AD237" i="5" s="1"/>
  <c r="AC163" i="5"/>
  <c r="AE163" i="5" s="1"/>
  <c r="AC406" i="5"/>
  <c r="AE406" i="5" s="1"/>
  <c r="AC557" i="5"/>
  <c r="AS557" i="5" s="1"/>
  <c r="AT557" i="5" s="1"/>
  <c r="AC298" i="5"/>
  <c r="AE298" i="5" s="1"/>
  <c r="AC511" i="5"/>
  <c r="AD511" i="5" s="1"/>
  <c r="AC135" i="5"/>
  <c r="AD135" i="5" s="1"/>
  <c r="AC385" i="5"/>
  <c r="AE385" i="5" s="1"/>
  <c r="AC122" i="5"/>
  <c r="AS122" i="5" s="1"/>
  <c r="AC184" i="5"/>
  <c r="AS184" i="5" s="1"/>
  <c r="AU184" i="5" s="1"/>
  <c r="AC41" i="5"/>
  <c r="AE41" i="5" s="1"/>
  <c r="AC312" i="5"/>
  <c r="AE312" i="5" s="1"/>
  <c r="AC377" i="5"/>
  <c r="AD377" i="5" s="1"/>
  <c r="AC510" i="5"/>
  <c r="AS510" i="5" s="1"/>
  <c r="AU510" i="5" s="1"/>
  <c r="AC353" i="5"/>
  <c r="AS353" i="5" s="1"/>
  <c r="AU353" i="5" s="1"/>
  <c r="AC348" i="5"/>
  <c r="AD348" i="5" s="1"/>
  <c r="AC231" i="5"/>
  <c r="AS231" i="5" s="1"/>
  <c r="AT231" i="5" s="1"/>
  <c r="AC535" i="5"/>
  <c r="AD535" i="5" s="1"/>
  <c r="AC182" i="5"/>
  <c r="AS182" i="5" s="1"/>
  <c r="AT182" i="5" s="1"/>
  <c r="AC542" i="5"/>
  <c r="AE542" i="5" s="1"/>
  <c r="AC338" i="5"/>
  <c r="AS338" i="5" s="1"/>
  <c r="AU338" i="5" s="1"/>
  <c r="AC31" i="5"/>
  <c r="AD31" i="5" s="1"/>
  <c r="AC390" i="5"/>
  <c r="AD390" i="5" s="1"/>
  <c r="AC401" i="5"/>
  <c r="AE401" i="5" s="1"/>
  <c r="AC82" i="5"/>
  <c r="AE82" i="5" s="1"/>
  <c r="AC63" i="5"/>
  <c r="AS63" i="5" s="1"/>
  <c r="AU63" i="5" s="1"/>
  <c r="AC161" i="5"/>
  <c r="AE161" i="5" s="1"/>
  <c r="AC507" i="5"/>
  <c r="AD507" i="5" s="1"/>
  <c r="AC91" i="5"/>
  <c r="AD91" i="5" s="1"/>
  <c r="AC402" i="5"/>
  <c r="AE402" i="5" s="1"/>
  <c r="AC479" i="5"/>
  <c r="AS479" i="5" s="1"/>
  <c r="AT479" i="5" s="1"/>
  <c r="AC304" i="5"/>
  <c r="AE304" i="5" s="1"/>
  <c r="AC225" i="5"/>
  <c r="AD225" i="5" s="1"/>
  <c r="AC40" i="5"/>
  <c r="AE40" i="5" s="1"/>
  <c r="AC185" i="5"/>
  <c r="AD185" i="5" s="1"/>
  <c r="AC24" i="5"/>
  <c r="AD24" i="5" s="1"/>
  <c r="AC140" i="5"/>
  <c r="AD140" i="5" s="1"/>
  <c r="AC396" i="5"/>
  <c r="AE396" i="5" s="1"/>
  <c r="AC132" i="5"/>
  <c r="AE132" i="5" s="1"/>
  <c r="AC521" i="5"/>
  <c r="AE521" i="5" s="1"/>
  <c r="AC299" i="5"/>
  <c r="AS299" i="5" s="1"/>
  <c r="AT299" i="5" s="1"/>
  <c r="AC414" i="5"/>
  <c r="AD414" i="5" s="1"/>
  <c r="AC427" i="5"/>
  <c r="AE427" i="5" s="1"/>
  <c r="AC345" i="5"/>
  <c r="AD345" i="5" s="1"/>
  <c r="AC506" i="5"/>
  <c r="AS506" i="5" s="1"/>
  <c r="AU506" i="5" s="1"/>
  <c r="AC92" i="5"/>
  <c r="AE92" i="5" s="1"/>
  <c r="AC302" i="5"/>
  <c r="AD302" i="5" s="1"/>
  <c r="AC343" i="5"/>
  <c r="AD343" i="5" s="1"/>
  <c r="AC211" i="5"/>
  <c r="AD211" i="5" s="1"/>
  <c r="AC233" i="5"/>
  <c r="AE233" i="5" s="1"/>
  <c r="AC430" i="5"/>
  <c r="AS430" i="5" s="1"/>
  <c r="AU430" i="5" s="1"/>
  <c r="S424" i="5"/>
  <c r="R424" i="5"/>
  <c r="R43" i="5"/>
  <c r="S43" i="5"/>
  <c r="AC101" i="5"/>
  <c r="AE101" i="5" s="1"/>
  <c r="AC517" i="5"/>
  <c r="AS517" i="5" s="1"/>
  <c r="AU517" i="5" s="1"/>
  <c r="R505" i="5"/>
  <c r="S517" i="5"/>
  <c r="AC551" i="5"/>
  <c r="AD551" i="5" s="1"/>
  <c r="AC20" i="5"/>
  <c r="AD20" i="5" s="1"/>
  <c r="AC159" i="5"/>
  <c r="AD159" i="5" s="1"/>
  <c r="S199" i="5"/>
  <c r="S537" i="5"/>
  <c r="R159" i="5"/>
  <c r="S559" i="5"/>
  <c r="AC559" i="5"/>
  <c r="AD559" i="5" s="1"/>
  <c r="R425" i="5"/>
  <c r="S524" i="5"/>
  <c r="AC524" i="5"/>
  <c r="AD524" i="5" s="1"/>
  <c r="AC505" i="5"/>
  <c r="AD505" i="5" s="1"/>
  <c r="AC55" i="5"/>
  <c r="AD55" i="5" s="1"/>
  <c r="S551" i="5"/>
  <c r="AC538" i="5"/>
  <c r="AS538" i="5" s="1"/>
  <c r="AU538" i="5" s="1"/>
  <c r="R46" i="5"/>
  <c r="S538" i="5"/>
  <c r="S55" i="5"/>
  <c r="S419" i="5"/>
  <c r="AC46" i="5"/>
  <c r="AS46" i="5" s="1"/>
  <c r="AT46" i="5" s="1"/>
  <c r="AC419" i="5"/>
  <c r="AD419" i="5" s="1"/>
  <c r="S332" i="5"/>
  <c r="R359" i="5"/>
  <c r="R291" i="5"/>
  <c r="R376" i="5"/>
  <c r="AC344" i="5"/>
  <c r="AS344" i="5" s="1"/>
  <c r="AU344" i="5" s="1"/>
  <c r="S344" i="5"/>
  <c r="R164" i="5"/>
  <c r="AC164" i="5"/>
  <c r="AD164" i="5" s="1"/>
  <c r="AC134" i="5"/>
  <c r="AS134" i="5" s="1"/>
  <c r="AU134" i="5" s="1"/>
  <c r="AC218" i="5"/>
  <c r="AS218" i="5" s="1"/>
  <c r="AT218" i="5" s="1"/>
  <c r="AC197" i="5"/>
  <c r="AD197" i="5" s="1"/>
  <c r="AC249" i="5"/>
  <c r="AS249" i="5" s="1"/>
  <c r="AT249" i="5" s="1"/>
  <c r="AC376" i="5"/>
  <c r="AD376" i="5" s="1"/>
  <c r="S249" i="5"/>
  <c r="R134" i="5"/>
  <c r="R56" i="5"/>
  <c r="S88" i="5"/>
  <c r="S218" i="5"/>
  <c r="S191" i="5"/>
  <c r="AC537" i="5"/>
  <c r="AD537" i="5" s="1"/>
  <c r="AC291" i="5"/>
  <c r="AE291" i="5" s="1"/>
  <c r="S539" i="5"/>
  <c r="S158" i="5"/>
  <c r="R480" i="5"/>
  <c r="AC301" i="5"/>
  <c r="AS301" i="5" s="1"/>
  <c r="AT301" i="5" s="1"/>
  <c r="AC158" i="5"/>
  <c r="AE158" i="5" s="1"/>
  <c r="AC468" i="5"/>
  <c r="AS468" i="5" s="1"/>
  <c r="AT468" i="5" s="1"/>
  <c r="AC56" i="5"/>
  <c r="AE56" i="5" s="1"/>
  <c r="R224" i="5"/>
  <c r="AC224" i="5"/>
  <c r="AD224" i="5" s="1"/>
  <c r="AC409" i="5"/>
  <c r="AE409" i="5" s="1"/>
  <c r="R409" i="5"/>
  <c r="K113" i="2"/>
  <c r="R197" i="5"/>
  <c r="R301" i="5"/>
  <c r="R364" i="5"/>
  <c r="B99" i="2"/>
  <c r="B105" i="2" s="1"/>
  <c r="B107" i="2" s="1"/>
  <c r="H33" i="1" s="1"/>
  <c r="H31" i="1"/>
  <c r="Z17" i="4"/>
  <c r="AA17" i="4" s="1"/>
  <c r="Z130" i="4"/>
  <c r="Z154" i="4"/>
  <c r="Z152" i="4"/>
  <c r="Z120" i="4"/>
  <c r="AA120" i="4" s="1"/>
  <c r="Z155" i="4"/>
  <c r="AA155" i="4" s="1"/>
  <c r="Z46" i="4"/>
  <c r="Z56" i="4"/>
  <c r="Z54" i="4"/>
  <c r="Z139" i="4"/>
  <c r="AA139" i="4" s="1"/>
  <c r="Z16" i="4"/>
  <c r="AA16" i="4" s="1"/>
  <c r="Z62" i="4"/>
  <c r="Z68" i="4"/>
  <c r="AA68" i="4" s="1"/>
  <c r="Z89" i="4"/>
  <c r="AA89" i="4" s="1"/>
  <c r="Z72" i="4"/>
  <c r="AA72" i="4" s="1"/>
  <c r="Z133" i="4"/>
  <c r="Z135" i="4"/>
  <c r="AA135" i="4" s="1"/>
  <c r="Z34" i="4"/>
  <c r="AA34" i="4" s="1"/>
  <c r="Z37" i="4"/>
  <c r="Z150" i="4"/>
  <c r="Z76" i="4"/>
  <c r="AA76" i="4" s="1"/>
  <c r="Z69" i="4"/>
  <c r="Z116" i="4"/>
  <c r="Z10" i="4"/>
  <c r="AA10" i="4" s="1"/>
  <c r="Z41" i="4"/>
  <c r="Z107" i="4"/>
  <c r="AA107" i="4" s="1"/>
  <c r="Z109" i="4"/>
  <c r="AA109" i="4" s="1"/>
  <c r="Z91" i="4"/>
  <c r="Z142" i="4"/>
  <c r="Z87" i="4"/>
  <c r="AA87" i="4" s="1"/>
  <c r="Z29" i="4"/>
  <c r="AA29" i="4" s="1"/>
  <c r="Z95" i="4"/>
  <c r="AA95" i="4" s="1"/>
  <c r="Z99" i="4"/>
  <c r="AA99" i="4" s="1"/>
  <c r="Z55" i="4"/>
  <c r="AA55" i="4" s="1"/>
  <c r="Z57" i="4"/>
  <c r="AA57" i="4" s="1"/>
  <c r="Z25" i="4"/>
  <c r="AA25" i="4" s="1"/>
  <c r="Z105" i="4"/>
  <c r="AA105" i="4" s="1"/>
  <c r="Z104" i="4"/>
  <c r="Z83" i="4"/>
  <c r="AA83" i="4" s="1"/>
  <c r="Z58" i="4"/>
  <c r="AA58" i="4" s="1"/>
  <c r="Z31" i="4"/>
  <c r="AA31" i="4" s="1"/>
  <c r="Z45" i="4"/>
  <c r="AA45" i="4" s="1"/>
  <c r="Z75" i="4"/>
  <c r="Z39" i="4"/>
  <c r="Z79" i="4"/>
  <c r="Z49" i="4"/>
  <c r="Z33" i="4"/>
  <c r="AA33" i="4" s="1"/>
  <c r="AU447" i="5"/>
  <c r="AD447" i="5"/>
  <c r="AE447" i="5"/>
  <c r="AE497" i="5"/>
  <c r="AD44" i="5"/>
  <c r="AS44" i="5"/>
  <c r="AT44" i="5" s="1"/>
  <c r="AE323" i="5"/>
  <c r="AD508" i="5"/>
  <c r="AS58" i="5"/>
  <c r="AT58" i="5" s="1"/>
  <c r="AE487" i="5"/>
  <c r="AS487" i="5"/>
  <c r="AT487" i="5" s="1"/>
  <c r="AD58" i="5"/>
  <c r="AE34" i="5"/>
  <c r="AE375" i="5"/>
  <c r="AE498" i="5"/>
  <c r="AS186" i="5"/>
  <c r="AT186" i="5" s="1"/>
  <c r="AT152" i="5"/>
  <c r="AT498" i="5"/>
  <c r="AD186" i="5"/>
  <c r="AS375" i="5"/>
  <c r="AU375" i="5" s="1"/>
  <c r="AE152" i="5"/>
  <c r="AE289" i="5"/>
  <c r="AD150" i="5"/>
  <c r="AD152" i="5"/>
  <c r="AD498" i="5"/>
  <c r="AU512" i="5"/>
  <c r="AD512" i="5"/>
  <c r="AS148" i="5"/>
  <c r="AT148" i="5" s="1"/>
  <c r="AS34" i="5"/>
  <c r="AT34" i="5" s="1"/>
  <c r="AU412" i="5"/>
  <c r="AC9" i="5"/>
  <c r="AD9" i="5" s="1"/>
  <c r="AU146" i="5"/>
  <c r="AS497" i="5"/>
  <c r="AU497" i="5" s="1"/>
  <c r="AE512" i="5"/>
  <c r="AE508" i="5"/>
  <c r="AE412" i="5"/>
  <c r="AD412" i="5"/>
  <c r="AS323" i="5"/>
  <c r="AU323" i="5" s="1"/>
  <c r="AD148" i="5"/>
  <c r="AN9" i="5"/>
  <c r="AO9" i="5"/>
  <c r="AS150" i="5"/>
  <c r="AU150" i="5" s="1"/>
  <c r="AS289" i="5"/>
  <c r="AU289" i="5" s="1"/>
  <c r="X9" i="5"/>
  <c r="Y9" i="5"/>
  <c r="AD471" i="5"/>
  <c r="AE471" i="5"/>
  <c r="AE8" i="5"/>
  <c r="AD8" i="5"/>
  <c r="B255" i="2" s="1"/>
  <c r="B256" i="2" s="1"/>
  <c r="B257" i="2" s="1"/>
  <c r="F86" i="1" s="1"/>
  <c r="R9" i="5"/>
  <c r="S9" i="5"/>
  <c r="AI9" i="5"/>
  <c r="AH9" i="5"/>
  <c r="AP9" i="5"/>
  <c r="AU471" i="5"/>
  <c r="AB9" i="5"/>
  <c r="AA9" i="5"/>
  <c r="AK9" i="5"/>
  <c r="AL9" i="5"/>
  <c r="U9" i="5"/>
  <c r="V9" i="5"/>
  <c r="AS64" i="5"/>
  <c r="AU64" i="5" s="1"/>
  <c r="AU372" i="5"/>
  <c r="AU8" i="5"/>
  <c r="AT8" i="5"/>
  <c r="AE142" i="5"/>
  <c r="AD146" i="5"/>
  <c r="AE146" i="5"/>
  <c r="AD178" i="5"/>
  <c r="AT144" i="5"/>
  <c r="AD64" i="5"/>
  <c r="AE247" i="5"/>
  <c r="AS534" i="5"/>
  <c r="AT534" i="5" s="1"/>
  <c r="AD142" i="5"/>
  <c r="AE372" i="5"/>
  <c r="AE144" i="5"/>
  <c r="AD247" i="5"/>
  <c r="AS523" i="5"/>
  <c r="AU523" i="5" s="1"/>
  <c r="AT178" i="5"/>
  <c r="AE36" i="5"/>
  <c r="AT260" i="5"/>
  <c r="AE178" i="5"/>
  <c r="AD350" i="5"/>
  <c r="AE72" i="5"/>
  <c r="AS350" i="5"/>
  <c r="AT350" i="5" s="1"/>
  <c r="AE534" i="5"/>
  <c r="AS125" i="5"/>
  <c r="AU125" i="5" s="1"/>
  <c r="AD372" i="5"/>
  <c r="AS72" i="5"/>
  <c r="AD389" i="5"/>
  <c r="AS265" i="5"/>
  <c r="AT265" i="5" s="1"/>
  <c r="AD126" i="5"/>
  <c r="AD144" i="5"/>
  <c r="AS445" i="5"/>
  <c r="AT445" i="5" s="1"/>
  <c r="AS466" i="5"/>
  <c r="AT466" i="5" s="1"/>
  <c r="AE389" i="5"/>
  <c r="AD297" i="5"/>
  <c r="AD445" i="5"/>
  <c r="AE454" i="5"/>
  <c r="AD523" i="5"/>
  <c r="AD59" i="5"/>
  <c r="AE466" i="5"/>
  <c r="AS37" i="5"/>
  <c r="AU37" i="5" s="1"/>
  <c r="AS77" i="5"/>
  <c r="AT77" i="5" s="1"/>
  <c r="AS315" i="5"/>
  <c r="AU315" i="5" s="1"/>
  <c r="AD315" i="5"/>
  <c r="AS362" i="5"/>
  <c r="AT362" i="5" s="1"/>
  <c r="AE362" i="5"/>
  <c r="AE84" i="5"/>
  <c r="AS84" i="5"/>
  <c r="AT84" i="5" s="1"/>
  <c r="AD84" i="5"/>
  <c r="AD309" i="5"/>
  <c r="AE309" i="5"/>
  <c r="AS309" i="5"/>
  <c r="AT309" i="5" s="1"/>
  <c r="AS458" i="5"/>
  <c r="AU458" i="5" s="1"/>
  <c r="AD458" i="5"/>
  <c r="AE77" i="5"/>
  <c r="AS59" i="5"/>
  <c r="AT59" i="5" s="1"/>
  <c r="AD539" i="5"/>
  <c r="AS539" i="5"/>
  <c r="AE539" i="5"/>
  <c r="AE214" i="5"/>
  <c r="AE121" i="5"/>
  <c r="AS74" i="5"/>
  <c r="AT74" i="5" s="1"/>
  <c r="AE260" i="5"/>
  <c r="AS513" i="5"/>
  <c r="AU513" i="5" s="1"/>
  <c r="AE265" i="5"/>
  <c r="AE187" i="5"/>
  <c r="AD277" i="5"/>
  <c r="AD260" i="5"/>
  <c r="AD112" i="5"/>
  <c r="AS453" i="5"/>
  <c r="AT453" i="5" s="1"/>
  <c r="AS121" i="5"/>
  <c r="AT121" i="5" s="1"/>
  <c r="AD453" i="5"/>
  <c r="AS277" i="5"/>
  <c r="AT277" i="5" s="1"/>
  <c r="AD37" i="5"/>
  <c r="AU528" i="5"/>
  <c r="AE322" i="5"/>
  <c r="AS322" i="5"/>
  <c r="AT322" i="5" s="1"/>
  <c r="AD528" i="5"/>
  <c r="AS112" i="5"/>
  <c r="AT112" i="5" s="1"/>
  <c r="AE528" i="5"/>
  <c r="AE245" i="5"/>
  <c r="AD245" i="5"/>
  <c r="AU451" i="5"/>
  <c r="AS297" i="5"/>
  <c r="AT297" i="5" s="1"/>
  <c r="AU214" i="5"/>
  <c r="AD513" i="5"/>
  <c r="AD362" i="5"/>
  <c r="AD214" i="5"/>
  <c r="AS245" i="5"/>
  <c r="AU245" i="5" s="1"/>
  <c r="AE126" i="5"/>
  <c r="AS36" i="5"/>
  <c r="AT36" i="5" s="1"/>
  <c r="AE316" i="5"/>
  <c r="AS187" i="5"/>
  <c r="AT187" i="5" s="1"/>
  <c r="AD125" i="5"/>
  <c r="AE74" i="5"/>
  <c r="AE124" i="5"/>
  <c r="AD80" i="5"/>
  <c r="AS124" i="5"/>
  <c r="AT124" i="5" s="1"/>
  <c r="AS80" i="5"/>
  <c r="AE451" i="5"/>
  <c r="AE404" i="5"/>
  <c r="AD451" i="5"/>
  <c r="AS316" i="5"/>
  <c r="AT316" i="5" s="1"/>
  <c r="AE476" i="5"/>
  <c r="AS476" i="5"/>
  <c r="AS404" i="5"/>
  <c r="AT404" i="5" s="1"/>
  <c r="AU389" i="5"/>
  <c r="AT389" i="5"/>
  <c r="AT126" i="5"/>
  <c r="AU126" i="5"/>
  <c r="AU142" i="5"/>
  <c r="AT142" i="5"/>
  <c r="AT247" i="5"/>
  <c r="AU247" i="5"/>
  <c r="AU508" i="5"/>
  <c r="AT508" i="5"/>
  <c r="AD454" i="5" l="1"/>
  <c r="AT454" i="5"/>
  <c r="AV54" i="10"/>
  <c r="AD399" i="5"/>
  <c r="AS526" i="5"/>
  <c r="AU526" i="5" s="1"/>
  <c r="AD526" i="5"/>
  <c r="AE509" i="5"/>
  <c r="AE108" i="5"/>
  <c r="AT108" i="5"/>
  <c r="AS399" i="5"/>
  <c r="AU399" i="5" s="1"/>
  <c r="AS509" i="5"/>
  <c r="AT509" i="5" s="1"/>
  <c r="AE54" i="10"/>
  <c r="AD28" i="10"/>
  <c r="AD108" i="5"/>
  <c r="AV28" i="10"/>
  <c r="AX28" i="10" s="1"/>
  <c r="AE185" i="10"/>
  <c r="AV185" i="10"/>
  <c r="AX185" i="10" s="1"/>
  <c r="AV440" i="10"/>
  <c r="AW440" i="10" s="1"/>
  <c r="AD440" i="10"/>
  <c r="AE200" i="10"/>
  <c r="AD211" i="10"/>
  <c r="AD242" i="10"/>
  <c r="AV53" i="10"/>
  <c r="AX53" i="10" s="1"/>
  <c r="AT258" i="5"/>
  <c r="AD53" i="10"/>
  <c r="AT151" i="5"/>
  <c r="AD258" i="5"/>
  <c r="AD250" i="10"/>
  <c r="AV250" i="10"/>
  <c r="AX250" i="10" s="1"/>
  <c r="AD151" i="5"/>
  <c r="AE151" i="5"/>
  <c r="AE258" i="5"/>
  <c r="AS556" i="5"/>
  <c r="AT556" i="5" s="1"/>
  <c r="AV160" i="10"/>
  <c r="AW160" i="10" s="1"/>
  <c r="AE498" i="10"/>
  <c r="AV200" i="10"/>
  <c r="AW200" i="10" s="1"/>
  <c r="AE211" i="10"/>
  <c r="AD45" i="5"/>
  <c r="AS45" i="5"/>
  <c r="AT45" i="5" s="1"/>
  <c r="AV242" i="10"/>
  <c r="AX242" i="10" s="1"/>
  <c r="AV69" i="10"/>
  <c r="AW69" i="10" s="1"/>
  <c r="AD498" i="10"/>
  <c r="AD556" i="5"/>
  <c r="AE69" i="10"/>
  <c r="AE160" i="10"/>
  <c r="AO153" i="4"/>
  <c r="AN153" i="4" s="1"/>
  <c r="AV164" i="10"/>
  <c r="AW164" i="10" s="1"/>
  <c r="AD548" i="10"/>
  <c r="AV548" i="10"/>
  <c r="AW548" i="10" s="1"/>
  <c r="AV534" i="10"/>
  <c r="AW534" i="10" s="1"/>
  <c r="AE248" i="10"/>
  <c r="AV465" i="10"/>
  <c r="AX465" i="10" s="1"/>
  <c r="AD534" i="10"/>
  <c r="BN64" i="4"/>
  <c r="AI64" i="4"/>
  <c r="AI156" i="4"/>
  <c r="AI143" i="4"/>
  <c r="AI145" i="4"/>
  <c r="BN52" i="4"/>
  <c r="AI52" i="4"/>
  <c r="AI126" i="4"/>
  <c r="AI91" i="4"/>
  <c r="BN46" i="4"/>
  <c r="AI46" i="4"/>
  <c r="AI81" i="4"/>
  <c r="BN26" i="4"/>
  <c r="AI26" i="4"/>
  <c r="AI124" i="4"/>
  <c r="AI149" i="4"/>
  <c r="AI116" i="4"/>
  <c r="AI123" i="4"/>
  <c r="BN69" i="4"/>
  <c r="AI69" i="4"/>
  <c r="BN41" i="4"/>
  <c r="AI41" i="4"/>
  <c r="AI142" i="4"/>
  <c r="AI150" i="4"/>
  <c r="AI106" i="4"/>
  <c r="BN21" i="4"/>
  <c r="AI21" i="4"/>
  <c r="BN79" i="4"/>
  <c r="AI79" i="4"/>
  <c r="BN48" i="4"/>
  <c r="AI48" i="4"/>
  <c r="AI117" i="4"/>
  <c r="AI104" i="4"/>
  <c r="BN65" i="4"/>
  <c r="AI65" i="4"/>
  <c r="AI130" i="4"/>
  <c r="BN39" i="4"/>
  <c r="AI39" i="4"/>
  <c r="AI97" i="4"/>
  <c r="AI140" i="4"/>
  <c r="AI136" i="4"/>
  <c r="BN54" i="4"/>
  <c r="AI54" i="4"/>
  <c r="BN19" i="4"/>
  <c r="AI19" i="4"/>
  <c r="AI146" i="4"/>
  <c r="AI154" i="4"/>
  <c r="BN47" i="4"/>
  <c r="AI47" i="4"/>
  <c r="AI110" i="4"/>
  <c r="AI118" i="4"/>
  <c r="AI157" i="4"/>
  <c r="BN32" i="4"/>
  <c r="AI32" i="4"/>
  <c r="BN49" i="4"/>
  <c r="AI49" i="4"/>
  <c r="BN24" i="4"/>
  <c r="AI24" i="4"/>
  <c r="AI113" i="4"/>
  <c r="AI137" i="4"/>
  <c r="AI82" i="4"/>
  <c r="AI148" i="4"/>
  <c r="AI90" i="4"/>
  <c r="AI108" i="4"/>
  <c r="BN75" i="4"/>
  <c r="AI75" i="4"/>
  <c r="AI94" i="4"/>
  <c r="BN56" i="4"/>
  <c r="AI56" i="4"/>
  <c r="AI111" i="4"/>
  <c r="BI133" i="4"/>
  <c r="AI133" i="4"/>
  <c r="BN67" i="4"/>
  <c r="AI67" i="4"/>
  <c r="AI112" i="4"/>
  <c r="BN62" i="4"/>
  <c r="AI62" i="4"/>
  <c r="AA62" i="4"/>
  <c r="AB62" i="4" s="1"/>
  <c r="BU62" i="4" s="1"/>
  <c r="AP62" i="4"/>
  <c r="AO62" i="4" s="1"/>
  <c r="AN62" i="4" s="1"/>
  <c r="BI62" i="4"/>
  <c r="AP112" i="4"/>
  <c r="AO112" i="4" s="1"/>
  <c r="AA112" i="4"/>
  <c r="AB112" i="4" s="1"/>
  <c r="BU112" i="4" s="1"/>
  <c r="AP67" i="4"/>
  <c r="AO67" i="4" s="1"/>
  <c r="BI8" i="4"/>
  <c r="BI132" i="4"/>
  <c r="BI120" i="4"/>
  <c r="BI30" i="4"/>
  <c r="AA133" i="4"/>
  <c r="AB133" i="4" s="1"/>
  <c r="BU133" i="4" s="1"/>
  <c r="BI119" i="4"/>
  <c r="BI80" i="4"/>
  <c r="AA67" i="4"/>
  <c r="AB67" i="4" s="1"/>
  <c r="BU67" i="4" s="1"/>
  <c r="BI42" i="4"/>
  <c r="BI33" i="4"/>
  <c r="BI38" i="4"/>
  <c r="BI107" i="4"/>
  <c r="AP102" i="4"/>
  <c r="AO102" i="4" s="1"/>
  <c r="AN102" i="4" s="1"/>
  <c r="AP133" i="4"/>
  <c r="AP122" i="4"/>
  <c r="AP59" i="4"/>
  <c r="AO59" i="4" s="1"/>
  <c r="AN59" i="4" s="1"/>
  <c r="BN59" i="4"/>
  <c r="AP37" i="4"/>
  <c r="AO37" i="4" s="1"/>
  <c r="AQ37" i="4" s="1"/>
  <c r="AR37" i="4" s="1"/>
  <c r="BN37" i="4"/>
  <c r="BI99" i="4"/>
  <c r="AA37" i="4"/>
  <c r="AB37" i="4" s="1"/>
  <c r="BI67" i="4"/>
  <c r="AA39" i="4"/>
  <c r="BI153" i="4"/>
  <c r="AA59" i="4"/>
  <c r="BI93" i="4"/>
  <c r="BI13" i="4"/>
  <c r="AA41" i="4"/>
  <c r="AB41" i="4" s="1"/>
  <c r="BI43" i="4"/>
  <c r="BI73" i="4"/>
  <c r="BI44" i="4"/>
  <c r="BI138" i="4"/>
  <c r="AA152" i="4"/>
  <c r="AB152" i="4" s="1"/>
  <c r="BU152" i="4" s="1"/>
  <c r="AP152" i="4"/>
  <c r="BI144" i="4"/>
  <c r="AQ107" i="4"/>
  <c r="AR107" i="4" s="1"/>
  <c r="AS107" i="4" s="1"/>
  <c r="AP56" i="4"/>
  <c r="AO56" i="4" s="1"/>
  <c r="AQ56" i="4" s="1"/>
  <c r="AR56" i="4" s="1"/>
  <c r="AP97" i="4"/>
  <c r="AO97" i="4" s="1"/>
  <c r="BI70" i="4"/>
  <c r="BI29" i="4"/>
  <c r="AA154" i="4"/>
  <c r="AB154" i="4" s="1"/>
  <c r="BU154" i="4" s="1"/>
  <c r="AP41" i="4"/>
  <c r="AO41" i="4" s="1"/>
  <c r="AP69" i="4"/>
  <c r="AO69" i="4" s="1"/>
  <c r="BI131" i="4"/>
  <c r="BI125" i="4"/>
  <c r="BI40" i="4"/>
  <c r="BI88" i="4"/>
  <c r="BI103" i="4"/>
  <c r="AP150" i="4"/>
  <c r="AP154" i="4"/>
  <c r="AP39" i="4"/>
  <c r="AO39" i="4" s="1"/>
  <c r="AP126" i="4"/>
  <c r="AP91" i="4"/>
  <c r="AO91" i="4" s="1"/>
  <c r="AN91" i="4" s="1"/>
  <c r="AA126" i="4"/>
  <c r="AA150" i="4"/>
  <c r="AB150" i="4" s="1"/>
  <c r="BU150" i="4" s="1"/>
  <c r="AA56" i="4"/>
  <c r="AB56" i="4" s="1"/>
  <c r="AA97" i="4"/>
  <c r="AB97" i="4" s="1"/>
  <c r="BU97" i="4" s="1"/>
  <c r="AA111" i="4"/>
  <c r="AP111" i="4"/>
  <c r="AO111" i="4" s="1"/>
  <c r="AQ111" i="4" s="1"/>
  <c r="AR111" i="4" s="1"/>
  <c r="BI14" i="4"/>
  <c r="BI66" i="4"/>
  <c r="BI89" i="4"/>
  <c r="BI76" i="4"/>
  <c r="BI121" i="4"/>
  <c r="BI83" i="4"/>
  <c r="BI22" i="4"/>
  <c r="BI134" i="4"/>
  <c r="BI17" i="4"/>
  <c r="BI155" i="4"/>
  <c r="BI87" i="4"/>
  <c r="BI20" i="4"/>
  <c r="AO61" i="4"/>
  <c r="AO23" i="4"/>
  <c r="AO42" i="4"/>
  <c r="AQ42" i="4" s="1"/>
  <c r="AR42" i="4" s="1"/>
  <c r="BI52" i="4"/>
  <c r="BI108" i="4"/>
  <c r="AA142" i="4"/>
  <c r="AB142" i="4" s="1"/>
  <c r="BU142" i="4" s="1"/>
  <c r="AA91" i="4"/>
  <c r="AB91" i="4" s="1"/>
  <c r="BI81" i="4"/>
  <c r="BI24" i="4"/>
  <c r="BI113" i="4"/>
  <c r="AO8" i="4"/>
  <c r="AO35" i="4"/>
  <c r="AQ35" i="4" s="1"/>
  <c r="AR35" i="4" s="1"/>
  <c r="AO139" i="4"/>
  <c r="AN139" i="4" s="1"/>
  <c r="AO73" i="4"/>
  <c r="AO30" i="4"/>
  <c r="AO66" i="4"/>
  <c r="AQ66" i="4" s="1"/>
  <c r="AR66" i="4" s="1"/>
  <c r="AO38" i="4"/>
  <c r="AO119" i="4"/>
  <c r="AO125" i="4"/>
  <c r="AQ125" i="4" s="1"/>
  <c r="AR125" i="4" s="1"/>
  <c r="AO131" i="4"/>
  <c r="AO12" i="4"/>
  <c r="AO103" i="4"/>
  <c r="AO115" i="4"/>
  <c r="AQ115" i="4" s="1"/>
  <c r="AR115" i="4" s="1"/>
  <c r="AO70" i="4"/>
  <c r="BI75" i="4"/>
  <c r="BI109" i="4"/>
  <c r="BI141" i="4"/>
  <c r="BI15" i="4"/>
  <c r="BI105" i="4"/>
  <c r="BI36" i="4"/>
  <c r="BI27" i="4"/>
  <c r="BI53" i="4"/>
  <c r="BI106" i="4"/>
  <c r="BI110" i="4"/>
  <c r="BI65" i="4"/>
  <c r="AO121" i="4"/>
  <c r="AO147" i="4"/>
  <c r="AQ147" i="4" s="1"/>
  <c r="AR147" i="4" s="1"/>
  <c r="AO16" i="4"/>
  <c r="AO9" i="4"/>
  <c r="AN9" i="4" s="1"/>
  <c r="AO138" i="4"/>
  <c r="AQ138" i="4" s="1"/>
  <c r="AR138" i="4" s="1"/>
  <c r="AO50" i="4"/>
  <c r="AO127" i="4"/>
  <c r="AO105" i="4"/>
  <c r="AQ105" i="4" s="1"/>
  <c r="AR105" i="4" s="1"/>
  <c r="AO25" i="4"/>
  <c r="AO135" i="4"/>
  <c r="AN135" i="4" s="1"/>
  <c r="AO72" i="4"/>
  <c r="AN72" i="4" s="1"/>
  <c r="AO15" i="4"/>
  <c r="AO34" i="4"/>
  <c r="AO109" i="4"/>
  <c r="AO77" i="4"/>
  <c r="AQ77" i="4" s="1"/>
  <c r="AR77" i="4" s="1"/>
  <c r="AP142" i="4"/>
  <c r="BI39" i="4"/>
  <c r="AO20" i="4"/>
  <c r="AQ20" i="4" s="1"/>
  <c r="AR20" i="4" s="1"/>
  <c r="AO33" i="4"/>
  <c r="AQ33" i="4" s="1"/>
  <c r="AR33" i="4" s="1"/>
  <c r="AO85" i="4"/>
  <c r="AQ85" i="4" s="1"/>
  <c r="AR85" i="4" s="1"/>
  <c r="AO88" i="4"/>
  <c r="BI94" i="4"/>
  <c r="BI102" i="4"/>
  <c r="BI47" i="4"/>
  <c r="BI46" i="4"/>
  <c r="BI146" i="4"/>
  <c r="AO101" i="4"/>
  <c r="AN101" i="4" s="1"/>
  <c r="AO43" i="4"/>
  <c r="AO51" i="4"/>
  <c r="AO29" i="4"/>
  <c r="AO27" i="4"/>
  <c r="AO144" i="4"/>
  <c r="AO31" i="4"/>
  <c r="AO76" i="4"/>
  <c r="AO89" i="4"/>
  <c r="AO84" i="4"/>
  <c r="AN84" i="4" s="1"/>
  <c r="AO11" i="4"/>
  <c r="AQ11" i="4" s="1"/>
  <c r="AR11" i="4" s="1"/>
  <c r="AO93" i="4"/>
  <c r="AO17" i="4"/>
  <c r="AO155" i="4"/>
  <c r="AN155" i="4" s="1"/>
  <c r="AO57" i="4"/>
  <c r="AO13" i="4"/>
  <c r="AQ13" i="4" s="1"/>
  <c r="AR13" i="4" s="1"/>
  <c r="AO141" i="4"/>
  <c r="AO45" i="4"/>
  <c r="AQ45" i="4" s="1"/>
  <c r="AR45" i="4" s="1"/>
  <c r="AO151" i="4"/>
  <c r="BI116" i="4"/>
  <c r="BI56" i="4"/>
  <c r="BI79" i="4"/>
  <c r="BI118" i="4"/>
  <c r="AO58" i="4"/>
  <c r="AO129" i="4"/>
  <c r="AQ129" i="4" s="1"/>
  <c r="AR129" i="4" s="1"/>
  <c r="AO53" i="4"/>
  <c r="AO80" i="4"/>
  <c r="AO55" i="4"/>
  <c r="AN55" i="4" s="1"/>
  <c r="AO63" i="4"/>
  <c r="AA69" i="4"/>
  <c r="AB69" i="4" s="1"/>
  <c r="BU69" i="4" s="1"/>
  <c r="AA140" i="4"/>
  <c r="AA94" i="4"/>
  <c r="AP140" i="4"/>
  <c r="AP94" i="4"/>
  <c r="AO94" i="4" s="1"/>
  <c r="AA122" i="4"/>
  <c r="AP90" i="4"/>
  <c r="AO90" i="4" s="1"/>
  <c r="AA102" i="4"/>
  <c r="AA130" i="4"/>
  <c r="AB130" i="4" s="1"/>
  <c r="AA108" i="4"/>
  <c r="AB108" i="4" s="1"/>
  <c r="BU108" i="4" s="1"/>
  <c r="AP75" i="4"/>
  <c r="AO75" i="4" s="1"/>
  <c r="AP130" i="4"/>
  <c r="AP108" i="4"/>
  <c r="AA75" i="4"/>
  <c r="AB75" i="4" s="1"/>
  <c r="BU75" i="4" s="1"/>
  <c r="AP52" i="4"/>
  <c r="AO52" i="4" s="1"/>
  <c r="AA116" i="4"/>
  <c r="AB116" i="4" s="1"/>
  <c r="AA90" i="4"/>
  <c r="AB90" i="4" s="1"/>
  <c r="BU90" i="4" s="1"/>
  <c r="AA123" i="4"/>
  <c r="AB123" i="4" s="1"/>
  <c r="BU123" i="4" s="1"/>
  <c r="AB38" i="4"/>
  <c r="BU38" i="4" s="1"/>
  <c r="AP123" i="4"/>
  <c r="AP145" i="4"/>
  <c r="AA145" i="4"/>
  <c r="AB145" i="4" s="1"/>
  <c r="BU145" i="4" s="1"/>
  <c r="AA52" i="4"/>
  <c r="AB52" i="4" s="1"/>
  <c r="BU52" i="4" s="1"/>
  <c r="AP116" i="4"/>
  <c r="AP124" i="4"/>
  <c r="AP148" i="4"/>
  <c r="AP82" i="4"/>
  <c r="AO82" i="4" s="1"/>
  <c r="AP48" i="4"/>
  <c r="AO48" i="4" s="1"/>
  <c r="AP117" i="4"/>
  <c r="AP156" i="4"/>
  <c r="AP143" i="4"/>
  <c r="AB11" i="4"/>
  <c r="BU11" i="4" s="1"/>
  <c r="AB35" i="4"/>
  <c r="BU35" i="4" s="1"/>
  <c r="AB125" i="4"/>
  <c r="BU125" i="4" s="1"/>
  <c r="AB115" i="4"/>
  <c r="BU115" i="4" s="1"/>
  <c r="AP32" i="4"/>
  <c r="AO32" i="4" s="1"/>
  <c r="AP157" i="4"/>
  <c r="AP19" i="4"/>
  <c r="AN40" i="4"/>
  <c r="AQ40" i="4"/>
  <c r="AR40" i="4" s="1"/>
  <c r="AO100" i="4"/>
  <c r="AO92" i="4"/>
  <c r="AN36" i="4"/>
  <c r="AQ36" i="4"/>
  <c r="AR36" i="4" s="1"/>
  <c r="AO114" i="4"/>
  <c r="AO134" i="4"/>
  <c r="AQ28" i="4"/>
  <c r="AR28" i="4" s="1"/>
  <c r="AN28" i="4"/>
  <c r="AP81" i="4"/>
  <c r="AP24" i="4"/>
  <c r="AP113" i="4"/>
  <c r="AP137" i="4"/>
  <c r="AP149" i="4"/>
  <c r="AP47" i="4"/>
  <c r="AP46" i="4"/>
  <c r="AP64" i="4"/>
  <c r="AO64" i="4" s="1"/>
  <c r="AP136" i="4"/>
  <c r="AP110" i="4"/>
  <c r="AP104" i="4"/>
  <c r="AP65" i="4"/>
  <c r="AB28" i="4"/>
  <c r="BU28" i="4" s="1"/>
  <c r="AN18" i="4"/>
  <c r="AQ18" i="4"/>
  <c r="AR18" i="4" s="1"/>
  <c r="AQ99" i="4"/>
  <c r="AR99" i="4" s="1"/>
  <c r="AN99" i="4"/>
  <c r="AO128" i="4"/>
  <c r="AN78" i="4"/>
  <c r="AQ78" i="4"/>
  <c r="AR78" i="4" s="1"/>
  <c r="AN95" i="4"/>
  <c r="AQ95" i="4"/>
  <c r="AR95" i="4" s="1"/>
  <c r="AN14" i="4"/>
  <c r="AQ14" i="4"/>
  <c r="AR14" i="4" s="1"/>
  <c r="AQ120" i="4"/>
  <c r="AR120" i="4" s="1"/>
  <c r="AN120" i="4"/>
  <c r="AO96" i="4"/>
  <c r="AQ10" i="4"/>
  <c r="AR10" i="4" s="1"/>
  <c r="AN10" i="4"/>
  <c r="AQ68" i="4"/>
  <c r="AR68" i="4" s="1"/>
  <c r="AN68" i="4"/>
  <c r="AQ86" i="4"/>
  <c r="AR86" i="4" s="1"/>
  <c r="AN86" i="4"/>
  <c r="AN71" i="4"/>
  <c r="AQ71" i="4"/>
  <c r="AR71" i="4" s="1"/>
  <c r="AQ60" i="4"/>
  <c r="AR60" i="4" s="1"/>
  <c r="AN60" i="4"/>
  <c r="AQ98" i="4"/>
  <c r="AR98" i="4" s="1"/>
  <c r="AN98" i="4"/>
  <c r="AP106" i="4"/>
  <c r="AO106" i="4" s="1"/>
  <c r="AP21" i="4"/>
  <c r="AP49" i="4"/>
  <c r="AP146" i="4"/>
  <c r="AN22" i="4"/>
  <c r="AQ22" i="4"/>
  <c r="AR22" i="4" s="1"/>
  <c r="AN87" i="4"/>
  <c r="AQ87" i="4"/>
  <c r="AR87" i="4" s="1"/>
  <c r="AO44" i="4"/>
  <c r="AO132" i="4"/>
  <c r="AQ83" i="4"/>
  <c r="AR83" i="4" s="1"/>
  <c r="AN83" i="4"/>
  <c r="AN74" i="4"/>
  <c r="AQ74" i="4"/>
  <c r="AR74" i="4" s="1"/>
  <c r="AP79" i="4"/>
  <c r="AO79" i="4" s="1"/>
  <c r="AP26" i="4"/>
  <c r="AO26" i="4" s="1"/>
  <c r="AP118" i="4"/>
  <c r="AP54" i="4"/>
  <c r="AB138" i="4"/>
  <c r="BU138" i="4" s="1"/>
  <c r="AB103" i="4"/>
  <c r="BU103" i="4" s="1"/>
  <c r="AB121" i="4"/>
  <c r="BU121" i="4" s="1"/>
  <c r="AA82" i="4"/>
  <c r="AA124" i="4"/>
  <c r="AA148" i="4"/>
  <c r="AA48" i="4"/>
  <c r="AA117" i="4"/>
  <c r="AA157" i="4"/>
  <c r="AA156" i="4"/>
  <c r="AA143" i="4"/>
  <c r="AE446" i="5"/>
  <c r="AB63" i="4"/>
  <c r="BU63" i="4" s="1"/>
  <c r="AB129" i="4"/>
  <c r="BU129" i="4" s="1"/>
  <c r="AB18" i="4"/>
  <c r="BU18" i="4" s="1"/>
  <c r="AB23" i="4"/>
  <c r="BU23" i="4" s="1"/>
  <c r="AB93" i="4"/>
  <c r="BU93" i="4" s="1"/>
  <c r="AB101" i="4"/>
  <c r="BU101" i="4" s="1"/>
  <c r="AE471" i="10"/>
  <c r="AE203" i="10"/>
  <c r="AV219" i="10"/>
  <c r="AW219" i="10" s="1"/>
  <c r="AE373" i="10"/>
  <c r="AB55" i="4"/>
  <c r="AB87" i="4"/>
  <c r="AB45" i="4"/>
  <c r="AB58" i="4"/>
  <c r="AB25" i="4"/>
  <c r="AB95" i="4"/>
  <c r="AB89" i="4"/>
  <c r="AB139" i="4"/>
  <c r="BU139" i="4" s="1"/>
  <c r="AB155" i="4"/>
  <c r="BU155" i="4" s="1"/>
  <c r="AB73" i="4"/>
  <c r="BU73" i="4" s="1"/>
  <c r="AB131" i="4"/>
  <c r="BU131" i="4" s="1"/>
  <c r="AB36" i="4"/>
  <c r="BU36" i="4" s="1"/>
  <c r="AB151" i="4"/>
  <c r="BU151" i="4" s="1"/>
  <c r="AB70" i="4"/>
  <c r="BU70" i="4" s="1"/>
  <c r="AB12" i="4"/>
  <c r="BU12" i="4" s="1"/>
  <c r="AB98" i="4"/>
  <c r="BU98" i="4" s="1"/>
  <c r="AB15" i="4"/>
  <c r="BU15" i="4" s="1"/>
  <c r="AB100" i="4"/>
  <c r="BU100" i="4" s="1"/>
  <c r="AB44" i="4"/>
  <c r="BU44" i="4" s="1"/>
  <c r="AB33" i="4"/>
  <c r="AB31" i="4"/>
  <c r="AB76" i="4"/>
  <c r="BU76" i="4" s="1"/>
  <c r="AB153" i="4"/>
  <c r="BU153" i="4" s="1"/>
  <c r="AB14" i="4"/>
  <c r="BU14" i="4" s="1"/>
  <c r="AB86" i="4"/>
  <c r="BU86" i="4" s="1"/>
  <c r="AB42" i="4"/>
  <c r="BU42" i="4" s="1"/>
  <c r="AB85" i="4"/>
  <c r="BU85" i="4" s="1"/>
  <c r="AB114" i="4"/>
  <c r="BU114" i="4" s="1"/>
  <c r="AB147" i="4"/>
  <c r="BU147" i="4" s="1"/>
  <c r="AB80" i="4"/>
  <c r="BU80" i="4" s="1"/>
  <c r="AB71" i="4"/>
  <c r="BU71" i="4" s="1"/>
  <c r="AB92" i="4"/>
  <c r="BU92" i="4" s="1"/>
  <c r="AB105" i="4"/>
  <c r="AB57" i="4"/>
  <c r="AB99" i="4"/>
  <c r="AB29" i="4"/>
  <c r="AB109" i="4"/>
  <c r="AB10" i="4"/>
  <c r="AB135" i="4"/>
  <c r="AB72" i="4"/>
  <c r="BU72" i="4" s="1"/>
  <c r="AB68" i="4"/>
  <c r="BU68" i="4" s="1"/>
  <c r="AB16" i="4"/>
  <c r="BU16" i="4" s="1"/>
  <c r="AB120" i="4"/>
  <c r="BU120" i="4" s="1"/>
  <c r="AB17" i="4"/>
  <c r="AB78" i="4"/>
  <c r="BU78" i="4" s="1"/>
  <c r="AB77" i="4"/>
  <c r="BU77" i="4" s="1"/>
  <c r="AB144" i="4"/>
  <c r="BU144" i="4" s="1"/>
  <c r="AB119" i="4"/>
  <c r="BU119" i="4" s="1"/>
  <c r="AB20" i="4"/>
  <c r="BU20" i="4" s="1"/>
  <c r="AB51" i="4"/>
  <c r="BU51" i="4" s="1"/>
  <c r="AB61" i="4"/>
  <c r="BU61" i="4" s="1"/>
  <c r="AB127" i="4"/>
  <c r="BU127" i="4" s="1"/>
  <c r="AB22" i="4"/>
  <c r="BU22" i="4" s="1"/>
  <c r="AB83" i="4"/>
  <c r="BU83" i="4" s="1"/>
  <c r="AB107" i="4"/>
  <c r="BU107" i="4" s="1"/>
  <c r="AB34" i="4"/>
  <c r="AB27" i="4"/>
  <c r="BU27" i="4" s="1"/>
  <c r="AB53" i="4"/>
  <c r="BU53" i="4" s="1"/>
  <c r="AB60" i="4"/>
  <c r="BU60" i="4" s="1"/>
  <c r="AB74" i="4"/>
  <c r="BU74" i="4" s="1"/>
  <c r="AB50" i="4"/>
  <c r="BU50" i="4" s="1"/>
  <c r="BU8" i="4"/>
  <c r="AB13" i="4"/>
  <c r="BU13" i="4" s="1"/>
  <c r="AB84" i="4"/>
  <c r="BU84" i="4" s="1"/>
  <c r="AB43" i="4"/>
  <c r="BU43" i="4" s="1"/>
  <c r="AB88" i="4"/>
  <c r="BU88" i="4" s="1"/>
  <c r="AB132" i="4"/>
  <c r="BU132" i="4" s="1"/>
  <c r="AB134" i="4"/>
  <c r="BU134" i="4" s="1"/>
  <c r="AB96" i="4"/>
  <c r="BU96" i="4" s="1"/>
  <c r="AB40" i="4"/>
  <c r="BU40" i="4" s="1"/>
  <c r="AB30" i="4"/>
  <c r="BU30" i="4" s="1"/>
  <c r="AB128" i="4"/>
  <c r="BU128" i="4" s="1"/>
  <c r="AB66" i="4"/>
  <c r="BU66" i="4" s="1"/>
  <c r="AA26" i="4"/>
  <c r="AB9" i="4"/>
  <c r="BU9" i="4" s="1"/>
  <c r="AA32" i="4"/>
  <c r="AA106" i="4"/>
  <c r="AA21" i="4"/>
  <c r="AB141" i="4"/>
  <c r="BU141" i="4" s="1"/>
  <c r="AA113" i="4"/>
  <c r="AA19" i="4"/>
  <c r="AA54" i="4"/>
  <c r="AA149" i="4"/>
  <c r="AA110" i="4"/>
  <c r="AA49" i="4"/>
  <c r="AA79" i="4"/>
  <c r="AA137" i="4"/>
  <c r="AA104" i="4"/>
  <c r="AA65" i="4"/>
  <c r="AA47" i="4"/>
  <c r="AA46" i="4"/>
  <c r="AA64" i="4"/>
  <c r="AA136" i="4"/>
  <c r="AA81" i="4"/>
  <c r="AA24" i="4"/>
  <c r="AA118" i="4"/>
  <c r="AA146" i="4"/>
  <c r="AD465" i="10"/>
  <c r="AV100" i="10"/>
  <c r="AX100" i="10" s="1"/>
  <c r="AT446" i="5"/>
  <c r="AV444" i="10"/>
  <c r="AW444" i="10" s="1"/>
  <c r="AX174" i="10"/>
  <c r="AE197" i="10"/>
  <c r="AV471" i="10"/>
  <c r="AW471" i="10" s="1"/>
  <c r="AV432" i="10"/>
  <c r="AW432" i="10" s="1"/>
  <c r="AV365" i="10"/>
  <c r="AW365" i="10" s="1"/>
  <c r="AT7" i="5"/>
  <c r="AV51" i="10"/>
  <c r="AW51" i="10" s="1"/>
  <c r="AD165" i="10"/>
  <c r="AE92" i="10"/>
  <c r="AV300" i="10"/>
  <c r="AX300" i="10" s="1"/>
  <c r="AV403" i="10"/>
  <c r="AW403" i="10" s="1"/>
  <c r="AE403" i="10"/>
  <c r="AD92" i="10"/>
  <c r="AD300" i="10"/>
  <c r="AE157" i="10"/>
  <c r="AD444" i="10"/>
  <c r="AE475" i="10"/>
  <c r="AV72" i="10"/>
  <c r="AW72" i="10" s="1"/>
  <c r="AE458" i="10"/>
  <c r="AD432" i="10"/>
  <c r="AV132" i="10"/>
  <c r="AX132" i="10" s="1"/>
  <c r="AV490" i="10"/>
  <c r="AX490" i="10" s="1"/>
  <c r="AD556" i="10"/>
  <c r="AV350" i="10"/>
  <c r="AX350" i="10" s="1"/>
  <c r="AE557" i="10"/>
  <c r="AX137" i="10"/>
  <c r="AV556" i="10"/>
  <c r="AX556" i="10" s="1"/>
  <c r="AD317" i="10"/>
  <c r="AD137" i="10"/>
  <c r="AV411" i="10"/>
  <c r="AW411" i="10" s="1"/>
  <c r="AD446" i="5"/>
  <c r="AV475" i="10"/>
  <c r="AW475" i="10" s="1"/>
  <c r="AD100" i="10"/>
  <c r="AD348" i="10"/>
  <c r="AV215" i="10"/>
  <c r="AW215" i="10" s="1"/>
  <c r="AD365" i="10"/>
  <c r="AV197" i="10"/>
  <c r="AX197" i="10" s="1"/>
  <c r="AE90" i="10"/>
  <c r="AD132" i="10"/>
  <c r="AV458" i="10"/>
  <c r="AX458" i="10" s="1"/>
  <c r="AV522" i="10"/>
  <c r="AW522" i="10" s="1"/>
  <c r="AD464" i="10"/>
  <c r="AV464" i="10"/>
  <c r="AW464" i="10" s="1"/>
  <c r="AD157" i="10"/>
  <c r="AD215" i="10"/>
  <c r="AV203" i="10"/>
  <c r="AX203" i="10" s="1"/>
  <c r="AD428" i="10"/>
  <c r="AD522" i="10"/>
  <c r="AE51" i="10"/>
  <c r="AX283" i="10"/>
  <c r="AV353" i="10"/>
  <c r="AX353" i="10" s="1"/>
  <c r="AD353" i="10"/>
  <c r="AV530" i="10"/>
  <c r="AW530" i="10" s="1"/>
  <c r="AE283" i="10"/>
  <c r="AE499" i="10"/>
  <c r="AD283" i="10"/>
  <c r="AV499" i="10"/>
  <c r="AW499" i="10" s="1"/>
  <c r="AD56" i="10"/>
  <c r="AE288" i="10"/>
  <c r="AD434" i="10"/>
  <c r="AD302" i="10"/>
  <c r="AD172" i="10"/>
  <c r="AV346" i="10"/>
  <c r="AX346" i="10" s="1"/>
  <c r="AV558" i="10"/>
  <c r="AW558" i="10" s="1"/>
  <c r="AE249" i="10"/>
  <c r="AE118" i="10"/>
  <c r="AE380" i="10"/>
  <c r="AE127" i="10"/>
  <c r="AD443" i="10"/>
  <c r="AE317" i="10"/>
  <c r="AE56" i="10"/>
  <c r="AE137" i="10"/>
  <c r="AE141" i="10"/>
  <c r="AW399" i="10"/>
  <c r="AV141" i="10"/>
  <c r="AW141" i="10" s="1"/>
  <c r="AE290" i="10"/>
  <c r="AD520" i="10"/>
  <c r="AE89" i="10"/>
  <c r="AV48" i="10"/>
  <c r="AW48" i="10" s="1"/>
  <c r="AE478" i="10"/>
  <c r="AD544" i="10"/>
  <c r="AV272" i="10"/>
  <c r="AW272" i="10" s="1"/>
  <c r="AV378" i="10"/>
  <c r="AW378" i="10" s="1"/>
  <c r="AV502" i="10"/>
  <c r="AW502" i="10" s="1"/>
  <c r="AV288" i="10"/>
  <c r="AW288" i="10" s="1"/>
  <c r="AX251" i="10"/>
  <c r="AE520" i="10"/>
  <c r="AV557" i="10"/>
  <c r="AX557" i="10" s="1"/>
  <c r="AV165" i="10"/>
  <c r="AW165" i="10" s="1"/>
  <c r="AE558" i="10"/>
  <c r="AD249" i="10"/>
  <c r="AV118" i="10"/>
  <c r="AW118" i="10" s="1"/>
  <c r="AV116" i="10"/>
  <c r="AW116" i="10" s="1"/>
  <c r="AV202" i="10"/>
  <c r="AW202" i="10" s="1"/>
  <c r="AD378" i="10"/>
  <c r="AE488" i="10"/>
  <c r="AD383" i="10"/>
  <c r="AE560" i="10"/>
  <c r="AE222" i="10"/>
  <c r="AV455" i="10"/>
  <c r="AW455" i="10" s="1"/>
  <c r="AD543" i="10"/>
  <c r="AD102" i="10"/>
  <c r="AV263" i="10"/>
  <c r="AX263" i="10" s="1"/>
  <c r="AE356" i="10"/>
  <c r="AE58" i="10"/>
  <c r="AV441" i="10"/>
  <c r="AX441" i="10" s="1"/>
  <c r="AV43" i="10"/>
  <c r="AW43" i="10" s="1"/>
  <c r="AV377" i="10"/>
  <c r="AX377" i="10" s="1"/>
  <c r="AW37" i="10"/>
  <c r="AD314" i="10"/>
  <c r="AV244" i="10"/>
  <c r="AX244" i="10" s="1"/>
  <c r="AD452" i="10"/>
  <c r="AE121" i="10"/>
  <c r="AD251" i="10"/>
  <c r="AE251" i="10"/>
  <c r="AV330" i="10"/>
  <c r="AW330" i="10" s="1"/>
  <c r="AE348" i="10"/>
  <c r="AE72" i="10"/>
  <c r="AD315" i="10"/>
  <c r="AD411" i="10"/>
  <c r="AE428" i="10"/>
  <c r="AD258" i="10"/>
  <c r="AV373" i="10"/>
  <c r="AX373" i="10" s="1"/>
  <c r="AE513" i="10"/>
  <c r="AD174" i="10"/>
  <c r="AE174" i="10"/>
  <c r="Y11" i="10"/>
  <c r="AV315" i="10"/>
  <c r="AX315" i="10" s="1"/>
  <c r="AV425" i="10"/>
  <c r="AW425" i="10" s="1"/>
  <c r="AV539" i="10"/>
  <c r="AX539" i="10" s="1"/>
  <c r="AV36" i="10"/>
  <c r="AX36" i="10" s="1"/>
  <c r="AX285" i="10"/>
  <c r="AD125" i="10"/>
  <c r="AV500" i="10"/>
  <c r="AX500" i="10" s="1"/>
  <c r="AD436" i="10"/>
  <c r="AD168" i="10"/>
  <c r="AV222" i="10"/>
  <c r="AW222" i="10" s="1"/>
  <c r="AD361" i="10"/>
  <c r="AD110" i="10"/>
  <c r="AD170" i="10"/>
  <c r="AV290" i="10"/>
  <c r="AX290" i="10" s="1"/>
  <c r="AE441" i="10"/>
  <c r="AV102" i="10"/>
  <c r="AW102" i="10" s="1"/>
  <c r="AV209" i="10"/>
  <c r="AW209" i="10" s="1"/>
  <c r="AD478" i="10"/>
  <c r="AE113" i="10"/>
  <c r="AD377" i="10"/>
  <c r="AV89" i="10"/>
  <c r="AW89" i="10" s="1"/>
  <c r="AV544" i="10"/>
  <c r="AW544" i="10" s="1"/>
  <c r="AD393" i="10"/>
  <c r="AD48" i="10"/>
  <c r="AE202" i="10"/>
  <c r="AX367" i="10"/>
  <c r="AV59" i="10"/>
  <c r="AW59" i="10" s="1"/>
  <c r="AE272" i="10"/>
  <c r="AE244" i="10"/>
  <c r="AV540" i="10"/>
  <c r="AX540" i="10" s="1"/>
  <c r="AV393" i="10"/>
  <c r="AW393" i="10" s="1"/>
  <c r="AD551" i="10"/>
  <c r="AD316" i="10"/>
  <c r="AE543" i="10"/>
  <c r="AE170" i="10"/>
  <c r="AV356" i="10"/>
  <c r="AX356" i="10" s="1"/>
  <c r="AV58" i="10"/>
  <c r="AW58" i="10" s="1"/>
  <c r="AV73" i="10"/>
  <c r="AW73" i="10" s="1"/>
  <c r="AD209" i="10"/>
  <c r="AE124" i="10"/>
  <c r="AD116" i="10"/>
  <c r="AD305" i="10"/>
  <c r="AE93" i="10"/>
  <c r="AV314" i="10"/>
  <c r="AW314" i="10" s="1"/>
  <c r="AD399" i="10"/>
  <c r="AE60" i="10"/>
  <c r="AV110" i="10"/>
  <c r="AX110" i="10" s="1"/>
  <c r="AE284" i="10"/>
  <c r="AE387" i="10"/>
  <c r="AD113" i="10"/>
  <c r="AV188" i="10"/>
  <c r="AW188" i="10" s="1"/>
  <c r="AE305" i="10"/>
  <c r="AE551" i="10"/>
  <c r="AE208" i="10"/>
  <c r="AV121" i="10"/>
  <c r="AW121" i="10" s="1"/>
  <c r="AD480" i="10"/>
  <c r="AD33" i="10"/>
  <c r="AV466" i="10"/>
  <c r="AX466" i="10" s="1"/>
  <c r="AE514" i="10"/>
  <c r="AE212" i="10"/>
  <c r="AE530" i="10"/>
  <c r="AE34" i="10"/>
  <c r="AD184" i="10"/>
  <c r="AD334" i="10"/>
  <c r="AE340" i="10"/>
  <c r="AE153" i="10"/>
  <c r="AD115" i="10"/>
  <c r="AE358" i="10"/>
  <c r="AE507" i="10"/>
  <c r="AD167" i="10"/>
  <c r="AE382" i="10"/>
  <c r="AV265" i="10"/>
  <c r="AX265" i="10" s="1"/>
  <c r="AE41" i="10"/>
  <c r="AD13" i="10"/>
  <c r="AE259" i="10"/>
  <c r="AE456" i="10"/>
  <c r="AE473" i="10"/>
  <c r="AV150" i="10"/>
  <c r="AX150" i="10" s="1"/>
  <c r="AD34" i="10"/>
  <c r="AE195" i="10"/>
  <c r="AD259" i="10"/>
  <c r="AV382" i="10"/>
  <c r="AX382" i="10" s="1"/>
  <c r="AE406" i="10"/>
  <c r="AV33" i="10"/>
  <c r="AX33" i="10" s="1"/>
  <c r="AD485" i="10"/>
  <c r="AE256" i="10"/>
  <c r="AV473" i="10"/>
  <c r="AW473" i="10" s="1"/>
  <c r="AV227" i="10"/>
  <c r="AX227" i="10" s="1"/>
  <c r="AD477" i="10"/>
  <c r="AE173" i="10"/>
  <c r="AE117" i="10"/>
  <c r="AD297" i="10"/>
  <c r="AD496" i="10"/>
  <c r="AD286" i="10"/>
  <c r="AV44" i="10"/>
  <c r="AW44" i="10" s="1"/>
  <c r="AD456" i="10"/>
  <c r="AD292" i="10"/>
  <c r="AD156" i="10"/>
  <c r="AD41" i="10"/>
  <c r="AD514" i="10"/>
  <c r="AD130" i="10"/>
  <c r="AX13" i="10"/>
  <c r="AD105" i="10"/>
  <c r="AD182" i="10"/>
  <c r="AV354" i="10"/>
  <c r="AW354" i="10" s="1"/>
  <c r="AE413" i="10"/>
  <c r="AE304" i="10"/>
  <c r="AV261" i="10"/>
  <c r="AX261" i="10" s="1"/>
  <c r="AV318" i="10"/>
  <c r="AX318" i="10" s="1"/>
  <c r="AD462" i="10"/>
  <c r="AD291" i="10"/>
  <c r="AV225" i="10"/>
  <c r="AX225" i="10" s="1"/>
  <c r="AV63" i="10"/>
  <c r="AX63" i="10" s="1"/>
  <c r="AE437" i="10"/>
  <c r="AE47" i="10"/>
  <c r="AE419" i="10"/>
  <c r="AV296" i="10"/>
  <c r="AW296" i="10" s="1"/>
  <c r="AV342" i="10"/>
  <c r="AX342" i="10" s="1"/>
  <c r="AD8" i="10"/>
  <c r="AE355" i="10"/>
  <c r="AE228" i="10"/>
  <c r="AD410" i="10"/>
  <c r="AV145" i="10"/>
  <c r="AW145" i="10" s="1"/>
  <c r="AV325" i="10"/>
  <c r="AW325" i="10" s="1"/>
  <c r="AE335" i="10"/>
  <c r="AE13" i="10"/>
  <c r="AD502" i="10"/>
  <c r="AE84" i="10"/>
  <c r="AV275" i="10"/>
  <c r="AW275" i="10" s="1"/>
  <c r="AE172" i="10"/>
  <c r="AV492" i="10"/>
  <c r="AX492" i="10" s="1"/>
  <c r="AE303" i="10"/>
  <c r="AD547" i="10"/>
  <c r="AV468" i="10"/>
  <c r="AW468" i="10" s="1"/>
  <c r="AD280" i="10"/>
  <c r="AD380" i="10"/>
  <c r="AD488" i="10"/>
  <c r="AD127" i="10"/>
  <c r="AD64" i="10"/>
  <c r="AD338" i="10"/>
  <c r="AV509" i="10"/>
  <c r="AX509" i="10" s="1"/>
  <c r="AD467" i="10"/>
  <c r="AV512" i="10"/>
  <c r="AW512" i="10" s="1"/>
  <c r="AV181" i="10"/>
  <c r="AX181" i="10" s="1"/>
  <c r="AE138" i="10"/>
  <c r="AV88" i="10"/>
  <c r="AX88" i="10" s="1"/>
  <c r="AV446" i="10"/>
  <c r="AW446" i="10" s="1"/>
  <c r="AD78" i="10"/>
  <c r="AE322" i="10"/>
  <c r="AV497" i="10"/>
  <c r="AW497" i="10" s="1"/>
  <c r="AE536" i="10"/>
  <c r="AD80" i="10"/>
  <c r="AD374" i="5"/>
  <c r="AD442" i="10"/>
  <c r="AD122" i="10"/>
  <c r="AV363" i="10"/>
  <c r="AX363" i="10" s="1"/>
  <c r="AD405" i="10"/>
  <c r="AV320" i="10"/>
  <c r="AW320" i="10" s="1"/>
  <c r="AE139" i="10"/>
  <c r="AD152" i="10"/>
  <c r="AE205" i="10"/>
  <c r="AD79" i="10"/>
  <c r="AE104" i="10"/>
  <c r="AE469" i="10"/>
  <c r="AD221" i="10"/>
  <c r="AE443" i="10"/>
  <c r="AX469" i="10"/>
  <c r="AV389" i="10"/>
  <c r="AX389" i="10" s="1"/>
  <c r="AE442" i="10"/>
  <c r="AV271" i="10"/>
  <c r="AW271" i="10" s="1"/>
  <c r="AV302" i="10"/>
  <c r="AX302" i="10" s="1"/>
  <c r="AE275" i="10"/>
  <c r="AE363" i="10"/>
  <c r="AD420" i="10"/>
  <c r="AD512" i="10"/>
  <c r="AV138" i="10"/>
  <c r="AW138" i="10" s="1"/>
  <c r="AD320" i="10"/>
  <c r="AV97" i="10"/>
  <c r="AW97" i="10" s="1"/>
  <c r="AE126" i="10"/>
  <c r="AE547" i="10"/>
  <c r="AV139" i="10"/>
  <c r="AX139" i="10" s="1"/>
  <c r="AV538" i="10"/>
  <c r="AX538" i="10" s="1"/>
  <c r="AD111" i="10"/>
  <c r="AE88" i="10"/>
  <c r="AE152" i="10"/>
  <c r="AD422" i="10"/>
  <c r="AD446" i="10"/>
  <c r="AE497" i="10"/>
  <c r="AE350" i="10"/>
  <c r="AV205" i="10"/>
  <c r="AX205" i="10" s="1"/>
  <c r="AW480" i="10"/>
  <c r="AV323" i="10"/>
  <c r="AW323" i="10" s="1"/>
  <c r="AV61" i="10"/>
  <c r="AX61" i="10" s="1"/>
  <c r="AE79" i="10"/>
  <c r="AV338" i="10"/>
  <c r="AW338" i="10" s="1"/>
  <c r="AE85" i="10"/>
  <c r="AD469" i="10"/>
  <c r="AV221" i="10"/>
  <c r="AW221" i="10" s="1"/>
  <c r="AV85" i="10"/>
  <c r="AX85" i="10" s="1"/>
  <c r="AV301" i="10"/>
  <c r="AX301" i="10" s="1"/>
  <c r="AX385" i="10"/>
  <c r="AE389" i="10"/>
  <c r="AE122" i="10"/>
  <c r="AV434" i="10"/>
  <c r="AX434" i="10" s="1"/>
  <c r="AV515" i="10"/>
  <c r="AX515" i="10" s="1"/>
  <c r="AE420" i="10"/>
  <c r="AD181" i="10"/>
  <c r="AE252" i="10"/>
  <c r="AV405" i="10"/>
  <c r="AX405" i="10" s="1"/>
  <c r="AD492" i="10"/>
  <c r="AV126" i="10"/>
  <c r="AX126" i="10" s="1"/>
  <c r="AD468" i="10"/>
  <c r="AE538" i="10"/>
  <c r="AE111" i="10"/>
  <c r="AV422" i="10"/>
  <c r="AX422" i="10" s="1"/>
  <c r="AE78" i="10"/>
  <c r="AE280" i="10"/>
  <c r="AD322" i="10"/>
  <c r="AV536" i="10"/>
  <c r="AX536" i="10" s="1"/>
  <c r="AD323" i="10"/>
  <c r="AE61" i="10"/>
  <c r="AV104" i="10"/>
  <c r="AW104" i="10" s="1"/>
  <c r="AE383" i="10"/>
  <c r="AD385" i="10"/>
  <c r="AV80" i="10"/>
  <c r="AX80" i="10" s="1"/>
  <c r="AE385" i="10"/>
  <c r="AV560" i="10"/>
  <c r="AW560" i="10" s="1"/>
  <c r="AD37" i="10"/>
  <c r="AE301" i="10"/>
  <c r="AV266" i="10"/>
  <c r="AX266" i="10" s="1"/>
  <c r="AD366" i="10"/>
  <c r="AV457" i="10"/>
  <c r="AW457" i="10" s="1"/>
  <c r="AV68" i="10"/>
  <c r="AX68" i="10" s="1"/>
  <c r="AD277" i="10"/>
  <c r="AV451" i="10"/>
  <c r="AX451" i="10" s="1"/>
  <c r="AE509" i="10"/>
  <c r="AD151" i="10"/>
  <c r="AV151" i="10"/>
  <c r="AX151" i="10" s="1"/>
  <c r="AV435" i="10"/>
  <c r="AW435" i="10" s="1"/>
  <c r="AD10" i="10"/>
  <c r="AE37" i="10"/>
  <c r="AV105" i="10"/>
  <c r="AX105" i="10" s="1"/>
  <c r="AE319" i="10"/>
  <c r="AV86" i="10"/>
  <c r="AW86" i="10" s="1"/>
  <c r="AV491" i="10"/>
  <c r="AX491" i="10" s="1"/>
  <c r="AE62" i="10"/>
  <c r="AV182" i="10"/>
  <c r="AW182" i="10" s="1"/>
  <c r="AV477" i="10"/>
  <c r="AX477" i="10" s="1"/>
  <c r="AV507" i="10"/>
  <c r="AX507" i="10" s="1"/>
  <c r="AD173" i="10"/>
  <c r="AD117" i="10"/>
  <c r="AV195" i="10"/>
  <c r="AW195" i="10" s="1"/>
  <c r="AE297" i="10"/>
  <c r="AV341" i="10"/>
  <c r="AW341" i="10" s="1"/>
  <c r="AD354" i="10"/>
  <c r="AV413" i="10"/>
  <c r="AW413" i="10" s="1"/>
  <c r="AE528" i="10"/>
  <c r="AV167" i="10"/>
  <c r="AX167" i="10" s="1"/>
  <c r="AE539" i="10"/>
  <c r="AV123" i="10"/>
  <c r="AX123" i="10" s="1"/>
  <c r="AV240" i="10"/>
  <c r="AW240" i="10" s="1"/>
  <c r="AD355" i="10"/>
  <c r="AE77" i="10"/>
  <c r="AD261" i="10"/>
  <c r="AD318" i="10"/>
  <c r="AV406" i="10"/>
  <c r="AW406" i="10" s="1"/>
  <c r="AV462" i="10"/>
  <c r="AW462" i="10" s="1"/>
  <c r="AV372" i="10"/>
  <c r="AX372" i="10" s="1"/>
  <c r="AE295" i="10"/>
  <c r="AV485" i="10"/>
  <c r="AW485" i="10" s="1"/>
  <c r="AE225" i="10"/>
  <c r="AE255" i="10"/>
  <c r="AV292" i="10"/>
  <c r="AX292" i="10" s="1"/>
  <c r="AV336" i="10"/>
  <c r="AX336" i="10" s="1"/>
  <c r="AD437" i="10"/>
  <c r="AD493" i="10"/>
  <c r="AV388" i="10"/>
  <c r="AW388" i="10" s="1"/>
  <c r="AV156" i="10"/>
  <c r="AW156" i="10" s="1"/>
  <c r="AD218" i="10"/>
  <c r="AD153" i="10"/>
  <c r="AD194" i="10"/>
  <c r="AV419" i="10"/>
  <c r="AX419" i="10" s="1"/>
  <c r="AD30" i="10"/>
  <c r="AE230" i="10"/>
  <c r="AD463" i="10"/>
  <c r="AE65" i="10"/>
  <c r="AE296" i="10"/>
  <c r="AE325" i="10"/>
  <c r="AV474" i="10"/>
  <c r="AW474" i="10" s="1"/>
  <c r="AV176" i="10"/>
  <c r="AX176" i="10" s="1"/>
  <c r="AV112" i="10"/>
  <c r="AW112" i="10" s="1"/>
  <c r="AV269" i="10"/>
  <c r="AW269" i="10" s="1"/>
  <c r="AD342" i="10"/>
  <c r="AD369" i="10"/>
  <c r="AV7" i="10"/>
  <c r="AX7" i="10" s="1"/>
  <c r="AI11" i="10"/>
  <c r="AL11" i="10"/>
  <c r="AV319" i="10"/>
  <c r="AX319" i="10" s="1"/>
  <c r="AD150" i="10"/>
  <c r="AD227" i="10"/>
  <c r="AE339" i="10"/>
  <c r="AD491" i="10"/>
  <c r="AE196" i="10"/>
  <c r="AE495" i="10"/>
  <c r="AE328" i="10"/>
  <c r="AD531" i="10"/>
  <c r="AE75" i="10"/>
  <c r="AD123" i="10"/>
  <c r="AV304" i="10"/>
  <c r="AX304" i="10" s="1"/>
  <c r="AD77" i="10"/>
  <c r="AV212" i="10"/>
  <c r="AX212" i="10" s="1"/>
  <c r="AE370" i="10"/>
  <c r="AV286" i="10"/>
  <c r="AX286" i="10" s="1"/>
  <c r="AD295" i="10"/>
  <c r="AW358" i="10"/>
  <c r="AV291" i="10"/>
  <c r="AW291" i="10" s="1"/>
  <c r="AE178" i="10"/>
  <c r="AD63" i="10"/>
  <c r="AV228" i="10"/>
  <c r="AX228" i="10" s="1"/>
  <c r="AV334" i="10"/>
  <c r="AW334" i="10" s="1"/>
  <c r="AV47" i="10"/>
  <c r="AX47" i="10" s="1"/>
  <c r="AE216" i="10"/>
  <c r="AD388" i="10"/>
  <c r="AV410" i="10"/>
  <c r="AX410" i="10" s="1"/>
  <c r="AD466" i="10"/>
  <c r="AV27" i="10"/>
  <c r="AW27" i="10" s="1"/>
  <c r="AV218" i="10"/>
  <c r="AW218" i="10" s="1"/>
  <c r="AV340" i="10"/>
  <c r="AX340" i="10" s="1"/>
  <c r="AE52" i="10"/>
  <c r="AE194" i="10"/>
  <c r="AD145" i="10"/>
  <c r="AE166" i="10"/>
  <c r="AV463" i="10"/>
  <c r="AX463" i="10" s="1"/>
  <c r="AV64" i="10"/>
  <c r="AX64" i="10" s="1"/>
  <c r="AE115" i="10"/>
  <c r="AV128" i="10"/>
  <c r="AW128" i="10" s="1"/>
  <c r="AE128" i="10"/>
  <c r="AV130" i="10"/>
  <c r="AW130" i="10" s="1"/>
  <c r="AE112" i="10"/>
  <c r="AE98" i="10"/>
  <c r="AV8" i="10"/>
  <c r="AW8" i="10" s="1"/>
  <c r="AV369" i="10"/>
  <c r="AW369" i="10" s="1"/>
  <c r="AV119" i="10"/>
  <c r="AW119" i="10" s="1"/>
  <c r="AE86" i="10"/>
  <c r="AV171" i="10"/>
  <c r="AW171" i="10" s="1"/>
  <c r="AE332" i="10"/>
  <c r="AD81" i="10"/>
  <c r="AV495" i="10"/>
  <c r="AW495" i="10" s="1"/>
  <c r="AW98" i="10"/>
  <c r="AE379" i="10"/>
  <c r="AV328" i="10"/>
  <c r="AW328" i="10" s="1"/>
  <c r="AE531" i="10"/>
  <c r="AV75" i="10"/>
  <c r="AX75" i="10" s="1"/>
  <c r="AV243" i="10"/>
  <c r="AW243" i="10" s="1"/>
  <c r="AV133" i="10"/>
  <c r="AX133" i="10" s="1"/>
  <c r="AE372" i="10"/>
  <c r="AV453" i="10"/>
  <c r="AW453" i="10" s="1"/>
  <c r="AV178" i="10"/>
  <c r="AX178" i="10" s="1"/>
  <c r="AE336" i="10"/>
  <c r="AE158" i="10"/>
  <c r="AV71" i="10"/>
  <c r="AW71" i="10" s="1"/>
  <c r="AV166" i="10"/>
  <c r="AX166" i="10" s="1"/>
  <c r="AD65" i="10"/>
  <c r="AV335" i="10"/>
  <c r="AW335" i="10" s="1"/>
  <c r="AV360" i="10"/>
  <c r="AX360" i="10" s="1"/>
  <c r="AD358" i="10"/>
  <c r="AD176" i="10"/>
  <c r="AD98" i="10"/>
  <c r="AU252" i="5"/>
  <c r="AV248" i="10"/>
  <c r="AX248" i="10" s="1"/>
  <c r="AD38" i="10"/>
  <c r="AE36" i="10"/>
  <c r="AE125" i="10"/>
  <c r="AD455" i="10"/>
  <c r="AD330" i="10"/>
  <c r="AV361" i="10"/>
  <c r="AW361" i="10" s="1"/>
  <c r="AV38" i="10"/>
  <c r="AX38" i="10" s="1"/>
  <c r="AD282" i="10"/>
  <c r="AD387" i="10"/>
  <c r="AE43" i="10"/>
  <c r="AD526" i="10"/>
  <c r="AD263" i="10"/>
  <c r="AD124" i="10"/>
  <c r="AD188" i="10"/>
  <c r="AD362" i="10"/>
  <c r="AV93" i="10"/>
  <c r="AX93" i="10" s="1"/>
  <c r="AV90" i="10"/>
  <c r="AX90" i="10" s="1"/>
  <c r="AD510" i="10"/>
  <c r="AD309" i="10"/>
  <c r="AD490" i="10"/>
  <c r="AE168" i="10"/>
  <c r="AV452" i="10"/>
  <c r="AW452" i="10" s="1"/>
  <c r="AD501" i="10"/>
  <c r="AE285" i="10"/>
  <c r="AD285" i="10"/>
  <c r="AE399" i="10"/>
  <c r="AD367" i="10"/>
  <c r="AD552" i="10"/>
  <c r="AE425" i="10"/>
  <c r="AD500" i="10"/>
  <c r="AD219" i="10"/>
  <c r="AV258" i="10"/>
  <c r="AW258" i="10" s="1"/>
  <c r="AV436" i="10"/>
  <c r="AW436" i="10" s="1"/>
  <c r="AV513" i="10"/>
  <c r="AW513" i="10" s="1"/>
  <c r="AV501" i="10"/>
  <c r="AX501" i="10" s="1"/>
  <c r="AV552" i="10"/>
  <c r="AX552" i="10" s="1"/>
  <c r="AD143" i="10"/>
  <c r="AV217" i="10"/>
  <c r="AW217" i="10" s="1"/>
  <c r="AE306" i="10"/>
  <c r="AV362" i="10"/>
  <c r="AW362" i="10" s="1"/>
  <c r="AV494" i="10"/>
  <c r="AW494" i="10" s="1"/>
  <c r="AV487" i="10"/>
  <c r="AW487" i="10" s="1"/>
  <c r="AE416" i="10"/>
  <c r="AE367" i="10"/>
  <c r="AV83" i="10"/>
  <c r="AW83" i="10" s="1"/>
  <c r="AE252" i="5"/>
  <c r="AE351" i="10"/>
  <c r="AD433" i="10"/>
  <c r="AD486" i="10"/>
  <c r="AD553" i="10"/>
  <c r="AV24" i="10"/>
  <c r="AX24" i="10" s="1"/>
  <c r="AE73" i="10"/>
  <c r="AV412" i="10"/>
  <c r="AX412" i="10" s="1"/>
  <c r="AD307" i="10"/>
  <c r="AD233" i="10"/>
  <c r="AE364" i="10"/>
  <c r="AD503" i="10"/>
  <c r="AD400" i="10"/>
  <c r="AE546" i="10"/>
  <c r="AV50" i="10"/>
  <c r="AX50" i="10" s="1"/>
  <c r="AV241" i="10"/>
  <c r="AW241" i="10" s="1"/>
  <c r="AV208" i="10"/>
  <c r="AW208" i="10" s="1"/>
  <c r="AD45" i="10"/>
  <c r="AV293" i="10"/>
  <c r="AW293" i="10" s="1"/>
  <c r="AV253" i="10"/>
  <c r="AW253" i="10" s="1"/>
  <c r="AE398" i="10"/>
  <c r="AE427" i="10"/>
  <c r="AD35" i="10"/>
  <c r="AE391" i="10"/>
  <c r="AE26" i="10"/>
  <c r="AE148" i="10"/>
  <c r="AV433" i="10"/>
  <c r="AX433" i="10" s="1"/>
  <c r="AD371" i="10"/>
  <c r="AV486" i="10"/>
  <c r="AW486" i="10" s="1"/>
  <c r="AE276" i="10"/>
  <c r="AD423" i="10"/>
  <c r="AE232" i="10"/>
  <c r="AV67" i="10"/>
  <c r="AW67" i="10" s="1"/>
  <c r="AD364" i="10"/>
  <c r="AE421" i="10"/>
  <c r="AE503" i="10"/>
  <c r="AE331" i="10"/>
  <c r="AE220" i="10"/>
  <c r="AV316" i="10"/>
  <c r="AX316" i="10" s="1"/>
  <c r="AD416" i="10"/>
  <c r="AD252" i="5"/>
  <c r="AD229" i="10"/>
  <c r="AD254" i="10"/>
  <c r="AD46" i="10"/>
  <c r="AE233" i="10"/>
  <c r="AD489" i="10"/>
  <c r="AD270" i="10"/>
  <c r="AE82" i="10"/>
  <c r="AE35" i="10"/>
  <c r="AE45" i="10"/>
  <c r="AE235" i="10"/>
  <c r="AV281" i="10"/>
  <c r="AW281" i="10" s="1"/>
  <c r="AD253" i="10"/>
  <c r="AV236" i="10"/>
  <c r="AW236" i="10" s="1"/>
  <c r="AV351" i="10"/>
  <c r="AW351" i="10" s="1"/>
  <c r="AV26" i="10"/>
  <c r="AW26" i="10" s="1"/>
  <c r="AV29" i="10"/>
  <c r="AW29" i="10" s="1"/>
  <c r="AE229" i="10"/>
  <c r="AV143" i="10"/>
  <c r="AW143" i="10" s="1"/>
  <c r="AE371" i="10"/>
  <c r="AX189" i="10"/>
  <c r="AV284" i="10"/>
  <c r="AX284" i="10" s="1"/>
  <c r="AW310" i="10"/>
  <c r="AD540" i="10"/>
  <c r="AD289" i="10"/>
  <c r="AD412" i="10"/>
  <c r="AD459" i="10"/>
  <c r="AD136" i="10"/>
  <c r="AV276" i="10"/>
  <c r="AW276" i="10" s="1"/>
  <c r="AV254" i="10"/>
  <c r="AX254" i="10" s="1"/>
  <c r="AV423" i="10"/>
  <c r="AW423" i="10" s="1"/>
  <c r="AE526" i="10"/>
  <c r="AV186" i="10"/>
  <c r="AW186" i="10" s="1"/>
  <c r="AE519" i="10"/>
  <c r="AE347" i="10"/>
  <c r="AV439" i="10"/>
  <c r="AX439" i="10" s="1"/>
  <c r="AE66" i="10"/>
  <c r="AD204" i="10"/>
  <c r="AW206" i="10"/>
  <c r="AD343" i="10"/>
  <c r="AE510" i="10"/>
  <c r="AE76" i="10"/>
  <c r="AV331" i="10"/>
  <c r="AW331" i="10" s="1"/>
  <c r="AE309" i="10"/>
  <c r="AD381" i="10"/>
  <c r="AV82" i="10"/>
  <c r="AX82" i="10" s="1"/>
  <c r="AD487" i="10"/>
  <c r="AD59" i="10"/>
  <c r="AD241" i="10"/>
  <c r="AE542" i="10"/>
  <c r="AE293" i="10"/>
  <c r="AE337" i="10"/>
  <c r="AD206" i="10"/>
  <c r="AD533" i="10"/>
  <c r="AV392" i="10"/>
  <c r="AX392" i="10" s="1"/>
  <c r="AE236" i="10"/>
  <c r="AD312" i="10"/>
  <c r="AD95" i="10"/>
  <c r="AV136" i="10"/>
  <c r="AX136" i="10" s="1"/>
  <c r="AV525" i="10"/>
  <c r="AX525" i="10" s="1"/>
  <c r="AE186" i="10"/>
  <c r="AD94" i="10"/>
  <c r="AD42" i="10"/>
  <c r="AD299" i="10"/>
  <c r="AV381" i="10"/>
  <c r="AW381" i="10" s="1"/>
  <c r="AE134" i="10"/>
  <c r="AD155" i="10"/>
  <c r="AD337" i="10"/>
  <c r="AD391" i="10"/>
  <c r="AV246" i="10"/>
  <c r="AW246" i="10" s="1"/>
  <c r="AV533" i="10"/>
  <c r="AX533" i="10" s="1"/>
  <c r="AE39" i="10"/>
  <c r="AD396" i="10"/>
  <c r="AD207" i="10"/>
  <c r="AD135" i="10"/>
  <c r="AE357" i="10"/>
  <c r="AE386" i="10"/>
  <c r="AD349" i="10"/>
  <c r="AE494" i="10"/>
  <c r="AV199" i="10"/>
  <c r="AX199" i="10" s="1"/>
  <c r="AV294" i="10"/>
  <c r="AX294" i="10" s="1"/>
  <c r="AD268" i="10"/>
  <c r="AE206" i="10"/>
  <c r="AD107" i="10"/>
  <c r="AD559" i="10"/>
  <c r="AE95" i="10"/>
  <c r="AV120" i="10"/>
  <c r="AW120" i="10" s="1"/>
  <c r="AE460" i="10"/>
  <c r="AV289" i="10"/>
  <c r="AX289" i="10" s="1"/>
  <c r="AE511" i="10"/>
  <c r="AD421" i="10"/>
  <c r="AV299" i="10"/>
  <c r="AW299" i="10" s="1"/>
  <c r="AE343" i="10"/>
  <c r="AD535" i="10"/>
  <c r="AD427" i="10"/>
  <c r="AV220" i="10"/>
  <c r="AX220" i="10" s="1"/>
  <c r="AE262" i="10"/>
  <c r="AE12" i="10"/>
  <c r="AE25" i="10"/>
  <c r="AE312" i="10"/>
  <c r="AW262" i="10"/>
  <c r="AD398" i="10"/>
  <c r="AE415" i="10"/>
  <c r="AE107" i="10"/>
  <c r="AV148" i="10"/>
  <c r="AW148" i="10" s="1"/>
  <c r="AD210" i="10"/>
  <c r="AV396" i="10"/>
  <c r="AX396" i="10" s="1"/>
  <c r="AV559" i="10"/>
  <c r="AX559" i="10" s="1"/>
  <c r="AE29" i="10"/>
  <c r="AV21" i="10"/>
  <c r="AX21" i="10" s="1"/>
  <c r="AD120" i="10"/>
  <c r="AE390" i="10"/>
  <c r="AE449" i="10"/>
  <c r="AE553" i="10"/>
  <c r="AE24" i="10"/>
  <c r="AV109" i="10"/>
  <c r="AX109" i="10" s="1"/>
  <c r="AV459" i="10"/>
  <c r="AX459" i="10" s="1"/>
  <c r="AV32" i="10"/>
  <c r="AX32" i="10" s="1"/>
  <c r="AE525" i="10"/>
  <c r="AE532" i="10"/>
  <c r="AV308" i="10"/>
  <c r="AW308" i="10" s="1"/>
  <c r="AD537" i="10"/>
  <c r="AD66" i="10"/>
  <c r="AD67" i="10"/>
  <c r="AE204" i="10"/>
  <c r="AD454" i="10"/>
  <c r="AE23" i="10"/>
  <c r="AV298" i="10"/>
  <c r="AX298" i="10" s="1"/>
  <c r="AV489" i="10"/>
  <c r="AX489" i="10" s="1"/>
  <c r="AD448" i="10"/>
  <c r="AE535" i="10"/>
  <c r="AD142" i="10"/>
  <c r="AD529" i="10"/>
  <c r="AD103" i="10"/>
  <c r="AV155" i="10"/>
  <c r="AW155" i="10" s="1"/>
  <c r="AE213" i="10"/>
  <c r="AE191" i="10"/>
  <c r="AV352" i="10"/>
  <c r="AW352" i="10" s="1"/>
  <c r="AD482" i="10"/>
  <c r="AD523" i="10"/>
  <c r="AV235" i="10"/>
  <c r="AW235" i="10" s="1"/>
  <c r="AE518" i="10"/>
  <c r="AV424" i="10"/>
  <c r="AX424" i="10" s="1"/>
  <c r="AD262" i="10"/>
  <c r="AE199" i="10"/>
  <c r="AE294" i="10"/>
  <c r="AD392" i="10"/>
  <c r="AX12" i="10"/>
  <c r="AD25" i="10"/>
  <c r="AD374" i="10"/>
  <c r="AV415" i="10"/>
  <c r="AX415" i="10" s="1"/>
  <c r="AE21" i="10"/>
  <c r="AD449" i="10"/>
  <c r="AE46" i="10"/>
  <c r="AE352" i="10"/>
  <c r="AV431" i="10"/>
  <c r="AW431" i="10" s="1"/>
  <c r="AV144" i="10"/>
  <c r="AW144" i="10" s="1"/>
  <c r="AD310" i="10"/>
  <c r="AV234" i="10"/>
  <c r="AW234" i="10" s="1"/>
  <c r="AV555" i="10"/>
  <c r="AX555" i="10" s="1"/>
  <c r="AD333" i="10"/>
  <c r="AV481" i="10"/>
  <c r="AW481" i="10" s="1"/>
  <c r="AV329" i="10"/>
  <c r="AW329" i="10" s="1"/>
  <c r="AV483" i="10"/>
  <c r="AX483" i="10" s="1"/>
  <c r="AV163" i="10"/>
  <c r="AX163" i="10" s="1"/>
  <c r="AV324" i="10"/>
  <c r="AX324" i="10" s="1"/>
  <c r="AD223" i="10"/>
  <c r="AD402" i="10"/>
  <c r="AD424" i="10"/>
  <c r="AV96" i="10"/>
  <c r="AW96" i="10" s="1"/>
  <c r="AE310" i="10"/>
  <c r="AD12" i="10"/>
  <c r="AW401" i="10"/>
  <c r="AD368" i="10"/>
  <c r="AV450" i="10"/>
  <c r="AX450" i="10" s="1"/>
  <c r="AV106" i="10"/>
  <c r="AW106" i="10" s="1"/>
  <c r="AD517" i="10"/>
  <c r="AD119" i="10"/>
  <c r="AV549" i="10"/>
  <c r="AX549" i="10" s="1"/>
  <c r="AD171" i="10"/>
  <c r="AV339" i="10"/>
  <c r="AX339" i="10" s="1"/>
  <c r="AV332" i="10"/>
  <c r="AX332" i="10" s="1"/>
  <c r="AD527" i="10"/>
  <c r="AD62" i="10"/>
  <c r="AV57" i="10"/>
  <c r="AX57" i="10" s="1"/>
  <c r="AV184" i="10"/>
  <c r="AX184" i="10" s="1"/>
  <c r="AV196" i="10"/>
  <c r="AX196" i="10" s="1"/>
  <c r="AV81" i="10"/>
  <c r="AX81" i="10" s="1"/>
  <c r="AD341" i="10"/>
  <c r="AV528" i="10"/>
  <c r="AX528" i="10" s="1"/>
  <c r="AV379" i="10"/>
  <c r="AW379" i="10" s="1"/>
  <c r="AV414" i="10"/>
  <c r="AW414" i="10" s="1"/>
  <c r="AV496" i="10"/>
  <c r="AX496" i="10" s="1"/>
  <c r="AD243" i="10"/>
  <c r="AE521" i="10"/>
  <c r="AD198" i="10"/>
  <c r="AD327" i="10"/>
  <c r="AD133" i="10"/>
  <c r="AV394" i="10"/>
  <c r="AW394" i="10" s="1"/>
  <c r="AD44" i="10"/>
  <c r="AW192" i="10"/>
  <c r="AV256" i="10"/>
  <c r="AX256" i="10" s="1"/>
  <c r="AD445" i="10"/>
  <c r="AE175" i="10"/>
  <c r="AV214" i="10"/>
  <c r="AX214" i="10" s="1"/>
  <c r="AE493" i="10"/>
  <c r="AE193" i="10"/>
  <c r="AV216" i="10"/>
  <c r="AX216" i="10" s="1"/>
  <c r="AE265" i="10"/>
  <c r="AV158" i="10"/>
  <c r="AW158" i="10" s="1"/>
  <c r="AD52" i="10"/>
  <c r="AE70" i="10"/>
  <c r="AE30" i="10"/>
  <c r="AD106" i="10"/>
  <c r="AV101" i="10"/>
  <c r="AW101" i="10" s="1"/>
  <c r="AD192" i="10"/>
  <c r="AE517" i="10"/>
  <c r="AE401" i="10"/>
  <c r="AV239" i="10"/>
  <c r="AX239" i="10" s="1"/>
  <c r="AE247" i="10"/>
  <c r="AE271" i="10"/>
  <c r="AE366" i="10"/>
  <c r="AD505" i="10"/>
  <c r="AE68" i="10"/>
  <c r="AD175" i="10"/>
  <c r="AE140" i="10"/>
  <c r="AV404" i="10"/>
  <c r="AX404" i="10" s="1"/>
  <c r="AD550" i="10"/>
  <c r="AV345" i="10"/>
  <c r="AW345" i="10" s="1"/>
  <c r="AV70" i="10"/>
  <c r="AW70" i="10" s="1"/>
  <c r="AD451" i="10"/>
  <c r="AD266" i="10"/>
  <c r="AE527" i="10"/>
  <c r="AV407" i="10"/>
  <c r="AW407" i="10" s="1"/>
  <c r="AE515" i="10"/>
  <c r="AV313" i="10"/>
  <c r="AX313" i="10" s="1"/>
  <c r="AE414" i="10"/>
  <c r="AD346" i="10"/>
  <c r="AD267" i="10"/>
  <c r="AD384" i="10"/>
  <c r="AE472" i="10"/>
  <c r="AV183" i="10"/>
  <c r="AX183" i="10" s="1"/>
  <c r="AE277" i="10"/>
  <c r="AD321" i="10"/>
  <c r="AV193" i="10"/>
  <c r="AW193" i="10" s="1"/>
  <c r="AV359" i="10"/>
  <c r="AX359" i="10" s="1"/>
  <c r="AD474" i="10"/>
  <c r="AE360" i="10"/>
  <c r="AE269" i="10"/>
  <c r="AD39" i="10"/>
  <c r="AV161" i="10"/>
  <c r="AW161" i="10" s="1"/>
  <c r="AE333" i="10"/>
  <c r="AV447" i="10"/>
  <c r="AX447" i="10" s="1"/>
  <c r="AE479" i="10"/>
  <c r="AV546" i="10"/>
  <c r="AX546" i="10" s="1"/>
  <c r="AX430" i="10"/>
  <c r="AD169" i="10"/>
  <c r="AE162" i="10"/>
  <c r="AV114" i="10"/>
  <c r="AX114" i="10" s="1"/>
  <c r="AD344" i="10"/>
  <c r="AV49" i="10"/>
  <c r="AW49" i="10" s="1"/>
  <c r="AV238" i="10"/>
  <c r="AX238" i="10" s="1"/>
  <c r="AE7" i="10"/>
  <c r="AD239" i="10"/>
  <c r="AE376" i="10"/>
  <c r="AD549" i="10"/>
  <c r="AD247" i="10"/>
  <c r="AV60" i="10"/>
  <c r="AW60" i="10" s="1"/>
  <c r="AE506" i="10"/>
  <c r="AE57" i="10"/>
  <c r="AD161" i="10"/>
  <c r="AV260" i="10"/>
  <c r="AX260" i="10" s="1"/>
  <c r="AD390" i="10"/>
  <c r="AE407" i="10"/>
  <c r="AD217" i="10"/>
  <c r="AE131" i="10"/>
  <c r="AV467" i="10"/>
  <c r="AX467" i="10" s="1"/>
  <c r="AE146" i="10"/>
  <c r="AV135" i="10"/>
  <c r="AW135" i="10" s="1"/>
  <c r="AV252" i="10"/>
  <c r="AW252" i="10" s="1"/>
  <c r="AD313" i="10"/>
  <c r="AD417" i="10"/>
  <c r="AE109" i="10"/>
  <c r="AV226" i="10"/>
  <c r="AX226" i="10" s="1"/>
  <c r="AD447" i="10"/>
  <c r="AV159" i="10"/>
  <c r="AW159" i="10" s="1"/>
  <c r="AE198" i="10"/>
  <c r="AE384" i="10"/>
  <c r="AD303" i="10"/>
  <c r="AD264" i="10"/>
  <c r="AV479" i="10"/>
  <c r="AW479" i="10" s="1"/>
  <c r="AE481" i="10"/>
  <c r="AV347" i="10"/>
  <c r="AW347" i="10" s="1"/>
  <c r="AD450" i="10"/>
  <c r="AD183" i="10"/>
  <c r="AD329" i="10"/>
  <c r="AV504" i="10"/>
  <c r="AW504" i="10" s="1"/>
  <c r="AW517" i="10"/>
  <c r="AD386" i="10"/>
  <c r="AV349" i="10"/>
  <c r="AW349" i="10" s="1"/>
  <c r="AE445" i="10"/>
  <c r="AE214" i="10"/>
  <c r="AE321" i="10"/>
  <c r="AV400" i="10"/>
  <c r="AX400" i="10" s="1"/>
  <c r="AE50" i="10"/>
  <c r="AE142" i="10"/>
  <c r="AD163" i="10"/>
  <c r="AV140" i="10"/>
  <c r="AX140" i="10" s="1"/>
  <c r="AE524" i="10"/>
  <c r="AE550" i="10"/>
  <c r="AE87" i="10"/>
  <c r="AV103" i="10"/>
  <c r="AX103" i="10" s="1"/>
  <c r="AD345" i="10"/>
  <c r="AE169" i="10"/>
  <c r="AV438" i="10"/>
  <c r="AX438" i="10" s="1"/>
  <c r="AD177" i="10"/>
  <c r="AV191" i="10"/>
  <c r="AX191" i="10" s="1"/>
  <c r="AD359" i="10"/>
  <c r="AD101" i="10"/>
  <c r="AV179" i="10"/>
  <c r="AX179" i="10" s="1"/>
  <c r="AD401" i="10"/>
  <c r="AD49" i="10"/>
  <c r="AV268" i="10"/>
  <c r="AW268" i="10" s="1"/>
  <c r="AE435" i="10"/>
  <c r="AD376" i="10"/>
  <c r="AE418" i="10"/>
  <c r="AD506" i="10"/>
  <c r="AE260" i="10"/>
  <c r="AD131" i="10"/>
  <c r="AE555" i="10"/>
  <c r="AD32" i="10"/>
  <c r="AE307" i="10"/>
  <c r="AD22" i="10"/>
  <c r="AV147" i="10"/>
  <c r="AX147" i="10" s="1"/>
  <c r="AD308" i="10"/>
  <c r="AV545" i="10"/>
  <c r="AW545" i="10" s="1"/>
  <c r="AV232" i="10"/>
  <c r="AX232" i="10" s="1"/>
  <c r="AE40" i="10"/>
  <c r="AE298" i="10"/>
  <c r="AE375" i="10"/>
  <c r="AE529" i="10"/>
  <c r="AD87" i="10"/>
  <c r="AD230" i="10"/>
  <c r="AE482" i="10"/>
  <c r="AV518" i="10"/>
  <c r="AX518" i="10" s="1"/>
  <c r="AS374" i="5"/>
  <c r="AU374" i="5" s="1"/>
  <c r="AD190" i="10"/>
  <c r="AV146" i="10"/>
  <c r="AX146" i="10" s="1"/>
  <c r="AV429" i="10"/>
  <c r="AX429" i="10" s="1"/>
  <c r="AV454" i="10"/>
  <c r="AW454" i="10" s="1"/>
  <c r="AE154" i="10"/>
  <c r="AE20" i="10"/>
  <c r="AD476" i="10"/>
  <c r="AD287" i="10"/>
  <c r="AW162" i="10"/>
  <c r="AV223" i="10"/>
  <c r="AX223" i="10" s="1"/>
  <c r="AD114" i="10"/>
  <c r="AE192" i="10"/>
  <c r="AE480" i="10"/>
  <c r="AD189" i="10"/>
  <c r="AE189" i="10"/>
  <c r="V11" i="10"/>
  <c r="AD238" i="10"/>
  <c r="AV31" i="10"/>
  <c r="AW31" i="10" s="1"/>
  <c r="AV74" i="10"/>
  <c r="AW74" i="10" s="1"/>
  <c r="AV357" i="10"/>
  <c r="AX357" i="10" s="1"/>
  <c r="AV519" i="10"/>
  <c r="AX519" i="10" s="1"/>
  <c r="AV270" i="10"/>
  <c r="AX270" i="10" s="1"/>
  <c r="AD542" i="10"/>
  <c r="AV213" i="10"/>
  <c r="AX213" i="10" s="1"/>
  <c r="AE408" i="10"/>
  <c r="AV210" i="10"/>
  <c r="AW210" i="10" s="1"/>
  <c r="AD273" i="10"/>
  <c r="AD418" i="10"/>
  <c r="AE484" i="10"/>
  <c r="AD31" i="10"/>
  <c r="AE207" i="10"/>
  <c r="AD83" i="10"/>
  <c r="AD234" i="10"/>
  <c r="AD187" i="10"/>
  <c r="AE226" i="10"/>
  <c r="AE282" i="10"/>
  <c r="AE74" i="10"/>
  <c r="AD159" i="10"/>
  <c r="AE22" i="10"/>
  <c r="AE99" i="10"/>
  <c r="AD147" i="10"/>
  <c r="AD306" i="10"/>
  <c r="AV511" i="10"/>
  <c r="AW511" i="10" s="1"/>
  <c r="AD545" i="10"/>
  <c r="AE94" i="10"/>
  <c r="AD439" i="10"/>
  <c r="AV40" i="10"/>
  <c r="AX40" i="10" s="1"/>
  <c r="AV23" i="10"/>
  <c r="AX23" i="10" s="1"/>
  <c r="AV42" i="10"/>
  <c r="AW42" i="10" s="1"/>
  <c r="AV154" i="10"/>
  <c r="AW154" i="10" s="1"/>
  <c r="AE448" i="10"/>
  <c r="AV375" i="10"/>
  <c r="AX375" i="10" s="1"/>
  <c r="AE476" i="10"/>
  <c r="AV524" i="10"/>
  <c r="AW524" i="10" s="1"/>
  <c r="AV287" i="10"/>
  <c r="AW287" i="10" s="1"/>
  <c r="AD134" i="10"/>
  <c r="AE402" i="10"/>
  <c r="AD438" i="10"/>
  <c r="AE177" i="10"/>
  <c r="AV461" i="10"/>
  <c r="AW461" i="10" s="1"/>
  <c r="AV523" i="10"/>
  <c r="AX523" i="10" s="1"/>
  <c r="AE281" i="10"/>
  <c r="AD246" i="10"/>
  <c r="AD431" i="10"/>
  <c r="AV19" i="10"/>
  <c r="AX19" i="10" s="1"/>
  <c r="AD430" i="10"/>
  <c r="AE430" i="10"/>
  <c r="AV344" i="10"/>
  <c r="AW344" i="10" s="1"/>
  <c r="AD96" i="10"/>
  <c r="AC11" i="10"/>
  <c r="AE11" i="10" s="1"/>
  <c r="AE374" i="10"/>
  <c r="AD408" i="10"/>
  <c r="AE273" i="10"/>
  <c r="AD484" i="10"/>
  <c r="AV460" i="10"/>
  <c r="AX460" i="10" s="1"/>
  <c r="AV187" i="10"/>
  <c r="AX187" i="10" s="1"/>
  <c r="AD532" i="10"/>
  <c r="AD99" i="10"/>
  <c r="AE537" i="10"/>
  <c r="AD483" i="10"/>
  <c r="AD76" i="10"/>
  <c r="AD324" i="10"/>
  <c r="AE461" i="10"/>
  <c r="AV237" i="10"/>
  <c r="AX237" i="10" s="1"/>
  <c r="AE237" i="10"/>
  <c r="AE19" i="10"/>
  <c r="AD162" i="10"/>
  <c r="AD144" i="10"/>
  <c r="AA11" i="10"/>
  <c r="AV190" i="10"/>
  <c r="AX190" i="10" s="1"/>
  <c r="AV84" i="10"/>
  <c r="AX84" i="10" s="1"/>
  <c r="AE311" i="10"/>
  <c r="AE368" i="10"/>
  <c r="AE417" i="10"/>
  <c r="AE457" i="10"/>
  <c r="AV505" i="10"/>
  <c r="AW505" i="10" s="1"/>
  <c r="AV327" i="10"/>
  <c r="AX327" i="10" s="1"/>
  <c r="AD97" i="10"/>
  <c r="AV264" i="10"/>
  <c r="AX264" i="10" s="1"/>
  <c r="AD394" i="10"/>
  <c r="AV201" i="10"/>
  <c r="AX201" i="10" s="1"/>
  <c r="AV91" i="10"/>
  <c r="AX91" i="10" s="1"/>
  <c r="AD20" i="10"/>
  <c r="AE404" i="10"/>
  <c r="AV554" i="10"/>
  <c r="AX554" i="10" s="1"/>
  <c r="AD409" i="10"/>
  <c r="AB11" i="10"/>
  <c r="AO11" i="10"/>
  <c r="AE10" i="10"/>
  <c r="AV311" i="10"/>
  <c r="AX311" i="10" s="1"/>
  <c r="AV267" i="10"/>
  <c r="AW267" i="10" s="1"/>
  <c r="AE429" i="10"/>
  <c r="AD201" i="10"/>
  <c r="AD504" i="10"/>
  <c r="AD91" i="10"/>
  <c r="AD554" i="10"/>
  <c r="AV409" i="10"/>
  <c r="AW409" i="10" s="1"/>
  <c r="AD179" i="10"/>
  <c r="AS11" i="10"/>
  <c r="AE240" i="10"/>
  <c r="AV521" i="10"/>
  <c r="AX521" i="10" s="1"/>
  <c r="AD472" i="10"/>
  <c r="AD370" i="10"/>
  <c r="AE453" i="10"/>
  <c r="AV255" i="10"/>
  <c r="AW255" i="10" s="1"/>
  <c r="AE149" i="10"/>
  <c r="AE27" i="10"/>
  <c r="AD397" i="10"/>
  <c r="AE470" i="10"/>
  <c r="AE508" i="10"/>
  <c r="AV149" i="10"/>
  <c r="AW149" i="10" s="1"/>
  <c r="AV397" i="10"/>
  <c r="AX397" i="10" s="1"/>
  <c r="AV470" i="10"/>
  <c r="AX470" i="10" s="1"/>
  <c r="AE71" i="10"/>
  <c r="AV508" i="10"/>
  <c r="AX508" i="10" s="1"/>
  <c r="AR11" i="10"/>
  <c r="AS329" i="5"/>
  <c r="AT329" i="5" s="1"/>
  <c r="AS52" i="5"/>
  <c r="AU52" i="5" s="1"/>
  <c r="AD52" i="5"/>
  <c r="AD266" i="5"/>
  <c r="AS481" i="5"/>
  <c r="AT481" i="5" s="1"/>
  <c r="AS274" i="5"/>
  <c r="AU274" i="5" s="1"/>
  <c r="AD205" i="5"/>
  <c r="AD115" i="5"/>
  <c r="AS205" i="5"/>
  <c r="AU205" i="5" s="1"/>
  <c r="AE274" i="5"/>
  <c r="AD481" i="5"/>
  <c r="AS115" i="5"/>
  <c r="AT115" i="5" s="1"/>
  <c r="AS440" i="5"/>
  <c r="AT440" i="5" s="1"/>
  <c r="AS204" i="5"/>
  <c r="AU204" i="5" s="1"/>
  <c r="AS470" i="5"/>
  <c r="AT470" i="5" s="1"/>
  <c r="AS288" i="5"/>
  <c r="AU288" i="5" s="1"/>
  <c r="AE288" i="5"/>
  <c r="AS229" i="5"/>
  <c r="AU229" i="5" s="1"/>
  <c r="AS22" i="5"/>
  <c r="AU22" i="5" s="1"/>
  <c r="AS19" i="5"/>
  <c r="AT19" i="5" s="1"/>
  <c r="AS65" i="5"/>
  <c r="AU65" i="5" s="1"/>
  <c r="AE229" i="5"/>
  <c r="AU216" i="5"/>
  <c r="AD540" i="5"/>
  <c r="AE240" i="5"/>
  <c r="AE216" i="5"/>
  <c r="AS540" i="5"/>
  <c r="AT540" i="5" s="1"/>
  <c r="AD216" i="5"/>
  <c r="AS30" i="5"/>
  <c r="AT30" i="5" s="1"/>
  <c r="AE388" i="5"/>
  <c r="AS515" i="5"/>
  <c r="AT515" i="5" s="1"/>
  <c r="AE470" i="5"/>
  <c r="AD194" i="5"/>
  <c r="AS42" i="5"/>
  <c r="AU42" i="5" s="1"/>
  <c r="AD411" i="5"/>
  <c r="AS95" i="5"/>
  <c r="AT95" i="5" s="1"/>
  <c r="AS397" i="5"/>
  <c r="AT397" i="5" s="1"/>
  <c r="AE440" i="5"/>
  <c r="AE397" i="5"/>
  <c r="AS411" i="5"/>
  <c r="AU411" i="5" s="1"/>
  <c r="AU422" i="5"/>
  <c r="AS306" i="5"/>
  <c r="AU306" i="5" s="1"/>
  <c r="AD204" i="5"/>
  <c r="AE30" i="5"/>
  <c r="AD422" i="5"/>
  <c r="AE422" i="5"/>
  <c r="AE9" i="10"/>
  <c r="AD306" i="5"/>
  <c r="AS138" i="5"/>
  <c r="AT138" i="5" s="1"/>
  <c r="AE504" i="5"/>
  <c r="AD504" i="5"/>
  <c r="AD434" i="5"/>
  <c r="AD347" i="5"/>
  <c r="AP11" i="5"/>
  <c r="AR11" i="5" s="1"/>
  <c r="AE522" i="5"/>
  <c r="AT366" i="5"/>
  <c r="AD346" i="5"/>
  <c r="AD246" i="5"/>
  <c r="AE393" i="5"/>
  <c r="AE190" i="5"/>
  <c r="AD42" i="5"/>
  <c r="AD366" i="5"/>
  <c r="AU434" i="5"/>
  <c r="AS266" i="5"/>
  <c r="AT266" i="5" s="1"/>
  <c r="AD483" i="5"/>
  <c r="AS525" i="5"/>
  <c r="AT525" i="5" s="1"/>
  <c r="AE515" i="5"/>
  <c r="AT160" i="5"/>
  <c r="AS437" i="5"/>
  <c r="AT437" i="5" s="1"/>
  <c r="AS240" i="5"/>
  <c r="AU240" i="5" s="1"/>
  <c r="AD525" i="5"/>
  <c r="AD95" i="5"/>
  <c r="AT117" i="5"/>
  <c r="AS194" i="5"/>
  <c r="AU194" i="5" s="1"/>
  <c r="AD193" i="5"/>
  <c r="AE366" i="5"/>
  <c r="AE160" i="5"/>
  <c r="AD281" i="5"/>
  <c r="AN11" i="5"/>
  <c r="AD107" i="5"/>
  <c r="AE117" i="5"/>
  <c r="AD117" i="5"/>
  <c r="AS549" i="5"/>
  <c r="AU549" i="5" s="1"/>
  <c r="AD19" i="5"/>
  <c r="AU504" i="5"/>
  <c r="AD160" i="5"/>
  <c r="AS347" i="5"/>
  <c r="AT347" i="5" s="1"/>
  <c r="AV9" i="10"/>
  <c r="AW9" i="10" s="1"/>
  <c r="AS73" i="5"/>
  <c r="AT73" i="5" s="1"/>
  <c r="AS522" i="5"/>
  <c r="AU522" i="5" s="1"/>
  <c r="AE408" i="5"/>
  <c r="AD492" i="5"/>
  <c r="AD22" i="5"/>
  <c r="AS287" i="5"/>
  <c r="AT287" i="5" s="1"/>
  <c r="AE287" i="5"/>
  <c r="AE434" i="5"/>
  <c r="AE363" i="5"/>
  <c r="AE189" i="5"/>
  <c r="AS363" i="5"/>
  <c r="AU363" i="5" s="1"/>
  <c r="AS351" i="5"/>
  <c r="AT351" i="5" s="1"/>
  <c r="AS189" i="5"/>
  <c r="AT189" i="5" s="1"/>
  <c r="AD213" i="5"/>
  <c r="AS89" i="5"/>
  <c r="AU89" i="5" s="1"/>
  <c r="AD408" i="5"/>
  <c r="AD73" i="5"/>
  <c r="AE147" i="5"/>
  <c r="AS193" i="5"/>
  <c r="AU193" i="5" s="1"/>
  <c r="AS483" i="5"/>
  <c r="AT483" i="5" s="1"/>
  <c r="AD393" i="5"/>
  <c r="AS342" i="5"/>
  <c r="AT342" i="5" s="1"/>
  <c r="AT9" i="10"/>
  <c r="AU9" i="10"/>
  <c r="AW10" i="10"/>
  <c r="AX10" i="10"/>
  <c r="AT408" i="5"/>
  <c r="AD147" i="5"/>
  <c r="AE33" i="5"/>
  <c r="AU33" i="5"/>
  <c r="AE519" i="5"/>
  <c r="AE403" i="5"/>
  <c r="AE89" i="5"/>
  <c r="AS403" i="5"/>
  <c r="AT403" i="5" s="1"/>
  <c r="AE342" i="5"/>
  <c r="AE437" i="5"/>
  <c r="AD33" i="5"/>
  <c r="AS107" i="5"/>
  <c r="AU107" i="5" s="1"/>
  <c r="AE83" i="5"/>
  <c r="AS83" i="5"/>
  <c r="AT83" i="5" s="1"/>
  <c r="AE281" i="5"/>
  <c r="AS492" i="5"/>
  <c r="AT492" i="5" s="1"/>
  <c r="AT147" i="5"/>
  <c r="AT213" i="5"/>
  <c r="AW552" i="10"/>
  <c r="AX278" i="10"/>
  <c r="AT281" i="5"/>
  <c r="AT188" i="5"/>
  <c r="AS530" i="5"/>
  <c r="AT530" i="5" s="1"/>
  <c r="AU70" i="5"/>
  <c r="AS190" i="5"/>
  <c r="AU190" i="5" s="1"/>
  <c r="AE65" i="5"/>
  <c r="AD70" i="5"/>
  <c r="AS346" i="5"/>
  <c r="AT346" i="5" s="1"/>
  <c r="AS203" i="5"/>
  <c r="AU203" i="5" s="1"/>
  <c r="AS394" i="5"/>
  <c r="AU394" i="5" s="1"/>
  <c r="AD400" i="5"/>
  <c r="AE203" i="5"/>
  <c r="AE530" i="5"/>
  <c r="AE279" i="5"/>
  <c r="AS388" i="5"/>
  <c r="AU388" i="5" s="1"/>
  <c r="V11" i="5"/>
  <c r="AE188" i="5"/>
  <c r="AE207" i="5"/>
  <c r="AT279" i="5"/>
  <c r="AD279" i="5"/>
  <c r="AS400" i="5"/>
  <c r="AU400" i="5" s="1"/>
  <c r="AD188" i="5"/>
  <c r="AE70" i="5"/>
  <c r="AD207" i="5"/>
  <c r="AD311" i="5"/>
  <c r="AD170" i="5"/>
  <c r="AE213" i="5"/>
  <c r="AE100" i="5"/>
  <c r="AS519" i="5"/>
  <c r="AT519" i="5" s="1"/>
  <c r="AE138" i="5"/>
  <c r="AD329" i="5"/>
  <c r="AW312" i="10"/>
  <c r="AX312" i="10"/>
  <c r="AX527" i="10"/>
  <c r="AW527" i="10"/>
  <c r="AW122" i="10"/>
  <c r="AX122" i="10"/>
  <c r="AW371" i="10"/>
  <c r="AX371" i="10"/>
  <c r="AW198" i="10"/>
  <c r="AX198" i="10"/>
  <c r="AX472" i="10"/>
  <c r="AW472" i="10"/>
  <c r="AX46" i="10"/>
  <c r="AW46" i="10"/>
  <c r="AX306" i="10"/>
  <c r="AW306" i="10"/>
  <c r="AW204" i="10"/>
  <c r="AX204" i="10"/>
  <c r="AW421" i="10"/>
  <c r="AX421" i="10"/>
  <c r="AW142" i="10"/>
  <c r="AX142" i="10"/>
  <c r="AX476" i="10"/>
  <c r="AW476" i="10"/>
  <c r="AW498" i="10"/>
  <c r="AX498" i="10"/>
  <c r="AX79" i="10"/>
  <c r="AW79" i="10"/>
  <c r="AW383" i="10"/>
  <c r="AX383" i="10"/>
  <c r="AD60" i="5"/>
  <c r="AX443" i="10"/>
  <c r="AW443" i="10"/>
  <c r="AW56" i="10"/>
  <c r="AX56" i="10"/>
  <c r="AX247" i="10"/>
  <c r="AW247" i="10"/>
  <c r="AW54" i="10"/>
  <c r="AX54" i="10"/>
  <c r="AW224" i="10"/>
  <c r="AX224" i="10"/>
  <c r="AX506" i="10"/>
  <c r="AW506" i="10"/>
  <c r="AX207" i="10"/>
  <c r="AW207" i="10"/>
  <c r="AW368" i="10"/>
  <c r="AX368" i="10"/>
  <c r="AX449" i="10"/>
  <c r="AW449" i="10"/>
  <c r="AX117" i="10"/>
  <c r="AW117" i="10"/>
  <c r="AX131" i="10"/>
  <c r="AW131" i="10"/>
  <c r="AX108" i="10"/>
  <c r="AW108" i="10"/>
  <c r="AX297" i="10"/>
  <c r="AW297" i="10"/>
  <c r="AW417" i="10"/>
  <c r="AX417" i="10"/>
  <c r="AX259" i="10"/>
  <c r="AW259" i="10"/>
  <c r="AW387" i="10"/>
  <c r="AX387" i="10"/>
  <c r="AX478" i="10"/>
  <c r="AW478" i="10"/>
  <c r="AW520" i="10"/>
  <c r="AX520" i="10"/>
  <c r="AX124" i="10"/>
  <c r="AW124" i="10"/>
  <c r="AX370" i="10"/>
  <c r="AW370" i="10"/>
  <c r="AX547" i="10"/>
  <c r="AW547" i="10"/>
  <c r="AW92" i="10"/>
  <c r="AX92" i="10"/>
  <c r="AX386" i="10"/>
  <c r="AW386" i="10"/>
  <c r="AW364" i="10"/>
  <c r="AX364" i="10"/>
  <c r="AX428" i="10"/>
  <c r="AW428" i="10"/>
  <c r="AX445" i="10"/>
  <c r="AW445" i="10"/>
  <c r="AX503" i="10"/>
  <c r="AW503" i="10"/>
  <c r="AX129" i="10"/>
  <c r="AW129" i="10"/>
  <c r="AX152" i="10"/>
  <c r="AW152" i="10"/>
  <c r="AW493" i="10"/>
  <c r="AX493" i="10"/>
  <c r="AW78" i="10"/>
  <c r="AX78" i="10"/>
  <c r="AW280" i="10"/>
  <c r="AX280" i="10"/>
  <c r="AX309" i="10"/>
  <c r="AW309" i="10"/>
  <c r="AX551" i="10"/>
  <c r="AW551" i="10"/>
  <c r="AW52" i="10"/>
  <c r="AX52" i="10"/>
  <c r="AX169" i="10"/>
  <c r="AW169" i="10"/>
  <c r="AW45" i="10"/>
  <c r="AX45" i="10"/>
  <c r="AX127" i="10"/>
  <c r="AW127" i="10"/>
  <c r="AX416" i="10"/>
  <c r="AW416" i="10"/>
  <c r="AX115" i="10"/>
  <c r="AW115" i="10"/>
  <c r="AX426" i="10"/>
  <c r="AW426" i="10"/>
  <c r="AX398" i="10"/>
  <c r="AW398" i="10"/>
  <c r="AW62" i="10"/>
  <c r="AX62" i="10"/>
  <c r="AX229" i="10"/>
  <c r="AW229" i="10"/>
  <c r="AX245" i="10"/>
  <c r="AW245" i="10"/>
  <c r="AX390" i="10"/>
  <c r="AW390" i="10"/>
  <c r="AW172" i="10"/>
  <c r="AX172" i="10"/>
  <c r="AW553" i="10"/>
  <c r="AX553" i="10"/>
  <c r="AX282" i="10"/>
  <c r="AW282" i="10"/>
  <c r="AX22" i="10"/>
  <c r="AW22" i="10"/>
  <c r="AX295" i="10"/>
  <c r="AW295" i="10"/>
  <c r="AX510" i="10"/>
  <c r="AW510" i="10"/>
  <c r="AX529" i="10"/>
  <c r="AW529" i="10"/>
  <c r="AW542" i="10"/>
  <c r="AX542" i="10"/>
  <c r="AW230" i="10"/>
  <c r="AX230" i="10"/>
  <c r="AD176" i="5"/>
  <c r="AE423" i="5"/>
  <c r="AX25" i="10"/>
  <c r="AW25" i="10"/>
  <c r="AX374" i="10"/>
  <c r="AW374" i="10"/>
  <c r="AX408" i="10"/>
  <c r="AW408" i="10"/>
  <c r="AX157" i="10"/>
  <c r="AW157" i="10"/>
  <c r="AX279" i="10"/>
  <c r="AW279" i="10"/>
  <c r="AX442" i="10"/>
  <c r="AW442" i="10"/>
  <c r="AX95" i="10"/>
  <c r="AW95" i="10"/>
  <c r="AX173" i="10"/>
  <c r="AW173" i="10"/>
  <c r="AW170" i="10"/>
  <c r="AX170" i="10"/>
  <c r="AX531" i="10"/>
  <c r="AW531" i="10"/>
  <c r="AX355" i="10"/>
  <c r="AW355" i="10"/>
  <c r="AW348" i="10"/>
  <c r="AX348" i="10"/>
  <c r="AX333" i="10"/>
  <c r="AW333" i="10"/>
  <c r="AX77" i="10"/>
  <c r="AW77" i="10"/>
  <c r="AX307" i="10"/>
  <c r="AW307" i="10"/>
  <c r="AX384" i="10"/>
  <c r="AW384" i="10"/>
  <c r="AW532" i="10"/>
  <c r="AX532" i="10"/>
  <c r="AX233" i="10"/>
  <c r="AW233" i="10"/>
  <c r="AX249" i="10"/>
  <c r="AW249" i="10"/>
  <c r="AW516" i="10"/>
  <c r="AX516" i="10"/>
  <c r="AW180" i="10"/>
  <c r="AX180" i="10"/>
  <c r="AX111" i="10"/>
  <c r="AW111" i="10"/>
  <c r="AX277" i="10"/>
  <c r="AW277" i="10"/>
  <c r="AX322" i="10"/>
  <c r="AW322" i="10"/>
  <c r="AW427" i="10"/>
  <c r="AX427" i="10"/>
  <c r="AW134" i="10"/>
  <c r="AX134" i="10"/>
  <c r="AW194" i="10"/>
  <c r="AX194" i="10"/>
  <c r="AX257" i="10"/>
  <c r="AW257" i="10"/>
  <c r="AX402" i="10"/>
  <c r="AW402" i="10"/>
  <c r="AW30" i="10"/>
  <c r="AX30" i="10"/>
  <c r="AX177" i="10"/>
  <c r="AW177" i="10"/>
  <c r="AX337" i="10"/>
  <c r="AW337" i="10"/>
  <c r="AW391" i="10"/>
  <c r="AX391" i="10"/>
  <c r="AX317" i="10"/>
  <c r="AW317" i="10"/>
  <c r="AX366" i="10"/>
  <c r="AW366" i="10"/>
  <c r="AW395" i="10"/>
  <c r="AX395" i="10"/>
  <c r="AW526" i="10"/>
  <c r="AX526" i="10"/>
  <c r="AX99" i="10"/>
  <c r="AW99" i="10"/>
  <c r="AX231" i="10"/>
  <c r="AW231" i="10"/>
  <c r="AX437" i="10"/>
  <c r="AW437" i="10"/>
  <c r="AW76" i="10"/>
  <c r="AX76" i="10"/>
  <c r="AX153" i="10"/>
  <c r="AW153" i="10"/>
  <c r="AX35" i="10"/>
  <c r="AW35" i="10"/>
  <c r="AX211" i="10"/>
  <c r="AW211" i="10"/>
  <c r="AW380" i="10"/>
  <c r="AX380" i="10"/>
  <c r="AW168" i="10"/>
  <c r="AX168" i="10"/>
  <c r="AX65" i="10"/>
  <c r="AW65" i="10"/>
  <c r="AE529" i="5"/>
  <c r="AE215" i="5"/>
  <c r="AD215" i="5"/>
  <c r="AS482" i="5"/>
  <c r="AU482" i="5" s="1"/>
  <c r="AD305" i="5"/>
  <c r="AE305" i="5"/>
  <c r="AT305" i="5"/>
  <c r="AS90" i="5"/>
  <c r="AT90" i="5" s="1"/>
  <c r="AD90" i="5"/>
  <c r="AX39" i="10"/>
  <c r="AW39" i="10"/>
  <c r="AW376" i="10"/>
  <c r="AX376" i="10"/>
  <c r="AX107" i="10"/>
  <c r="AW107" i="10"/>
  <c r="AX273" i="10"/>
  <c r="AW273" i="10"/>
  <c r="AX418" i="10"/>
  <c r="AW418" i="10"/>
  <c r="AX484" i="10"/>
  <c r="AW484" i="10"/>
  <c r="AX543" i="10"/>
  <c r="AW543" i="10"/>
  <c r="AX541" i="10"/>
  <c r="AW541" i="10"/>
  <c r="AW34" i="10"/>
  <c r="AX34" i="10"/>
  <c r="AX420" i="10"/>
  <c r="AW420" i="10"/>
  <c r="AX113" i="10"/>
  <c r="AW113" i="10"/>
  <c r="AX303" i="10"/>
  <c r="AW303" i="10"/>
  <c r="AW94" i="10"/>
  <c r="AX94" i="10"/>
  <c r="AX274" i="10"/>
  <c r="AW274" i="10"/>
  <c r="AX537" i="10"/>
  <c r="AW537" i="10"/>
  <c r="AX66" i="10"/>
  <c r="AW66" i="10"/>
  <c r="AX125" i="10"/>
  <c r="AW125" i="10"/>
  <c r="AX456" i="10"/>
  <c r="AW456" i="10"/>
  <c r="AX305" i="10"/>
  <c r="AW305" i="10"/>
  <c r="AX175" i="10"/>
  <c r="AW175" i="10"/>
  <c r="AX343" i="10"/>
  <c r="AW343" i="10"/>
  <c r="AX321" i="10"/>
  <c r="AW321" i="10"/>
  <c r="AW448" i="10"/>
  <c r="AX448" i="10"/>
  <c r="AX535" i="10"/>
  <c r="AW535" i="10"/>
  <c r="AX20" i="10"/>
  <c r="AW20" i="10"/>
  <c r="AX550" i="10"/>
  <c r="AW550" i="10"/>
  <c r="AX87" i="10"/>
  <c r="AW87" i="10"/>
  <c r="AX41" i="10"/>
  <c r="AW41" i="10"/>
  <c r="AX488" i="10"/>
  <c r="AW488" i="10"/>
  <c r="AX482" i="10"/>
  <c r="AW482" i="10"/>
  <c r="AW514" i="10"/>
  <c r="AX514" i="10"/>
  <c r="AT373" i="5"/>
  <c r="AT207" i="5"/>
  <c r="AU100" i="5"/>
  <c r="AT393" i="5"/>
  <c r="AT256" i="5"/>
  <c r="AU253" i="5"/>
  <c r="AU337" i="5"/>
  <c r="AS176" i="5"/>
  <c r="AT176" i="5" s="1"/>
  <c r="AD529" i="5"/>
  <c r="AD100" i="5"/>
  <c r="AE60" i="5"/>
  <c r="AD94" i="5"/>
  <c r="AS94" i="5"/>
  <c r="AT94" i="5" s="1"/>
  <c r="AE360" i="5"/>
  <c r="AS170" i="5"/>
  <c r="AT170" i="5" s="1"/>
  <c r="AS257" i="5"/>
  <c r="AU257" i="5" s="1"/>
  <c r="AE61" i="5"/>
  <c r="AD410" i="5"/>
  <c r="AD373" i="5"/>
  <c r="AD326" i="5"/>
  <c r="AE355" i="5"/>
  <c r="AS355" i="5"/>
  <c r="AT355" i="5" s="1"/>
  <c r="AD421" i="5"/>
  <c r="AS292" i="5"/>
  <c r="AU292" i="5" s="1"/>
  <c r="AS545" i="5"/>
  <c r="AT545" i="5" s="1"/>
  <c r="AE256" i="5"/>
  <c r="AD383" i="5"/>
  <c r="AE394" i="5"/>
  <c r="AD162" i="5"/>
  <c r="AU162" i="5"/>
  <c r="AE86" i="5"/>
  <c r="AS421" i="5"/>
  <c r="AT421" i="5" s="1"/>
  <c r="AD47" i="5"/>
  <c r="AD549" i="5"/>
  <c r="AS47" i="5"/>
  <c r="AT47" i="5" s="1"/>
  <c r="AD239" i="5"/>
  <c r="AS239" i="5"/>
  <c r="AU239" i="5" s="1"/>
  <c r="AD201" i="5"/>
  <c r="AE201" i="5"/>
  <c r="AS410" i="5"/>
  <c r="AT410" i="5" s="1"/>
  <c r="AD500" i="5"/>
  <c r="AE311" i="5"/>
  <c r="AU201" i="5"/>
  <c r="AE109" i="5"/>
  <c r="AT109" i="5"/>
  <c r="AE541" i="5"/>
  <c r="AU541" i="5"/>
  <c r="AE520" i="5"/>
  <c r="AU520" i="5"/>
  <c r="AD541" i="5"/>
  <c r="AD296" i="5"/>
  <c r="AS246" i="5"/>
  <c r="AU246" i="5" s="1"/>
  <c r="AE351" i="5"/>
  <c r="AE292" i="5"/>
  <c r="AS296" i="5"/>
  <c r="AT296" i="5" s="1"/>
  <c r="AS503" i="5"/>
  <c r="AT503" i="5" s="1"/>
  <c r="AS196" i="5"/>
  <c r="AU196" i="5" s="1"/>
  <c r="AS383" i="5"/>
  <c r="AU383" i="5" s="1"/>
  <c r="AD109" i="5"/>
  <c r="AE227" i="5"/>
  <c r="AS154" i="5"/>
  <c r="AT154" i="5" s="1"/>
  <c r="AD196" i="5"/>
  <c r="AD520" i="5"/>
  <c r="AT311" i="5"/>
  <c r="AS67" i="5"/>
  <c r="AU67" i="5" s="1"/>
  <c r="AS423" i="5"/>
  <c r="AT423" i="5" s="1"/>
  <c r="AS86" i="5"/>
  <c r="AU86" i="5" s="1"/>
  <c r="AE257" i="5"/>
  <c r="AD61" i="5"/>
  <c r="AE337" i="5"/>
  <c r="AD337" i="5"/>
  <c r="AD253" i="5"/>
  <c r="AE460" i="5"/>
  <c r="AS326" i="5"/>
  <c r="AT326" i="5" s="1"/>
  <c r="AS127" i="5"/>
  <c r="AT127" i="5" s="1"/>
  <c r="AE373" i="5"/>
  <c r="AE472" i="5"/>
  <c r="AD256" i="5"/>
  <c r="AU360" i="5"/>
  <c r="AD27" i="5"/>
  <c r="AB11" i="5"/>
  <c r="AT215" i="5"/>
  <c r="AD67" i="5"/>
  <c r="AD432" i="5"/>
  <c r="AE162" i="5"/>
  <c r="AE253" i="5"/>
  <c r="AT61" i="5"/>
  <c r="AD127" i="5"/>
  <c r="AE496" i="5"/>
  <c r="AD482" i="5"/>
  <c r="AS496" i="5"/>
  <c r="AT496" i="5" s="1"/>
  <c r="AD360" i="5"/>
  <c r="AE536" i="5"/>
  <c r="AT227" i="5"/>
  <c r="AS191" i="5"/>
  <c r="AU191" i="5" s="1"/>
  <c r="AS114" i="5"/>
  <c r="AT114" i="5" s="1"/>
  <c r="AD227" i="5"/>
  <c r="AS536" i="5"/>
  <c r="AT536" i="5" s="1"/>
  <c r="AT54" i="5"/>
  <c r="AD335" i="5"/>
  <c r="AE544" i="5"/>
  <c r="AE480" i="5"/>
  <c r="AS156" i="5"/>
  <c r="AT156" i="5" s="1"/>
  <c r="AE114" i="5"/>
  <c r="AU51" i="5"/>
  <c r="AT280" i="5"/>
  <c r="AD319" i="5"/>
  <c r="AD219" i="5"/>
  <c r="AS380" i="5"/>
  <c r="AU380" i="5" s="1"/>
  <c r="AU484" i="5"/>
  <c r="AD179" i="5"/>
  <c r="AE420" i="5"/>
  <c r="AE111" i="5"/>
  <c r="AS354" i="5"/>
  <c r="AU354" i="5" s="1"/>
  <c r="AE128" i="5"/>
  <c r="AS226" i="5"/>
  <c r="AT226" i="5" s="1"/>
  <c r="AS271" i="5"/>
  <c r="AT271" i="5" s="1"/>
  <c r="AD268" i="5"/>
  <c r="AD442" i="5"/>
  <c r="AD484" i="5"/>
  <c r="AE183" i="5"/>
  <c r="AE545" i="5"/>
  <c r="AE118" i="5"/>
  <c r="AE435" i="5"/>
  <c r="AT413" i="5"/>
  <c r="AE200" i="5"/>
  <c r="AS111" i="5"/>
  <c r="AU111" i="5" s="1"/>
  <c r="AD395" i="5"/>
  <c r="AD259" i="5"/>
  <c r="AE395" i="5"/>
  <c r="AT200" i="5"/>
  <c r="AT217" i="5"/>
  <c r="AE210" i="5"/>
  <c r="AE212" i="5"/>
  <c r="AS532" i="5"/>
  <c r="AT532" i="5" s="1"/>
  <c r="AS546" i="5"/>
  <c r="AU546" i="5" s="1"/>
  <c r="AE442" i="5"/>
  <c r="AE226" i="5"/>
  <c r="AU502" i="5"/>
  <c r="AS210" i="5"/>
  <c r="AU210" i="5" s="1"/>
  <c r="AD183" i="5"/>
  <c r="AS39" i="5"/>
  <c r="AT39" i="5" s="1"/>
  <c r="AS75" i="5"/>
  <c r="AU75" i="5" s="1"/>
  <c r="AD51" i="5"/>
  <c r="AE280" i="5"/>
  <c r="AE179" i="5"/>
  <c r="AD110" i="5"/>
  <c r="AD137" i="5"/>
  <c r="AU128" i="5"/>
  <c r="AS336" i="5"/>
  <c r="AT336" i="5" s="1"/>
  <c r="AE547" i="5"/>
  <c r="AT448" i="5"/>
  <c r="AU49" i="5"/>
  <c r="AD280" i="5"/>
  <c r="AS544" i="5"/>
  <c r="AU544" i="5" s="1"/>
  <c r="AE502" i="5"/>
  <c r="AD217" i="5"/>
  <c r="AD113" i="5"/>
  <c r="AS444" i="5"/>
  <c r="AT444" i="5" s="1"/>
  <c r="AE381" i="5"/>
  <c r="AS212" i="5"/>
  <c r="AU212" i="5" s="1"/>
  <c r="AS435" i="5"/>
  <c r="AU435" i="5" s="1"/>
  <c r="AD156" i="5"/>
  <c r="AD149" i="5"/>
  <c r="AE71" i="5"/>
  <c r="AE532" i="5"/>
  <c r="AE546" i="5"/>
  <c r="AD200" i="5"/>
  <c r="AS235" i="5"/>
  <c r="AT235" i="5" s="1"/>
  <c r="AD191" i="5"/>
  <c r="AE137" i="5"/>
  <c r="AS259" i="5"/>
  <c r="AT259" i="5" s="1"/>
  <c r="AE336" i="5"/>
  <c r="AE484" i="5"/>
  <c r="AD514" i="5"/>
  <c r="AS514" i="5"/>
  <c r="AU514" i="5" s="1"/>
  <c r="AE533" i="5"/>
  <c r="AS426" i="5"/>
  <c r="AT426" i="5" s="1"/>
  <c r="AD241" i="5"/>
  <c r="AS378" i="5"/>
  <c r="AU378" i="5" s="1"/>
  <c r="AE97" i="5"/>
  <c r="AD244" i="5"/>
  <c r="AD136" i="5"/>
  <c r="AS35" i="5"/>
  <c r="AT35" i="5" s="1"/>
  <c r="AE136" i="5"/>
  <c r="AD66" i="5"/>
  <c r="AE102" i="5"/>
  <c r="AS300" i="5"/>
  <c r="AT300" i="5" s="1"/>
  <c r="AE35" i="5"/>
  <c r="AT66" i="5"/>
  <c r="AE66" i="5"/>
  <c r="AU206" i="5"/>
  <c r="AT364" i="5"/>
  <c r="AD503" i="5"/>
  <c r="AS244" i="5"/>
  <c r="AT244" i="5" s="1"/>
  <c r="AD177" i="5"/>
  <c r="AT341" i="5"/>
  <c r="AE241" i="5"/>
  <c r="AD369" i="5"/>
  <c r="AE293" i="5"/>
  <c r="AE177" i="5"/>
  <c r="AE69" i="5"/>
  <c r="AE341" i="5"/>
  <c r="AS102" i="5"/>
  <c r="AT102" i="5" s="1"/>
  <c r="AE426" i="5"/>
  <c r="AS417" i="5"/>
  <c r="AU417" i="5" s="1"/>
  <c r="AS97" i="5"/>
  <c r="AU97" i="5" s="1"/>
  <c r="AS324" i="5"/>
  <c r="AT324" i="5" s="1"/>
  <c r="AE378" i="5"/>
  <c r="AD371" i="5"/>
  <c r="AS371" i="5"/>
  <c r="AU371" i="5" s="1"/>
  <c r="AD154" i="5"/>
  <c r="AD324" i="5"/>
  <c r="AD417" i="5"/>
  <c r="AD206" i="5"/>
  <c r="AE452" i="5"/>
  <c r="AE553" i="5"/>
  <c r="AD518" i="5"/>
  <c r="AS518" i="5"/>
  <c r="AT518" i="5" s="1"/>
  <c r="AE75" i="5"/>
  <c r="AE217" i="5"/>
  <c r="AD444" i="5"/>
  <c r="AS79" i="5"/>
  <c r="AT79" i="5" s="1"/>
  <c r="AD413" i="5"/>
  <c r="AD271" i="5"/>
  <c r="AD118" i="5"/>
  <c r="AD480" i="5"/>
  <c r="AS368" i="5"/>
  <c r="AT368" i="5" s="1"/>
  <c r="AD71" i="5"/>
  <c r="AS313" i="5"/>
  <c r="AT313" i="5" s="1"/>
  <c r="AE354" i="5"/>
  <c r="AS278" i="5"/>
  <c r="AT278" i="5" s="1"/>
  <c r="AS268" i="5"/>
  <c r="AU268" i="5" s="1"/>
  <c r="AD278" i="5"/>
  <c r="AS219" i="5"/>
  <c r="AU219" i="5" s="1"/>
  <c r="AT110" i="5"/>
  <c r="AE339" i="5"/>
  <c r="AE110" i="5"/>
  <c r="AS335" i="5"/>
  <c r="AT335" i="5" s="1"/>
  <c r="AE235" i="5"/>
  <c r="AT442" i="5"/>
  <c r="AT137" i="5"/>
  <c r="AS318" i="5"/>
  <c r="AU318" i="5" s="1"/>
  <c r="AE53" i="5"/>
  <c r="AU395" i="5"/>
  <c r="AE143" i="5"/>
  <c r="AS330" i="5"/>
  <c r="AT330" i="5" s="1"/>
  <c r="AU113" i="5"/>
  <c r="AT339" i="5"/>
  <c r="AE51" i="5"/>
  <c r="AT183" i="5"/>
  <c r="AD172" i="5"/>
  <c r="AE319" i="5"/>
  <c r="AS420" i="5"/>
  <c r="AT420" i="5" s="1"/>
  <c r="AS460" i="5"/>
  <c r="AU460" i="5" s="1"/>
  <c r="AE54" i="5"/>
  <c r="AU179" i="5"/>
  <c r="AD502" i="5"/>
  <c r="AT319" i="5"/>
  <c r="AS172" i="5"/>
  <c r="AT172" i="5" s="1"/>
  <c r="AE79" i="5"/>
  <c r="AD380" i="5"/>
  <c r="AE413" i="5"/>
  <c r="AS149" i="5"/>
  <c r="AU149" i="5" s="1"/>
  <c r="AU118" i="5"/>
  <c r="AD461" i="5"/>
  <c r="AT480" i="5"/>
  <c r="AD368" i="5"/>
  <c r="AE113" i="5"/>
  <c r="AD313" i="5"/>
  <c r="AS381" i="5"/>
  <c r="AU381" i="5" s="1"/>
  <c r="AT71" i="5"/>
  <c r="AS53" i="5"/>
  <c r="AT53" i="5" s="1"/>
  <c r="AD448" i="5"/>
  <c r="AD339" i="5"/>
  <c r="AS250" i="5"/>
  <c r="AT250" i="5" s="1"/>
  <c r="AD128" i="5"/>
  <c r="AS367" i="5"/>
  <c r="AU367" i="5" s="1"/>
  <c r="AD250" i="5"/>
  <c r="AS463" i="5"/>
  <c r="AT463" i="5" s="1"/>
  <c r="AS547" i="5"/>
  <c r="AU547" i="5" s="1"/>
  <c r="AD54" i="5"/>
  <c r="AS273" i="5"/>
  <c r="AU273" i="5" s="1"/>
  <c r="AD169" i="5"/>
  <c r="AU553" i="5"/>
  <c r="AK11" i="5"/>
  <c r="AS459" i="5"/>
  <c r="AT459" i="5" s="1"/>
  <c r="AS143" i="5"/>
  <c r="AT143" i="5" s="1"/>
  <c r="AD416" i="5"/>
  <c r="AE461" i="5"/>
  <c r="AS416" i="5"/>
  <c r="AU416" i="5" s="1"/>
  <c r="AE330" i="5"/>
  <c r="AE169" i="5"/>
  <c r="AS500" i="5"/>
  <c r="AT500" i="5" s="1"/>
  <c r="AL11" i="5"/>
  <c r="AE459" i="5"/>
  <c r="AS452" i="5"/>
  <c r="AU452" i="5" s="1"/>
  <c r="AD273" i="5"/>
  <c r="AU169" i="5"/>
  <c r="AD542" i="5"/>
  <c r="AD553" i="5"/>
  <c r="AS199" i="5"/>
  <c r="AT199" i="5" s="1"/>
  <c r="AS166" i="5"/>
  <c r="AT166" i="5" s="1"/>
  <c r="AE450" i="5"/>
  <c r="AD465" i="5"/>
  <c r="AD450" i="5"/>
  <c r="AS407" i="5"/>
  <c r="AT407" i="5" s="1"/>
  <c r="AS348" i="5"/>
  <c r="AT348" i="5" s="1"/>
  <c r="AU81" i="5"/>
  <c r="AE157" i="5"/>
  <c r="AS68" i="5"/>
  <c r="AT68" i="5" s="1"/>
  <c r="AS552" i="5"/>
  <c r="AU552" i="5" s="1"/>
  <c r="AE105" i="5"/>
  <c r="AD105" i="5"/>
  <c r="AE81" i="5"/>
  <c r="AT450" i="5"/>
  <c r="AT357" i="5"/>
  <c r="AD157" i="5"/>
  <c r="AD263" i="5"/>
  <c r="AU105" i="5"/>
  <c r="AD81" i="5"/>
  <c r="AS441" i="5"/>
  <c r="AT441" i="5" s="1"/>
  <c r="AD382" i="5"/>
  <c r="AE99" i="5"/>
  <c r="AD405" i="5"/>
  <c r="AS369" i="5"/>
  <c r="AU369" i="5" s="1"/>
  <c r="AE527" i="5"/>
  <c r="AS293" i="5"/>
  <c r="AU293" i="5" s="1"/>
  <c r="AD477" i="5"/>
  <c r="AS477" i="5"/>
  <c r="AT477" i="5" s="1"/>
  <c r="AD341" i="5"/>
  <c r="AS533" i="5"/>
  <c r="AT533" i="5" s="1"/>
  <c r="AT241" i="5"/>
  <c r="AU69" i="5"/>
  <c r="AD69" i="5"/>
  <c r="AE10" i="5"/>
  <c r="AC11" i="5"/>
  <c r="AE11" i="5" s="1"/>
  <c r="AS391" i="5"/>
  <c r="AT391" i="5" s="1"/>
  <c r="AE206" i="5"/>
  <c r="AE391" i="5"/>
  <c r="AD300" i="5"/>
  <c r="Y11" i="5"/>
  <c r="AU27" i="5"/>
  <c r="AE284" i="5"/>
  <c r="AE465" i="5"/>
  <c r="AE552" i="5"/>
  <c r="AS429" i="5"/>
  <c r="AU429" i="5" s="1"/>
  <c r="AS560" i="5"/>
  <c r="AU560" i="5" s="1"/>
  <c r="AD462" i="5"/>
  <c r="AU238" i="5"/>
  <c r="AE429" i="5"/>
  <c r="AS432" i="5"/>
  <c r="AT432" i="5" s="1"/>
  <c r="AD192" i="5"/>
  <c r="AS99" i="5"/>
  <c r="AT99" i="5" s="1"/>
  <c r="AS370" i="5"/>
  <c r="AT370" i="5" s="1"/>
  <c r="AE357" i="5"/>
  <c r="AD238" i="5"/>
  <c r="AT192" i="5"/>
  <c r="AS221" i="5"/>
  <c r="AT221" i="5" s="1"/>
  <c r="AS263" i="5"/>
  <c r="AT263" i="5" s="1"/>
  <c r="AD221" i="5"/>
  <c r="AE387" i="5"/>
  <c r="AE68" i="5"/>
  <c r="AD199" i="5"/>
  <c r="AE166" i="5"/>
  <c r="AD303" i="5"/>
  <c r="AS334" i="5"/>
  <c r="AT334" i="5" s="1"/>
  <c r="AD175" i="5"/>
  <c r="AE334" i="5"/>
  <c r="AS382" i="5"/>
  <c r="AU382" i="5" s="1"/>
  <c r="AE29" i="5"/>
  <c r="AE370" i="5"/>
  <c r="AS405" i="5"/>
  <c r="AU405" i="5" s="1"/>
  <c r="AS554" i="5"/>
  <c r="AU554" i="5" s="1"/>
  <c r="AD554" i="5"/>
  <c r="AS387" i="5"/>
  <c r="AT387" i="5" s="1"/>
  <c r="AD357" i="5"/>
  <c r="AT157" i="5"/>
  <c r="AS175" i="5"/>
  <c r="AU175" i="5" s="1"/>
  <c r="AS472" i="5"/>
  <c r="AU472" i="5" s="1"/>
  <c r="AD43" i="5"/>
  <c r="AE560" i="5"/>
  <c r="AE27" i="5"/>
  <c r="AE462" i="5"/>
  <c r="AU462" i="5"/>
  <c r="S11" i="5"/>
  <c r="AS379" i="5"/>
  <c r="AU379" i="5" s="1"/>
  <c r="AS449" i="5"/>
  <c r="AU449" i="5" s="1"/>
  <c r="AS106" i="5"/>
  <c r="AU106" i="5" s="1"/>
  <c r="AS270" i="5"/>
  <c r="AT270" i="5" s="1"/>
  <c r="AS76" i="5"/>
  <c r="AU76" i="5" s="1"/>
  <c r="AE76" i="5"/>
  <c r="AD407" i="5"/>
  <c r="AS284" i="5"/>
  <c r="AT284" i="5" s="1"/>
  <c r="AE192" i="5"/>
  <c r="AS120" i="5"/>
  <c r="AT120" i="5" s="1"/>
  <c r="AE270" i="5"/>
  <c r="AS436" i="5"/>
  <c r="AT436" i="5" s="1"/>
  <c r="AD449" i="5"/>
  <c r="AS29" i="5"/>
  <c r="AU29" i="5" s="1"/>
  <c r="AE436" i="5"/>
  <c r="AS230" i="5"/>
  <c r="AT230" i="5" s="1"/>
  <c r="AS198" i="5"/>
  <c r="AT198" i="5" s="1"/>
  <c r="AT290" i="5"/>
  <c r="AT433" i="5"/>
  <c r="AS133" i="5"/>
  <c r="AT133" i="5" s="1"/>
  <c r="AE386" i="5"/>
  <c r="AE254" i="5"/>
  <c r="AE133" i="5"/>
  <c r="AD230" i="5"/>
  <c r="AS314" i="5"/>
  <c r="AT314" i="5" s="1"/>
  <c r="AE120" i="5"/>
  <c r="AS303" i="5"/>
  <c r="AU303" i="5" s="1"/>
  <c r="AE464" i="5"/>
  <c r="AE43" i="5"/>
  <c r="AT286" i="5"/>
  <c r="AE234" i="5"/>
  <c r="AE104" i="5"/>
  <c r="AS236" i="5"/>
  <c r="AU236" i="5" s="1"/>
  <c r="AE364" i="5"/>
  <c r="AU43" i="5"/>
  <c r="AS180" i="5"/>
  <c r="AT180" i="5" s="1"/>
  <c r="AS464" i="5"/>
  <c r="AU464" i="5" s="1"/>
  <c r="AD236" i="5"/>
  <c r="AE456" i="5"/>
  <c r="AS456" i="5"/>
  <c r="AT456" i="5" s="1"/>
  <c r="AT202" i="5"/>
  <c r="AU62" i="5"/>
  <c r="AT173" i="5"/>
  <c r="AS261" i="5"/>
  <c r="AU261" i="5" s="1"/>
  <c r="AE202" i="5"/>
  <c r="AE238" i="5"/>
  <c r="AT365" i="5"/>
  <c r="AE243" i="5"/>
  <c r="AS285" i="5"/>
  <c r="AT285" i="5" s="1"/>
  <c r="AE173" i="5"/>
  <c r="AD392" i="5"/>
  <c r="AT32" i="5"/>
  <c r="AD173" i="5"/>
  <c r="AD418" i="5"/>
  <c r="AU392" i="5"/>
  <c r="AD352" i="5"/>
  <c r="AS26" i="5"/>
  <c r="AU26" i="5" s="1"/>
  <c r="AD267" i="5"/>
  <c r="AE418" i="5"/>
  <c r="AS385" i="5"/>
  <c r="AT385" i="5" s="1"/>
  <c r="AD488" i="5"/>
  <c r="AS542" i="5"/>
  <c r="AU542" i="5" s="1"/>
  <c r="AS242" i="5"/>
  <c r="AT242" i="5" s="1"/>
  <c r="AD285" i="5"/>
  <c r="AE392" i="5"/>
  <c r="AE62" i="5"/>
  <c r="AD401" i="5"/>
  <c r="AE153" i="5"/>
  <c r="AS356" i="5"/>
  <c r="AU356" i="5" s="1"/>
  <c r="AD385" i="5"/>
  <c r="AD39" i="5"/>
  <c r="AD463" i="5"/>
  <c r="AD367" i="5"/>
  <c r="AS507" i="5"/>
  <c r="AT507" i="5" s="1"/>
  <c r="AS521" i="5"/>
  <c r="AU521" i="5" s="1"/>
  <c r="AS455" i="5"/>
  <c r="AU455" i="5" s="1"/>
  <c r="AS486" i="5"/>
  <c r="AU486" i="5" s="1"/>
  <c r="AE455" i="5"/>
  <c r="AE486" i="5"/>
  <c r="AD527" i="5"/>
  <c r="AE232" i="5"/>
  <c r="AE548" i="5"/>
  <c r="AE286" i="5"/>
  <c r="AE439" i="5"/>
  <c r="AS255" i="5"/>
  <c r="AU255" i="5" s="1"/>
  <c r="AS331" i="5"/>
  <c r="AT331" i="5" s="1"/>
  <c r="AT248" i="5"/>
  <c r="AT116" i="5"/>
  <c r="AU475" i="5"/>
  <c r="AE145" i="5"/>
  <c r="AD286" i="5"/>
  <c r="AE262" i="5"/>
  <c r="AE180" i="5"/>
  <c r="AU548" i="5"/>
  <c r="AE103" i="5"/>
  <c r="AS491" i="5"/>
  <c r="AT491" i="5" s="1"/>
  <c r="AE349" i="5"/>
  <c r="AT332" i="5"/>
  <c r="AE165" i="5"/>
  <c r="AS264" i="5"/>
  <c r="AU264" i="5" s="1"/>
  <c r="AS262" i="5"/>
  <c r="AT262" i="5" s="1"/>
  <c r="AE116" i="5"/>
  <c r="AS103" i="5"/>
  <c r="AT103" i="5" s="1"/>
  <c r="AD116" i="5"/>
  <c r="AD548" i="5"/>
  <c r="AE331" i="5"/>
  <c r="AE255" i="5"/>
  <c r="AD364" i="5"/>
  <c r="AT267" i="5"/>
  <c r="AU283" i="5"/>
  <c r="AS243" i="5"/>
  <c r="AU243" i="5" s="1"/>
  <c r="AD386" i="5"/>
  <c r="AE333" i="5"/>
  <c r="AD62" i="5"/>
  <c r="AD441" i="5"/>
  <c r="AD48" i="5"/>
  <c r="AD38" i="5"/>
  <c r="AD202" i="5"/>
  <c r="AS38" i="5"/>
  <c r="AT38" i="5" s="1"/>
  <c r="AU308" i="5"/>
  <c r="AE475" i="5"/>
  <c r="AE32" i="5"/>
  <c r="AE352" i="5"/>
  <c r="AS254" i="5"/>
  <c r="AT254" i="5" s="1"/>
  <c r="AD26" i="5"/>
  <c r="AE242" i="5"/>
  <c r="AE267" i="5"/>
  <c r="AD283" i="5"/>
  <c r="AS333" i="5"/>
  <c r="AU333" i="5" s="1"/>
  <c r="AT63" i="5"/>
  <c r="AS123" i="5"/>
  <c r="AU123" i="5" s="1"/>
  <c r="AD248" i="5"/>
  <c r="AD361" i="5"/>
  <c r="AE155" i="5"/>
  <c r="AD93" i="5"/>
  <c r="AD129" i="5"/>
  <c r="AD232" i="5"/>
  <c r="AT234" i="5"/>
  <c r="AU78" i="5"/>
  <c r="AD184" i="5"/>
  <c r="AS531" i="5"/>
  <c r="AT531" i="5" s="1"/>
  <c r="AE431" i="5"/>
  <c r="AE332" i="5"/>
  <c r="AD276" i="5"/>
  <c r="AD98" i="5"/>
  <c r="AE88" i="5"/>
  <c r="AD433" i="5"/>
  <c r="AD396" i="5"/>
  <c r="AD402" i="5"/>
  <c r="AE272" i="5"/>
  <c r="AT510" i="5"/>
  <c r="AS165" i="5"/>
  <c r="AT165" i="5" s="1"/>
  <c r="AE299" i="5"/>
  <c r="AE106" i="5"/>
  <c r="AS211" i="5"/>
  <c r="AT211" i="5" s="1"/>
  <c r="AD104" i="5"/>
  <c r="AS129" i="5"/>
  <c r="AU129" i="5" s="1"/>
  <c r="AS93" i="5"/>
  <c r="AT93" i="5" s="1"/>
  <c r="AE317" i="5"/>
  <c r="AE433" i="5"/>
  <c r="AD88" i="5"/>
  <c r="AS272" i="5"/>
  <c r="AU272" i="5" s="1"/>
  <c r="AE248" i="5"/>
  <c r="AD290" i="5"/>
  <c r="AE376" i="5"/>
  <c r="AS439" i="5"/>
  <c r="AT439" i="5" s="1"/>
  <c r="AS310" i="5"/>
  <c r="AU310" i="5" s="1"/>
  <c r="AU317" i="5"/>
  <c r="AS307" i="5"/>
  <c r="AT307" i="5" s="1"/>
  <c r="AD40" i="5"/>
  <c r="AD379" i="5"/>
  <c r="AS222" i="5"/>
  <c r="AT222" i="5" s="1"/>
  <c r="AS224" i="5"/>
  <c r="AT224" i="5" s="1"/>
  <c r="AD531" i="5"/>
  <c r="AD332" i="5"/>
  <c r="AS159" i="5"/>
  <c r="AT159" i="5" s="1"/>
  <c r="AS321" i="5"/>
  <c r="AT321" i="5" s="1"/>
  <c r="AE321" i="5"/>
  <c r="AD96" i="5"/>
  <c r="AE96" i="5"/>
  <c r="AD510" i="5"/>
  <c r="AD320" i="5"/>
  <c r="AE310" i="5"/>
  <c r="AE25" i="5"/>
  <c r="AE290" i="5"/>
  <c r="AE264" i="5"/>
  <c r="AU424" i="5"/>
  <c r="AE123" i="5"/>
  <c r="AE31" i="5"/>
  <c r="AE98" i="5"/>
  <c r="AE184" i="5"/>
  <c r="AD28" i="5"/>
  <c r="AE168" i="5"/>
  <c r="AD234" i="5"/>
  <c r="AS31" i="5"/>
  <c r="AT31" i="5" s="1"/>
  <c r="AS511" i="5"/>
  <c r="AT511" i="5" s="1"/>
  <c r="AD317" i="5"/>
  <c r="AS431" i="5"/>
  <c r="AU431" i="5" s="1"/>
  <c r="AD198" i="5"/>
  <c r="AS233" i="5"/>
  <c r="AT233" i="5" s="1"/>
  <c r="AE358" i="5"/>
  <c r="AD218" i="5"/>
  <c r="AE314" i="5"/>
  <c r="AD558" i="5"/>
  <c r="AS25" i="5"/>
  <c r="AU25" i="5" s="1"/>
  <c r="AS524" i="5"/>
  <c r="AU524" i="5" s="1"/>
  <c r="AT96" i="5"/>
  <c r="AS396" i="5"/>
  <c r="AT396" i="5" s="1"/>
  <c r="AD282" i="5"/>
  <c r="AD491" i="5"/>
  <c r="AE414" i="5"/>
  <c r="AS414" i="5"/>
  <c r="AT414" i="5" s="1"/>
  <c r="AD475" i="5"/>
  <c r="AD307" i="5"/>
  <c r="AD145" i="5"/>
  <c r="AD328" i="5"/>
  <c r="AS50" i="5"/>
  <c r="AT50" i="5" s="1"/>
  <c r="AE499" i="5"/>
  <c r="AS325" i="5"/>
  <c r="AU325" i="5" s="1"/>
  <c r="AD13" i="5"/>
  <c r="AE489" i="5"/>
  <c r="AT489" i="5"/>
  <c r="AS168" i="5"/>
  <c r="AT168" i="5" s="1"/>
  <c r="AS328" i="5"/>
  <c r="AT328" i="5" s="1"/>
  <c r="AD499" i="5"/>
  <c r="AT13" i="5"/>
  <c r="AS340" i="5"/>
  <c r="AT340" i="5" s="1"/>
  <c r="AD489" i="5"/>
  <c r="AD490" i="5"/>
  <c r="AE181" i="5"/>
  <c r="AT57" i="5"/>
  <c r="AD181" i="5"/>
  <c r="AD50" i="5"/>
  <c r="AD424" i="5"/>
  <c r="AU174" i="5"/>
  <c r="AD141" i="5"/>
  <c r="AU145" i="5"/>
  <c r="AE141" i="5"/>
  <c r="AE424" i="5"/>
  <c r="AS349" i="5"/>
  <c r="AT349" i="5" s="1"/>
  <c r="AD57" i="5"/>
  <c r="AS490" i="5"/>
  <c r="AT490" i="5" s="1"/>
  <c r="AE57" i="5"/>
  <c r="AE13" i="5"/>
  <c r="AT517" i="5"/>
  <c r="AU231" i="5"/>
  <c r="AT506" i="5"/>
  <c r="AD32" i="5"/>
  <c r="AT352" i="5"/>
  <c r="AE119" i="5"/>
  <c r="AE398" i="5"/>
  <c r="AE171" i="5"/>
  <c r="AD261" i="5"/>
  <c r="AS225" i="5"/>
  <c r="AT225" i="5" s="1"/>
  <c r="AS469" i="5"/>
  <c r="AT469" i="5" s="1"/>
  <c r="AE237" i="5"/>
  <c r="AD359" i="5"/>
  <c r="AD543" i="5"/>
  <c r="AD87" i="5"/>
  <c r="AU418" i="5"/>
  <c r="AS298" i="5"/>
  <c r="AU298" i="5" s="1"/>
  <c r="AE209" i="5"/>
  <c r="AE438" i="5"/>
  <c r="AT495" i="5"/>
  <c r="AS516" i="5"/>
  <c r="AT516" i="5" s="1"/>
  <c r="AE308" i="5"/>
  <c r="AE91" i="5"/>
  <c r="AD122" i="5"/>
  <c r="AE225" i="5"/>
  <c r="AE517" i="5"/>
  <c r="AD506" i="5"/>
  <c r="AS359" i="5"/>
  <c r="AU359" i="5" s="1"/>
  <c r="AD428" i="5"/>
  <c r="AE283" i="5"/>
  <c r="AS443" i="5"/>
  <c r="AU443" i="5" s="1"/>
  <c r="AD516" i="5"/>
  <c r="AS494" i="5"/>
  <c r="AU494" i="5" s="1"/>
  <c r="AD495" i="5"/>
  <c r="AS485" i="5"/>
  <c r="AU485" i="5" s="1"/>
  <c r="AE140" i="5"/>
  <c r="AS415" i="5"/>
  <c r="AT415" i="5" s="1"/>
  <c r="AS428" i="5"/>
  <c r="AU428" i="5" s="1"/>
  <c r="AE494" i="5"/>
  <c r="AD365" i="5"/>
  <c r="AE495" i="5"/>
  <c r="AD231" i="5"/>
  <c r="AS12" i="5"/>
  <c r="AT12" i="5" s="1"/>
  <c r="AT353" i="5"/>
  <c r="AS139" i="5"/>
  <c r="AT139" i="5" s="1"/>
  <c r="AT499" i="5"/>
  <c r="AE505" i="5"/>
  <c r="AS390" i="5"/>
  <c r="AU390" i="5" s="1"/>
  <c r="AS85" i="5"/>
  <c r="AU85" i="5" s="1"/>
  <c r="AT184" i="5"/>
  <c r="AS155" i="5"/>
  <c r="AU155" i="5" s="1"/>
  <c r="AE224" i="5"/>
  <c r="AT141" i="5"/>
  <c r="AD222" i="5"/>
  <c r="AE327" i="5"/>
  <c r="AD92" i="5"/>
  <c r="AE430" i="5"/>
  <c r="AE208" i="5"/>
  <c r="AE220" i="5"/>
  <c r="AS425" i="5"/>
  <c r="AT425" i="5" s="1"/>
  <c r="AD78" i="5"/>
  <c r="AE159" i="5"/>
  <c r="AS282" i="5"/>
  <c r="AU282" i="5" s="1"/>
  <c r="AS473" i="5"/>
  <c r="AU473" i="5" s="1"/>
  <c r="AT467" i="5"/>
  <c r="AD467" i="5"/>
  <c r="AE473" i="5"/>
  <c r="AS10" i="5"/>
  <c r="AT10" i="5" s="1"/>
  <c r="AD501" i="5"/>
  <c r="AE555" i="5"/>
  <c r="AS402" i="5"/>
  <c r="AT402" i="5" s="1"/>
  <c r="AS320" i="5"/>
  <c r="AT320" i="5" s="1"/>
  <c r="AT550" i="5"/>
  <c r="AE174" i="5"/>
  <c r="AE182" i="5"/>
  <c r="AS478" i="5"/>
  <c r="AU478" i="5" s="1"/>
  <c r="AT538" i="5"/>
  <c r="AS28" i="5"/>
  <c r="AU28" i="5" s="1"/>
  <c r="AS40" i="5"/>
  <c r="AU40" i="5" s="1"/>
  <c r="AE535" i="5"/>
  <c r="AE511" i="5"/>
  <c r="AD23" i="5"/>
  <c r="AD233" i="5"/>
  <c r="AS558" i="5"/>
  <c r="AT558" i="5" s="1"/>
  <c r="AE228" i="5"/>
  <c r="AS92" i="5"/>
  <c r="AT92" i="5" s="1"/>
  <c r="AE63" i="5"/>
  <c r="AD63" i="5"/>
  <c r="AS361" i="5"/>
  <c r="AU361" i="5" s="1"/>
  <c r="AS474" i="5"/>
  <c r="AU474" i="5" s="1"/>
  <c r="AS535" i="5"/>
  <c r="AT535" i="5" s="1"/>
  <c r="AS208" i="5"/>
  <c r="AT208" i="5" s="1"/>
  <c r="AD425" i="5"/>
  <c r="AS228" i="5"/>
  <c r="AT228" i="5" s="1"/>
  <c r="AE78" i="5"/>
  <c r="AT88" i="5"/>
  <c r="AS220" i="5"/>
  <c r="AU220" i="5" s="1"/>
  <c r="AE524" i="5"/>
  <c r="AS555" i="5"/>
  <c r="AT555" i="5" s="1"/>
  <c r="AS163" i="5"/>
  <c r="AU163" i="5" s="1"/>
  <c r="AE510" i="5"/>
  <c r="AE340" i="5"/>
  <c r="AS276" i="5"/>
  <c r="AT276" i="5" s="1"/>
  <c r="AD163" i="5"/>
  <c r="AD478" i="5"/>
  <c r="AS302" i="5"/>
  <c r="AT302" i="5" s="1"/>
  <c r="AE302" i="5"/>
  <c r="AS140" i="5"/>
  <c r="AT140" i="5" s="1"/>
  <c r="AE122" i="5"/>
  <c r="AD299" i="5"/>
  <c r="AD398" i="5"/>
  <c r="AD171" i="5"/>
  <c r="AE474" i="5"/>
  <c r="AS23" i="5"/>
  <c r="AT23" i="5" s="1"/>
  <c r="AS153" i="5"/>
  <c r="AT153" i="5" s="1"/>
  <c r="AS48" i="5"/>
  <c r="AU48" i="5" s="1"/>
  <c r="AE543" i="5"/>
  <c r="AE469" i="5"/>
  <c r="AE139" i="5"/>
  <c r="AS269" i="5"/>
  <c r="AT269" i="5" s="1"/>
  <c r="AD298" i="5"/>
  <c r="AS209" i="5"/>
  <c r="AT209" i="5" s="1"/>
  <c r="AE338" i="5"/>
  <c r="AS438" i="5"/>
  <c r="AU438" i="5" s="1"/>
  <c r="AU299" i="5"/>
  <c r="AD195" i="5"/>
  <c r="AE251" i="5"/>
  <c r="AE325" i="5"/>
  <c r="AE467" i="5"/>
  <c r="AE231" i="5"/>
  <c r="AS406" i="5"/>
  <c r="AT406" i="5" s="1"/>
  <c r="AD308" i="5"/>
  <c r="AS377" i="5"/>
  <c r="AT377" i="5" s="1"/>
  <c r="AS91" i="5"/>
  <c r="AT91" i="5" s="1"/>
  <c r="AT171" i="5"/>
  <c r="AS119" i="5"/>
  <c r="AU119" i="5" s="1"/>
  <c r="AS82" i="5"/>
  <c r="AU82" i="5" s="1"/>
  <c r="AD82" i="5"/>
  <c r="AD415" i="5"/>
  <c r="AS358" i="5"/>
  <c r="AT358" i="5" s="1"/>
  <c r="AE211" i="5"/>
  <c r="AD41" i="5"/>
  <c r="AD517" i="5"/>
  <c r="AS185" i="5"/>
  <c r="AU185" i="5" s="1"/>
  <c r="AS195" i="5"/>
  <c r="AU195" i="5" s="1"/>
  <c r="AS87" i="5"/>
  <c r="AU87" i="5" s="1"/>
  <c r="AD338" i="5"/>
  <c r="AD21" i="5"/>
  <c r="AS237" i="5"/>
  <c r="AT237" i="5" s="1"/>
  <c r="AD174" i="5"/>
  <c r="AS135" i="5"/>
  <c r="AT135" i="5" s="1"/>
  <c r="AT338" i="5"/>
  <c r="AE506" i="5"/>
  <c r="AD269" i="5"/>
  <c r="AE365" i="5"/>
  <c r="AE485" i="5"/>
  <c r="AE21" i="5"/>
  <c r="AS161" i="5"/>
  <c r="AU161" i="5" s="1"/>
  <c r="AD443" i="5"/>
  <c r="AE134" i="5"/>
  <c r="AE12" i="5"/>
  <c r="AT251" i="5"/>
  <c r="AE377" i="5"/>
  <c r="AD251" i="5"/>
  <c r="AS24" i="5"/>
  <c r="AT24" i="5" s="1"/>
  <c r="AS101" i="5"/>
  <c r="AU101" i="5" s="1"/>
  <c r="AD294" i="5"/>
  <c r="AE348" i="5"/>
  <c r="AD312" i="5"/>
  <c r="AS343" i="5"/>
  <c r="AT343" i="5" s="1"/>
  <c r="AE356" i="5"/>
  <c r="AS401" i="5"/>
  <c r="AT401" i="5" s="1"/>
  <c r="AE457" i="5"/>
  <c r="AD131" i="5"/>
  <c r="AE448" i="5"/>
  <c r="AE507" i="5"/>
  <c r="AS131" i="5"/>
  <c r="AU131" i="5" s="1"/>
  <c r="AD557" i="5"/>
  <c r="AE345" i="5"/>
  <c r="AU557" i="5"/>
  <c r="AD101" i="5"/>
  <c r="AD304" i="5"/>
  <c r="AS312" i="5"/>
  <c r="AU312" i="5" s="1"/>
  <c r="AE24" i="5"/>
  <c r="AE343" i="5"/>
  <c r="AS457" i="5"/>
  <c r="AT457" i="5" s="1"/>
  <c r="AS551" i="5"/>
  <c r="AT551" i="5" s="1"/>
  <c r="AD223" i="5"/>
  <c r="AE223" i="5"/>
  <c r="AU223" i="5"/>
  <c r="AD49" i="5"/>
  <c r="AE557" i="5"/>
  <c r="AD493" i="5"/>
  <c r="AE493" i="5"/>
  <c r="AS304" i="5"/>
  <c r="AT304" i="5" s="1"/>
  <c r="AS294" i="5"/>
  <c r="AT294" i="5" s="1"/>
  <c r="AE49" i="5"/>
  <c r="AE318" i="5"/>
  <c r="AS488" i="5"/>
  <c r="AT488" i="5" s="1"/>
  <c r="AD521" i="5"/>
  <c r="AS345" i="5"/>
  <c r="AT345" i="5" s="1"/>
  <c r="AU493" i="5"/>
  <c r="AS167" i="5"/>
  <c r="AU167" i="5" s="1"/>
  <c r="AD275" i="5"/>
  <c r="AE135" i="5"/>
  <c r="AS132" i="5"/>
  <c r="AT132" i="5" s="1"/>
  <c r="AD430" i="5"/>
  <c r="AS130" i="5"/>
  <c r="AU130" i="5" s="1"/>
  <c r="AD353" i="5"/>
  <c r="AD550" i="5"/>
  <c r="AD85" i="5"/>
  <c r="AE501" i="5"/>
  <c r="AD406" i="5"/>
  <c r="AT501" i="5"/>
  <c r="AE384" i="5"/>
  <c r="AE353" i="5"/>
  <c r="AE479" i="5"/>
  <c r="AU384" i="5"/>
  <c r="AS427" i="5"/>
  <c r="AU427" i="5" s="1"/>
  <c r="AT21" i="5"/>
  <c r="AD182" i="5"/>
  <c r="AT430" i="5"/>
  <c r="AD132" i="5"/>
  <c r="AE46" i="5"/>
  <c r="AU46" i="5"/>
  <c r="AD384" i="5"/>
  <c r="AD479" i="5"/>
  <c r="AS295" i="5"/>
  <c r="AU295" i="5" s="1"/>
  <c r="AU275" i="5"/>
  <c r="AU479" i="5"/>
  <c r="AE295" i="5"/>
  <c r="AS327" i="5"/>
  <c r="AU327" i="5" s="1"/>
  <c r="AU182" i="5"/>
  <c r="AS41" i="5"/>
  <c r="AU41" i="5" s="1"/>
  <c r="AE185" i="5"/>
  <c r="AE167" i="5"/>
  <c r="AE275" i="5"/>
  <c r="AE390" i="5"/>
  <c r="AD161" i="5"/>
  <c r="AE130" i="5"/>
  <c r="AE550" i="5"/>
  <c r="AD427" i="5"/>
  <c r="AS419" i="5"/>
  <c r="AU419" i="5" s="1"/>
  <c r="AE20" i="5"/>
  <c r="AT344" i="5"/>
  <c r="AS20" i="5"/>
  <c r="AU20" i="5" s="1"/>
  <c r="AE551" i="5"/>
  <c r="AD56" i="5"/>
  <c r="AU301" i="5"/>
  <c r="AS559" i="5"/>
  <c r="AT559" i="5" s="1"/>
  <c r="B106" i="2"/>
  <c r="H32" i="1" s="1"/>
  <c r="AS291" i="5"/>
  <c r="AT291" i="5" s="1"/>
  <c r="AE559" i="5"/>
  <c r="AD46" i="5"/>
  <c r="AS505" i="5"/>
  <c r="AT505" i="5" s="1"/>
  <c r="AE344" i="5"/>
  <c r="AD344" i="5"/>
  <c r="AD134" i="5"/>
  <c r="AD301" i="5"/>
  <c r="AE301" i="5"/>
  <c r="AT134" i="5"/>
  <c r="AS376" i="5"/>
  <c r="AU376" i="5" s="1"/>
  <c r="AD538" i="5"/>
  <c r="AE55" i="5"/>
  <c r="AE218" i="5"/>
  <c r="AE538" i="5"/>
  <c r="AE419" i="5"/>
  <c r="AS158" i="5"/>
  <c r="AT158" i="5" s="1"/>
  <c r="AS55" i="5"/>
  <c r="AT55" i="5" s="1"/>
  <c r="AD158" i="5"/>
  <c r="AU218" i="5"/>
  <c r="AU249" i="5"/>
  <c r="AE164" i="5"/>
  <c r="AE537" i="5"/>
  <c r="AE249" i="5"/>
  <c r="AS164" i="5"/>
  <c r="AT164" i="5" s="1"/>
  <c r="AS56" i="5"/>
  <c r="AU56" i="5" s="1"/>
  <c r="AD249" i="5"/>
  <c r="AS537" i="5"/>
  <c r="AU537" i="5" s="1"/>
  <c r="AS197" i="5"/>
  <c r="AT197" i="5" s="1"/>
  <c r="AD468" i="5"/>
  <c r="AU468" i="5"/>
  <c r="AE197" i="5"/>
  <c r="AE468" i="5"/>
  <c r="AD291" i="5"/>
  <c r="AD409" i="5"/>
  <c r="AS409" i="5"/>
  <c r="AU409" i="5" s="1"/>
  <c r="AS9" i="5"/>
  <c r="AU9" i="5" s="1"/>
  <c r="AE7" i="4"/>
  <c r="BX7" i="4" s="1"/>
  <c r="AU487" i="5"/>
  <c r="AU509" i="5"/>
  <c r="AU44" i="5"/>
  <c r="AT375" i="5"/>
  <c r="AU58" i="5"/>
  <c r="AT497" i="5"/>
  <c r="AT526" i="5"/>
  <c r="AU186" i="5"/>
  <c r="AU34" i="5"/>
  <c r="AE9" i="5"/>
  <c r="F87" i="1"/>
  <c r="AU148" i="5"/>
  <c r="AT150" i="5"/>
  <c r="AT323" i="5"/>
  <c r="AT289" i="5"/>
  <c r="AU534" i="5"/>
  <c r="AT37" i="5"/>
  <c r="AT64" i="5"/>
  <c r="AT513" i="5"/>
  <c r="AR9" i="5"/>
  <c r="AQ9" i="5"/>
  <c r="AU77" i="5"/>
  <c r="AU362" i="5"/>
  <c r="AT458" i="5"/>
  <c r="AT523" i="5"/>
  <c r="AU277" i="5"/>
  <c r="AU453" i="5"/>
  <c r="AU265" i="5"/>
  <c r="AT125" i="5"/>
  <c r="AU445" i="5"/>
  <c r="AU350" i="5"/>
  <c r="AU309" i="5"/>
  <c r="AT543" i="5"/>
  <c r="AU59" i="5"/>
  <c r="AT72" i="5"/>
  <c r="AU72" i="5"/>
  <c r="AT461" i="5"/>
  <c r="AU461" i="5"/>
  <c r="AU187" i="5"/>
  <c r="AT315" i="5"/>
  <c r="AU466" i="5"/>
  <c r="AT232" i="5"/>
  <c r="AU36" i="5"/>
  <c r="AT136" i="5"/>
  <c r="AT465" i="5"/>
  <c r="AU465" i="5"/>
  <c r="AT177" i="5"/>
  <c r="AU177" i="5"/>
  <c r="AU60" i="5"/>
  <c r="AT60" i="5"/>
  <c r="AU124" i="5"/>
  <c r="AU112" i="5"/>
  <c r="AU84" i="5"/>
  <c r="AT539" i="5"/>
  <c r="AU539" i="5"/>
  <c r="AU74" i="5"/>
  <c r="AT245" i="5"/>
  <c r="AU322" i="5"/>
  <c r="AU527" i="5"/>
  <c r="AT527" i="5"/>
  <c r="AU297" i="5"/>
  <c r="AU121" i="5"/>
  <c r="AU104" i="5"/>
  <c r="AT104" i="5"/>
  <c r="AT80" i="5"/>
  <c r="AU80" i="5"/>
  <c r="AU529" i="5"/>
  <c r="AT529" i="5"/>
  <c r="AT122" i="5"/>
  <c r="AU122" i="5"/>
  <c r="AU404" i="5"/>
  <c r="AT476" i="5"/>
  <c r="AU476" i="5"/>
  <c r="AT181" i="5"/>
  <c r="AU181" i="5"/>
  <c r="AT398" i="5"/>
  <c r="AU398" i="5"/>
  <c r="AU316" i="5"/>
  <c r="AU386" i="5"/>
  <c r="AT386" i="5"/>
  <c r="AT98" i="5"/>
  <c r="AU98" i="5"/>
  <c r="AW28" i="10" l="1"/>
  <c r="AW185" i="10"/>
  <c r="AX440" i="10"/>
  <c r="AT399" i="5"/>
  <c r="AX160" i="10"/>
  <c r="AU45" i="5"/>
  <c r="AW53" i="10"/>
  <c r="AU556" i="5"/>
  <c r="AW242" i="10"/>
  <c r="AX200" i="10"/>
  <c r="AW250" i="10"/>
  <c r="AX69" i="10"/>
  <c r="AW465" i="10"/>
  <c r="AX548" i="10"/>
  <c r="AQ153" i="4"/>
  <c r="AR153" i="4" s="1"/>
  <c r="AS153" i="4" s="1"/>
  <c r="AO154" i="4"/>
  <c r="AQ154" i="4" s="1"/>
  <c r="AR154" i="4" s="1"/>
  <c r="AO152" i="4"/>
  <c r="AN152" i="4" s="1"/>
  <c r="AO122" i="4"/>
  <c r="AQ122" i="4" s="1"/>
  <c r="AR122" i="4" s="1"/>
  <c r="AO150" i="4"/>
  <c r="AQ150" i="4" s="1"/>
  <c r="AR150" i="4" s="1"/>
  <c r="AO157" i="4"/>
  <c r="AN157" i="4" s="1"/>
  <c r="AO126" i="4"/>
  <c r="AN126" i="4" s="1"/>
  <c r="AO133" i="4"/>
  <c r="AN133" i="4" s="1"/>
  <c r="AX164" i="10"/>
  <c r="AX534" i="10"/>
  <c r="AN121" i="4"/>
  <c r="BI112" i="4"/>
  <c r="AW100" i="10"/>
  <c r="AX219" i="10"/>
  <c r="AQ72" i="4"/>
  <c r="AR72" i="4" s="1"/>
  <c r="AS72" i="4" s="1"/>
  <c r="BI154" i="4"/>
  <c r="AH10" i="4"/>
  <c r="AJ10" i="4" s="1"/>
  <c r="BU10" i="4"/>
  <c r="AH135" i="4"/>
  <c r="BU135" i="4"/>
  <c r="AH99" i="4"/>
  <c r="BU99" i="4"/>
  <c r="AH58" i="4"/>
  <c r="BU58" i="4"/>
  <c r="AH56" i="4"/>
  <c r="BU56" i="4"/>
  <c r="AH41" i="4"/>
  <c r="BU41" i="4"/>
  <c r="AH130" i="4"/>
  <c r="BU130" i="4"/>
  <c r="AH109" i="4"/>
  <c r="BU109" i="4"/>
  <c r="AH105" i="4"/>
  <c r="BU105" i="4"/>
  <c r="AH31" i="4"/>
  <c r="BU31" i="4"/>
  <c r="AH95" i="4"/>
  <c r="BU95" i="4"/>
  <c r="AH87" i="4"/>
  <c r="BU87" i="4"/>
  <c r="AH57" i="4"/>
  <c r="BU57" i="4"/>
  <c r="AH89" i="4"/>
  <c r="BU89" i="4"/>
  <c r="AH45" i="4"/>
  <c r="BU45" i="4"/>
  <c r="AH34" i="4"/>
  <c r="AJ34" i="4" s="1"/>
  <c r="BU34" i="4"/>
  <c r="AH17" i="4"/>
  <c r="AJ17" i="4" s="1"/>
  <c r="BU17" i="4"/>
  <c r="AH29" i="4"/>
  <c r="BU29" i="4"/>
  <c r="AH33" i="4"/>
  <c r="BU33" i="4"/>
  <c r="AH25" i="4"/>
  <c r="BU25" i="4"/>
  <c r="AH55" i="4"/>
  <c r="BU55" i="4"/>
  <c r="AH116" i="4"/>
  <c r="BU116" i="4"/>
  <c r="AH91" i="4"/>
  <c r="BU91" i="4"/>
  <c r="AH37" i="4"/>
  <c r="BU37" i="4"/>
  <c r="AN42" i="4"/>
  <c r="AS42" i="4" s="1"/>
  <c r="AD133" i="4"/>
  <c r="AE133" i="4" s="1"/>
  <c r="BX133" i="4" s="1"/>
  <c r="AH133" i="4"/>
  <c r="AD13" i="4"/>
  <c r="AE13" i="4" s="1"/>
  <c r="BX13" i="4" s="1"/>
  <c r="AH13" i="4"/>
  <c r="AJ13" i="4" s="1"/>
  <c r="AD127" i="4"/>
  <c r="AE127" i="4" s="1"/>
  <c r="BX127" i="4" s="1"/>
  <c r="AH127" i="4"/>
  <c r="AJ127" i="4" s="1"/>
  <c r="AD147" i="4"/>
  <c r="AE147" i="4" s="1"/>
  <c r="BX147" i="4" s="1"/>
  <c r="AH147" i="4"/>
  <c r="AJ147" i="4" s="1"/>
  <c r="AD76" i="4"/>
  <c r="AE76" i="4" s="1"/>
  <c r="BX76" i="4" s="1"/>
  <c r="AH76" i="4"/>
  <c r="AD73" i="4"/>
  <c r="AE73" i="4" s="1"/>
  <c r="BX73" i="4" s="1"/>
  <c r="AH73" i="4"/>
  <c r="AJ73" i="4" s="1"/>
  <c r="AD62" i="4"/>
  <c r="AE62" i="4" s="1"/>
  <c r="BX62" i="4" s="1"/>
  <c r="AH62" i="4"/>
  <c r="AD145" i="4"/>
  <c r="AE145" i="4" s="1"/>
  <c r="BX145" i="4" s="1"/>
  <c r="AH145" i="4"/>
  <c r="AJ145" i="4" s="1"/>
  <c r="AD75" i="4"/>
  <c r="AE75" i="4" s="1"/>
  <c r="BX75" i="4" s="1"/>
  <c r="AH75" i="4"/>
  <c r="AD66" i="4"/>
  <c r="AE66" i="4" s="1"/>
  <c r="BX66" i="4" s="1"/>
  <c r="AH66" i="4"/>
  <c r="AJ66" i="4" s="1"/>
  <c r="AD30" i="4"/>
  <c r="AE30" i="4" s="1"/>
  <c r="BX30" i="4" s="1"/>
  <c r="AH30" i="4"/>
  <c r="AJ30" i="4" s="1"/>
  <c r="AD96" i="4"/>
  <c r="AE96" i="4" s="1"/>
  <c r="BX96" i="4" s="1"/>
  <c r="AH96" i="4"/>
  <c r="AJ96" i="4" s="1"/>
  <c r="AD84" i="4"/>
  <c r="AE84" i="4" s="1"/>
  <c r="BX84" i="4" s="1"/>
  <c r="AH84" i="4"/>
  <c r="AJ84" i="4" s="1"/>
  <c r="AD50" i="4"/>
  <c r="AE50" i="4" s="1"/>
  <c r="BX50" i="4" s="1"/>
  <c r="AH50" i="4"/>
  <c r="AJ50" i="4" s="1"/>
  <c r="AD27" i="4"/>
  <c r="AE27" i="4" s="1"/>
  <c r="BX27" i="4" s="1"/>
  <c r="AH27" i="4"/>
  <c r="AJ27" i="4" s="1"/>
  <c r="AD22" i="4"/>
  <c r="AE22" i="4" s="1"/>
  <c r="BX22" i="4" s="1"/>
  <c r="AH22" i="4"/>
  <c r="AJ22" i="4" s="1"/>
  <c r="AD20" i="4"/>
  <c r="AE20" i="4" s="1"/>
  <c r="BX20" i="4" s="1"/>
  <c r="AH20" i="4"/>
  <c r="AJ20" i="4" s="1"/>
  <c r="AD78" i="4"/>
  <c r="AE78" i="4" s="1"/>
  <c r="BX78" i="4" s="1"/>
  <c r="AH78" i="4"/>
  <c r="AJ78" i="4" s="1"/>
  <c r="AD16" i="4"/>
  <c r="AE16" i="4" s="1"/>
  <c r="BX16" i="4" s="1"/>
  <c r="AH16" i="4"/>
  <c r="AD80" i="4"/>
  <c r="AE80" i="4" s="1"/>
  <c r="BX80" i="4" s="1"/>
  <c r="AH80" i="4"/>
  <c r="AJ80" i="4" s="1"/>
  <c r="AD153" i="4"/>
  <c r="AE153" i="4" s="1"/>
  <c r="BX153" i="4" s="1"/>
  <c r="AH153" i="4"/>
  <c r="AJ153" i="4" s="1"/>
  <c r="AD44" i="4"/>
  <c r="AE44" i="4" s="1"/>
  <c r="BX44" i="4" s="1"/>
  <c r="AH44" i="4"/>
  <c r="AJ44" i="4" s="1"/>
  <c r="AD12" i="4"/>
  <c r="AE12" i="4" s="1"/>
  <c r="BX12" i="4" s="1"/>
  <c r="AH12" i="4"/>
  <c r="AJ12" i="4" s="1"/>
  <c r="AD131" i="4"/>
  <c r="AE131" i="4" s="1"/>
  <c r="BX131" i="4" s="1"/>
  <c r="AH131" i="4"/>
  <c r="AJ131" i="4" s="1"/>
  <c r="AD139" i="4"/>
  <c r="AE139" i="4" s="1"/>
  <c r="BX139" i="4" s="1"/>
  <c r="AH139" i="4"/>
  <c r="AJ139" i="4" s="1"/>
  <c r="AD93" i="4"/>
  <c r="AE93" i="4" s="1"/>
  <c r="BX93" i="4" s="1"/>
  <c r="AH93" i="4"/>
  <c r="AJ93" i="4" s="1"/>
  <c r="AD23" i="4"/>
  <c r="AE23" i="4" s="1"/>
  <c r="BX23" i="4" s="1"/>
  <c r="AH23" i="4"/>
  <c r="AJ23" i="4" s="1"/>
  <c r="AD121" i="4"/>
  <c r="AE121" i="4" s="1"/>
  <c r="BX121" i="4" s="1"/>
  <c r="AH121" i="4"/>
  <c r="AJ121" i="4" s="1"/>
  <c r="AD52" i="4"/>
  <c r="AE52" i="4" s="1"/>
  <c r="BX52" i="4" s="1"/>
  <c r="AH52" i="4"/>
  <c r="AD38" i="4"/>
  <c r="AE38" i="4" s="1"/>
  <c r="BX38" i="4" s="1"/>
  <c r="AH38" i="4"/>
  <c r="AJ38" i="4" s="1"/>
  <c r="AD97" i="4"/>
  <c r="AE97" i="4" s="1"/>
  <c r="BX97" i="4" s="1"/>
  <c r="AH97" i="4"/>
  <c r="AD132" i="4"/>
  <c r="AE132" i="4" s="1"/>
  <c r="BX132" i="4" s="1"/>
  <c r="AH132" i="4"/>
  <c r="AJ132" i="4" s="1"/>
  <c r="AD74" i="4"/>
  <c r="AE74" i="4" s="1"/>
  <c r="BX74" i="4" s="1"/>
  <c r="AH74" i="4"/>
  <c r="AJ74" i="4" s="1"/>
  <c r="AD100" i="4"/>
  <c r="AE100" i="4" s="1"/>
  <c r="BX100" i="4" s="1"/>
  <c r="AH100" i="4"/>
  <c r="AJ100" i="4" s="1"/>
  <c r="AD18" i="4"/>
  <c r="AE18" i="4" s="1"/>
  <c r="BX18" i="4" s="1"/>
  <c r="AH18" i="4"/>
  <c r="AJ18" i="4" s="1"/>
  <c r="AD69" i="4"/>
  <c r="AE69" i="4" s="1"/>
  <c r="BX69" i="4" s="1"/>
  <c r="AH69" i="4"/>
  <c r="AD141" i="4"/>
  <c r="AE141" i="4" s="1"/>
  <c r="BX141" i="4" s="1"/>
  <c r="AH141" i="4"/>
  <c r="AJ141" i="4" s="1"/>
  <c r="AD128" i="4"/>
  <c r="AE128" i="4" s="1"/>
  <c r="BX128" i="4" s="1"/>
  <c r="AH128" i="4"/>
  <c r="AJ128" i="4" s="1"/>
  <c r="AD40" i="4"/>
  <c r="AE40" i="4" s="1"/>
  <c r="BX40" i="4" s="1"/>
  <c r="AH40" i="4"/>
  <c r="AJ40" i="4" s="1"/>
  <c r="AD88" i="4"/>
  <c r="AE88" i="4" s="1"/>
  <c r="BX88" i="4" s="1"/>
  <c r="AH88" i="4"/>
  <c r="AJ88" i="4" s="1"/>
  <c r="AD67" i="4"/>
  <c r="AE67" i="4" s="1"/>
  <c r="BX67" i="4" s="1"/>
  <c r="AH67" i="4"/>
  <c r="AJ67" i="4" s="1"/>
  <c r="AD60" i="4"/>
  <c r="AE60" i="4" s="1"/>
  <c r="BX60" i="4" s="1"/>
  <c r="AH60" i="4"/>
  <c r="AJ60" i="4" s="1"/>
  <c r="AD107" i="4"/>
  <c r="AE107" i="4" s="1"/>
  <c r="BX107" i="4" s="1"/>
  <c r="AH107" i="4"/>
  <c r="AD61" i="4"/>
  <c r="AE61" i="4" s="1"/>
  <c r="BX61" i="4" s="1"/>
  <c r="AH61" i="4"/>
  <c r="AJ61" i="4" s="1"/>
  <c r="AD144" i="4"/>
  <c r="AE144" i="4" s="1"/>
  <c r="BX144" i="4" s="1"/>
  <c r="AH144" i="4"/>
  <c r="AJ144" i="4" s="1"/>
  <c r="AD72" i="4"/>
  <c r="AE72" i="4" s="1"/>
  <c r="BX72" i="4" s="1"/>
  <c r="AH72" i="4"/>
  <c r="AD92" i="4"/>
  <c r="AE92" i="4" s="1"/>
  <c r="BX92" i="4" s="1"/>
  <c r="AH92" i="4"/>
  <c r="AJ92" i="4" s="1"/>
  <c r="AD114" i="4"/>
  <c r="AE114" i="4" s="1"/>
  <c r="BX114" i="4" s="1"/>
  <c r="AH114" i="4"/>
  <c r="AJ114" i="4" s="1"/>
  <c r="AD86" i="4"/>
  <c r="AE86" i="4" s="1"/>
  <c r="BX86" i="4" s="1"/>
  <c r="AH86" i="4"/>
  <c r="AJ86" i="4" s="1"/>
  <c r="AD15" i="4"/>
  <c r="AE15" i="4" s="1"/>
  <c r="BX15" i="4" s="1"/>
  <c r="AH15" i="4"/>
  <c r="AJ15" i="4" s="1"/>
  <c r="AD151" i="4"/>
  <c r="AE151" i="4" s="1"/>
  <c r="BX151" i="4" s="1"/>
  <c r="AH151" i="4"/>
  <c r="AJ151" i="4" s="1"/>
  <c r="AD155" i="4"/>
  <c r="AE155" i="4" s="1"/>
  <c r="BX155" i="4" s="1"/>
  <c r="AH155" i="4"/>
  <c r="AD101" i="4"/>
  <c r="AE101" i="4" s="1"/>
  <c r="BX101" i="4" s="1"/>
  <c r="AH101" i="4"/>
  <c r="AJ101" i="4" s="1"/>
  <c r="AD129" i="4"/>
  <c r="AE129" i="4" s="1"/>
  <c r="BX129" i="4" s="1"/>
  <c r="AH129" i="4"/>
  <c r="AJ129" i="4" s="1"/>
  <c r="AD103" i="4"/>
  <c r="AE103" i="4" s="1"/>
  <c r="BX103" i="4" s="1"/>
  <c r="AH103" i="4"/>
  <c r="AJ103" i="4" s="1"/>
  <c r="AD138" i="4"/>
  <c r="AE138" i="4" s="1"/>
  <c r="BX138" i="4" s="1"/>
  <c r="AH138" i="4"/>
  <c r="AJ138" i="4" s="1"/>
  <c r="AQ91" i="4"/>
  <c r="AR91" i="4" s="1"/>
  <c r="AS91" i="4" s="1"/>
  <c r="AD28" i="4"/>
  <c r="AE28" i="4" s="1"/>
  <c r="BX28" i="4" s="1"/>
  <c r="AH28" i="4"/>
  <c r="AJ28" i="4" s="1"/>
  <c r="AQ102" i="4"/>
  <c r="AR102" i="4" s="1"/>
  <c r="AS102" i="4" s="1"/>
  <c r="AD115" i="4"/>
  <c r="AE115" i="4" s="1"/>
  <c r="BX115" i="4" s="1"/>
  <c r="AH115" i="4"/>
  <c r="AJ115" i="4" s="1"/>
  <c r="AD35" i="4"/>
  <c r="AE35" i="4" s="1"/>
  <c r="BX35" i="4" s="1"/>
  <c r="AH35" i="4"/>
  <c r="AJ35" i="4" s="1"/>
  <c r="AD90" i="4"/>
  <c r="AE90" i="4" s="1"/>
  <c r="BX90" i="4" s="1"/>
  <c r="AH90" i="4"/>
  <c r="AD150" i="4"/>
  <c r="AE150" i="4" s="1"/>
  <c r="BX150" i="4" s="1"/>
  <c r="AH150" i="4"/>
  <c r="AD154" i="4"/>
  <c r="AE154" i="4" s="1"/>
  <c r="BX154" i="4" s="1"/>
  <c r="AH154" i="4"/>
  <c r="AJ154" i="4" s="1"/>
  <c r="AD152" i="4"/>
  <c r="AE152" i="4" s="1"/>
  <c r="BX152" i="4" s="1"/>
  <c r="AH152" i="4"/>
  <c r="AD134" i="4"/>
  <c r="AE134" i="4" s="1"/>
  <c r="BX134" i="4" s="1"/>
  <c r="AH134" i="4"/>
  <c r="AJ134" i="4" s="1"/>
  <c r="AD119" i="4"/>
  <c r="AE119" i="4" s="1"/>
  <c r="BX119" i="4" s="1"/>
  <c r="AH119" i="4"/>
  <c r="AJ119" i="4" s="1"/>
  <c r="AD68" i="4"/>
  <c r="AE68" i="4" s="1"/>
  <c r="BX68" i="4" s="1"/>
  <c r="AH68" i="4"/>
  <c r="AJ68" i="4" s="1"/>
  <c r="AD42" i="4"/>
  <c r="AE42" i="4" s="1"/>
  <c r="BX42" i="4" s="1"/>
  <c r="AH42" i="4"/>
  <c r="AJ42" i="4" s="1"/>
  <c r="AD70" i="4"/>
  <c r="AE70" i="4" s="1"/>
  <c r="BX70" i="4" s="1"/>
  <c r="AH70" i="4"/>
  <c r="AJ70" i="4" s="1"/>
  <c r="AD112" i="4"/>
  <c r="AE112" i="4" s="1"/>
  <c r="BX112" i="4" s="1"/>
  <c r="AH112" i="4"/>
  <c r="AJ112" i="4" s="1"/>
  <c r="AD123" i="4"/>
  <c r="AE123" i="4" s="1"/>
  <c r="BX123" i="4" s="1"/>
  <c r="AH123" i="4"/>
  <c r="AD108" i="4"/>
  <c r="AE108" i="4" s="1"/>
  <c r="BX108" i="4" s="1"/>
  <c r="AH108" i="4"/>
  <c r="AD142" i="4"/>
  <c r="AE142" i="4" s="1"/>
  <c r="BX142" i="4" s="1"/>
  <c r="AH142" i="4"/>
  <c r="AD9" i="4"/>
  <c r="AE9" i="4" s="1"/>
  <c r="BX9" i="4" s="1"/>
  <c r="AH9" i="4"/>
  <c r="AJ9" i="4" s="1"/>
  <c r="AD43" i="4"/>
  <c r="AE43" i="4" s="1"/>
  <c r="BX43" i="4" s="1"/>
  <c r="AH43" i="4"/>
  <c r="AJ43" i="4" s="1"/>
  <c r="AD8" i="4"/>
  <c r="AE8" i="4" s="1"/>
  <c r="AJ8" i="4"/>
  <c r="AD53" i="4"/>
  <c r="AE53" i="4" s="1"/>
  <c r="BX53" i="4" s="1"/>
  <c r="AH53" i="4"/>
  <c r="AJ53" i="4" s="1"/>
  <c r="AD83" i="4"/>
  <c r="AE83" i="4" s="1"/>
  <c r="BX83" i="4" s="1"/>
  <c r="AH83" i="4"/>
  <c r="AD51" i="4"/>
  <c r="AE51" i="4" s="1"/>
  <c r="BX51" i="4" s="1"/>
  <c r="AH51" i="4"/>
  <c r="AJ51" i="4" s="1"/>
  <c r="AD77" i="4"/>
  <c r="AE77" i="4" s="1"/>
  <c r="BX77" i="4" s="1"/>
  <c r="AH77" i="4"/>
  <c r="AJ77" i="4" s="1"/>
  <c r="AD120" i="4"/>
  <c r="AE120" i="4" s="1"/>
  <c r="BX120" i="4" s="1"/>
  <c r="AH120" i="4"/>
  <c r="AD71" i="4"/>
  <c r="AE71" i="4" s="1"/>
  <c r="BX71" i="4" s="1"/>
  <c r="AH71" i="4"/>
  <c r="AJ71" i="4" s="1"/>
  <c r="AD85" i="4"/>
  <c r="AE85" i="4" s="1"/>
  <c r="BX85" i="4" s="1"/>
  <c r="AH85" i="4"/>
  <c r="AJ85" i="4" s="1"/>
  <c r="AD14" i="4"/>
  <c r="AE14" i="4" s="1"/>
  <c r="BX14" i="4" s="1"/>
  <c r="AH14" i="4"/>
  <c r="AJ14" i="4" s="1"/>
  <c r="AD98" i="4"/>
  <c r="AE98" i="4" s="1"/>
  <c r="BX98" i="4" s="1"/>
  <c r="AH98" i="4"/>
  <c r="AJ98" i="4" s="1"/>
  <c r="AD36" i="4"/>
  <c r="AE36" i="4" s="1"/>
  <c r="BX36" i="4" s="1"/>
  <c r="AH36" i="4"/>
  <c r="AJ36" i="4" s="1"/>
  <c r="AD63" i="4"/>
  <c r="AE63" i="4" s="1"/>
  <c r="BX63" i="4" s="1"/>
  <c r="AH63" i="4"/>
  <c r="AJ63" i="4" s="1"/>
  <c r="AD125" i="4"/>
  <c r="AE125" i="4" s="1"/>
  <c r="BX125" i="4" s="1"/>
  <c r="AH125" i="4"/>
  <c r="AJ125" i="4" s="1"/>
  <c r="AD11" i="4"/>
  <c r="AE11" i="4" s="1"/>
  <c r="BX11" i="4" s="1"/>
  <c r="AH11" i="4"/>
  <c r="AJ11" i="4" s="1"/>
  <c r="AX365" i="10"/>
  <c r="AN105" i="4"/>
  <c r="AS105" i="4" s="1"/>
  <c r="BI130" i="4"/>
  <c r="AN85" i="4"/>
  <c r="AS85" i="4" s="1"/>
  <c r="AQ155" i="4"/>
  <c r="AQ121" i="4"/>
  <c r="AR121" i="4" s="1"/>
  <c r="BI21" i="4"/>
  <c r="BI157" i="4"/>
  <c r="AB140" i="4"/>
  <c r="BU140" i="4" s="1"/>
  <c r="AN56" i="4"/>
  <c r="AS56" i="4" s="1"/>
  <c r="BI145" i="4"/>
  <c r="AQ9" i="4"/>
  <c r="AR9" i="4" s="1"/>
  <c r="AS9" i="4" s="1"/>
  <c r="AN66" i="4"/>
  <c r="AS66" i="4" s="1"/>
  <c r="BI54" i="4"/>
  <c r="AN35" i="4"/>
  <c r="AS35" i="4" s="1"/>
  <c r="BI152" i="4"/>
  <c r="AB39" i="4"/>
  <c r="BU39" i="4" s="1"/>
  <c r="BI19" i="4"/>
  <c r="AQ17" i="4"/>
  <c r="AR17" i="4" s="1"/>
  <c r="AQ50" i="4"/>
  <c r="AR50" i="4" s="1"/>
  <c r="AQ89" i="4"/>
  <c r="AR89" i="4" s="1"/>
  <c r="BI149" i="4"/>
  <c r="AN27" i="4"/>
  <c r="AN109" i="4"/>
  <c r="AB59" i="4"/>
  <c r="BU59" i="4" s="1"/>
  <c r="AN89" i="4"/>
  <c r="AN141" i="4"/>
  <c r="AQ94" i="4"/>
  <c r="AR94" i="4" s="1"/>
  <c r="BI49" i="4"/>
  <c r="BQ8" i="4"/>
  <c r="AX403" i="10"/>
  <c r="AX512" i="10"/>
  <c r="AN50" i="4"/>
  <c r="AN16" i="4"/>
  <c r="AN20" i="4"/>
  <c r="AS20" i="4" s="1"/>
  <c r="AQ93" i="4"/>
  <c r="AR93" i="4" s="1"/>
  <c r="BI41" i="4"/>
  <c r="BI37" i="4"/>
  <c r="BI59" i="4"/>
  <c r="AN12" i="4"/>
  <c r="AN13" i="4"/>
  <c r="AS13" i="4" s="1"/>
  <c r="AQ101" i="4"/>
  <c r="AR101" i="4" s="1"/>
  <c r="AS101" i="4" s="1"/>
  <c r="AQ62" i="4"/>
  <c r="AR62" i="4" s="1"/>
  <c r="AS62" i="4" s="1"/>
  <c r="AQ76" i="4"/>
  <c r="AR76" i="4" s="1"/>
  <c r="AN30" i="4"/>
  <c r="AN80" i="4"/>
  <c r="AN61" i="4"/>
  <c r="AN151" i="4"/>
  <c r="AQ141" i="4"/>
  <c r="AR141" i="4" s="1"/>
  <c r="AQ27" i="4"/>
  <c r="AR27" i="4" s="1"/>
  <c r="BI69" i="4"/>
  <c r="BI32" i="4"/>
  <c r="BI137" i="4"/>
  <c r="AQ109" i="4"/>
  <c r="AR109" i="4" s="1"/>
  <c r="AQ12" i="4"/>
  <c r="AR12" i="4" s="1"/>
  <c r="AQ16" i="4"/>
  <c r="AR16" i="4" s="1"/>
  <c r="AN17" i="4"/>
  <c r="AN76" i="4"/>
  <c r="AQ30" i="4"/>
  <c r="AR30" i="4" s="1"/>
  <c r="AQ80" i="4"/>
  <c r="AR80" i="4" s="1"/>
  <c r="AQ61" i="4"/>
  <c r="AR61" i="4" s="1"/>
  <c r="AQ151" i="4"/>
  <c r="AR151" i="4" s="1"/>
  <c r="AN93" i="4"/>
  <c r="AN39" i="4"/>
  <c r="AQ39" i="4"/>
  <c r="AR39" i="4" s="1"/>
  <c r="AN69" i="4"/>
  <c r="AQ69" i="4"/>
  <c r="AR69" i="4" s="1"/>
  <c r="AN75" i="4"/>
  <c r="AN88" i="4"/>
  <c r="AQ73" i="4"/>
  <c r="AR73" i="4" s="1"/>
  <c r="AN125" i="4"/>
  <c r="AS125" i="4" s="1"/>
  <c r="AN138" i="4"/>
  <c r="AS138" i="4" s="1"/>
  <c r="AN115" i="4"/>
  <c r="AS115" i="4" s="1"/>
  <c r="AQ57" i="4"/>
  <c r="AR57" i="4" s="1"/>
  <c r="AN111" i="4"/>
  <c r="AS111" i="4" s="1"/>
  <c r="AN11" i="4"/>
  <c r="AS11" i="4" s="1"/>
  <c r="AN94" i="4"/>
  <c r="AQ63" i="4"/>
  <c r="AR63" i="4" s="1"/>
  <c r="AN53" i="4"/>
  <c r="AN45" i="4"/>
  <c r="AS45" i="4" s="1"/>
  <c r="AN29" i="4"/>
  <c r="AN34" i="4"/>
  <c r="AQ70" i="4"/>
  <c r="AR70" i="4" s="1"/>
  <c r="AQ131" i="4"/>
  <c r="AQ139" i="4"/>
  <c r="AR139" i="4" s="1"/>
  <c r="AS139" i="4" s="1"/>
  <c r="AQ52" i="4"/>
  <c r="AR52" i="4" s="1"/>
  <c r="AN15" i="4"/>
  <c r="AN147" i="4"/>
  <c r="AS147" i="4" s="1"/>
  <c r="AQ88" i="4"/>
  <c r="AR88" i="4" s="1"/>
  <c r="AN129" i="4"/>
  <c r="AS129" i="4" s="1"/>
  <c r="AQ55" i="4"/>
  <c r="AR55" i="4" s="1"/>
  <c r="AS55" i="4" s="1"/>
  <c r="AN31" i="4"/>
  <c r="AQ51" i="4"/>
  <c r="AR51" i="4" s="1"/>
  <c r="AN58" i="4"/>
  <c r="AQ84" i="4"/>
  <c r="AR84" i="4" s="1"/>
  <c r="AS84" i="4" s="1"/>
  <c r="AQ144" i="4"/>
  <c r="AR144" i="4" s="1"/>
  <c r="AQ43" i="4"/>
  <c r="AR43" i="4" s="1"/>
  <c r="AN77" i="4"/>
  <c r="AS77" i="4" s="1"/>
  <c r="AN103" i="4"/>
  <c r="AN119" i="4"/>
  <c r="AN37" i="4"/>
  <c r="AS37" i="4" s="1"/>
  <c r="AN25" i="4"/>
  <c r="AQ38" i="4"/>
  <c r="AR38" i="4" s="1"/>
  <c r="AQ25" i="4"/>
  <c r="AR25" i="4" s="1"/>
  <c r="AN57" i="4"/>
  <c r="AN38" i="4"/>
  <c r="AQ31" i="4"/>
  <c r="AR31" i="4" s="1"/>
  <c r="AN51" i="4"/>
  <c r="AQ82" i="4"/>
  <c r="AR82" i="4" s="1"/>
  <c r="AN90" i="4"/>
  <c r="AN33" i="4"/>
  <c r="AS33" i="4" s="1"/>
  <c r="AQ135" i="4"/>
  <c r="AR135" i="4" s="1"/>
  <c r="AS135" i="4" s="1"/>
  <c r="AN127" i="4"/>
  <c r="AN67" i="4"/>
  <c r="AQ41" i="4"/>
  <c r="AR41" i="4" s="1"/>
  <c r="AQ59" i="4"/>
  <c r="AR59" i="4" s="1"/>
  <c r="AS59" i="4" s="1"/>
  <c r="AQ8" i="4"/>
  <c r="AR8" i="4" s="1"/>
  <c r="AQ23" i="4"/>
  <c r="AR23" i="4" s="1"/>
  <c r="AQ97" i="4"/>
  <c r="AR97" i="4" s="1"/>
  <c r="AN97" i="4"/>
  <c r="AN23" i="4"/>
  <c r="AQ67" i="4"/>
  <c r="AR67" i="4" s="1"/>
  <c r="AN43" i="4"/>
  <c r="AO116" i="4"/>
  <c r="AQ127" i="4"/>
  <c r="AQ58" i="4"/>
  <c r="AR58" i="4" s="1"/>
  <c r="AN144" i="4"/>
  <c r="AQ29" i="4"/>
  <c r="AR29" i="4" s="1"/>
  <c r="BI104" i="4"/>
  <c r="BI64" i="4"/>
  <c r="BI111" i="4"/>
  <c r="AB126" i="4"/>
  <c r="BU126" i="4" s="1"/>
  <c r="AO130" i="4"/>
  <c r="AN130" i="4" s="1"/>
  <c r="BI136" i="4"/>
  <c r="AN41" i="4"/>
  <c r="AB102" i="4"/>
  <c r="BU102" i="4" s="1"/>
  <c r="AB111" i="4"/>
  <c r="BU111" i="4" s="1"/>
  <c r="AQ119" i="4"/>
  <c r="AR119" i="4" s="1"/>
  <c r="AQ15" i="4"/>
  <c r="AR15" i="4" s="1"/>
  <c r="AN63" i="4"/>
  <c r="AN73" i="4"/>
  <c r="AQ53" i="4"/>
  <c r="AR53" i="4" s="1"/>
  <c r="BI26" i="4"/>
  <c r="AN8" i="4"/>
  <c r="BI123" i="4"/>
  <c r="AO110" i="4"/>
  <c r="AB122" i="4"/>
  <c r="BU122" i="4" s="1"/>
  <c r="AO21" i="4"/>
  <c r="AN70" i="4"/>
  <c r="AQ103" i="4"/>
  <c r="AR103" i="4" s="1"/>
  <c r="AQ34" i="4"/>
  <c r="AR34" i="4" s="1"/>
  <c r="AO137" i="4"/>
  <c r="AO19" i="4"/>
  <c r="AN19" i="4" s="1"/>
  <c r="AO156" i="4"/>
  <c r="AO148" i="4"/>
  <c r="AQ148" i="4" s="1"/>
  <c r="AR148" i="4" s="1"/>
  <c r="BI97" i="4"/>
  <c r="BI126" i="4"/>
  <c r="BI142" i="4"/>
  <c r="AO113" i="4"/>
  <c r="AN131" i="4"/>
  <c r="AO146" i="4"/>
  <c r="AO136" i="4"/>
  <c r="AQ136" i="4" s="1"/>
  <c r="AR136" i="4" s="1"/>
  <c r="AO24" i="4"/>
  <c r="AO143" i="4"/>
  <c r="AO117" i="4"/>
  <c r="AQ117" i="4" s="1"/>
  <c r="AR117" i="4" s="1"/>
  <c r="AO124" i="4"/>
  <c r="AO145" i="4"/>
  <c r="AO108" i="4"/>
  <c r="BI90" i="4"/>
  <c r="BI91" i="4"/>
  <c r="BI150" i="4"/>
  <c r="BI122" i="4"/>
  <c r="AO142" i="4"/>
  <c r="AO54" i="4"/>
  <c r="AO49" i="4"/>
  <c r="AN49" i="4" s="1"/>
  <c r="AO65" i="4"/>
  <c r="AO149" i="4"/>
  <c r="AO81" i="4"/>
  <c r="AQ81" i="4" s="1"/>
  <c r="AR81" i="4" s="1"/>
  <c r="AO123" i="4"/>
  <c r="AO140" i="4"/>
  <c r="BI140" i="4"/>
  <c r="AB94" i="4"/>
  <c r="BU94" i="4" s="1"/>
  <c r="AQ90" i="4"/>
  <c r="AR90" i="4" s="1"/>
  <c r="AN52" i="4"/>
  <c r="AX471" i="10"/>
  <c r="BI156" i="4"/>
  <c r="BI48" i="4"/>
  <c r="BI148" i="4"/>
  <c r="AQ75" i="4"/>
  <c r="AR75" i="4" s="1"/>
  <c r="BI143" i="4"/>
  <c r="BI117" i="4"/>
  <c r="BI82" i="4"/>
  <c r="BI124" i="4"/>
  <c r="AN82" i="4"/>
  <c r="AS83" i="4"/>
  <c r="AS99" i="4"/>
  <c r="AS40" i="4"/>
  <c r="AS87" i="4"/>
  <c r="AS98" i="4"/>
  <c r="AS86" i="4"/>
  <c r="AS68" i="4"/>
  <c r="AS10" i="4"/>
  <c r="AS14" i="4"/>
  <c r="AS120" i="4"/>
  <c r="AS28" i="4"/>
  <c r="AS71" i="4"/>
  <c r="AS95" i="4"/>
  <c r="AS78" i="4"/>
  <c r="AS36" i="4"/>
  <c r="AS74" i="4"/>
  <c r="AS22" i="4"/>
  <c r="AS60" i="4"/>
  <c r="AS18" i="4"/>
  <c r="AQ32" i="4"/>
  <c r="AR32" i="4" s="1"/>
  <c r="AN32" i="4"/>
  <c r="AQ112" i="4"/>
  <c r="AR112" i="4" s="1"/>
  <c r="AN112" i="4"/>
  <c r="AN26" i="4"/>
  <c r="AQ26" i="4"/>
  <c r="AR26" i="4" s="1"/>
  <c r="AQ134" i="4"/>
  <c r="AR134" i="4" s="1"/>
  <c r="AN134" i="4"/>
  <c r="AQ114" i="4"/>
  <c r="AR114" i="4" s="1"/>
  <c r="AN114" i="4"/>
  <c r="AQ44" i="4"/>
  <c r="AR44" i="4" s="1"/>
  <c r="AN44" i="4"/>
  <c r="AN96" i="4"/>
  <c r="AQ96" i="4"/>
  <c r="AR96" i="4" s="1"/>
  <c r="AQ132" i="4"/>
  <c r="AR132" i="4" s="1"/>
  <c r="AN132" i="4"/>
  <c r="AQ128" i="4"/>
  <c r="AR128" i="4" s="1"/>
  <c r="AN128" i="4"/>
  <c r="AN64" i="4"/>
  <c r="AQ64" i="4"/>
  <c r="AR64" i="4" s="1"/>
  <c r="AO47" i="4"/>
  <c r="AQ92" i="4"/>
  <c r="AR92" i="4" s="1"/>
  <c r="AN92" i="4"/>
  <c r="AO118" i="4"/>
  <c r="AQ79" i="4"/>
  <c r="AR79" i="4" s="1"/>
  <c r="AN79" i="4"/>
  <c r="AN106" i="4"/>
  <c r="AQ106" i="4"/>
  <c r="AR106" i="4" s="1"/>
  <c r="AO104" i="4"/>
  <c r="AO46" i="4"/>
  <c r="AN100" i="4"/>
  <c r="AQ100" i="4"/>
  <c r="AR100" i="4" s="1"/>
  <c r="AQ48" i="4"/>
  <c r="AR48" i="4" s="1"/>
  <c r="AN48" i="4"/>
  <c r="AB82" i="4"/>
  <c r="BU82" i="4" s="1"/>
  <c r="AB48" i="4"/>
  <c r="BU48" i="4" s="1"/>
  <c r="AB143" i="4"/>
  <c r="BU143" i="4" s="1"/>
  <c r="AB157" i="4"/>
  <c r="BU157" i="4" s="1"/>
  <c r="AB124" i="4"/>
  <c r="BU124" i="4" s="1"/>
  <c r="AB156" i="4"/>
  <c r="BU156" i="4" s="1"/>
  <c r="AB117" i="4"/>
  <c r="BU117" i="4" s="1"/>
  <c r="AB148" i="4"/>
  <c r="BU148" i="4" s="1"/>
  <c r="AX444" i="10"/>
  <c r="AB46" i="4"/>
  <c r="BU46" i="4" s="1"/>
  <c r="AB49" i="4"/>
  <c r="BU49" i="4" s="1"/>
  <c r="AB54" i="4"/>
  <c r="BU54" i="4" s="1"/>
  <c r="AB19" i="4"/>
  <c r="BU19" i="4" s="1"/>
  <c r="AB104" i="4"/>
  <c r="BU104" i="4" s="1"/>
  <c r="AB106" i="4"/>
  <c r="BU106" i="4" s="1"/>
  <c r="AB110" i="4"/>
  <c r="BU110" i="4" s="1"/>
  <c r="AB79" i="4"/>
  <c r="BU79" i="4" s="1"/>
  <c r="AB26" i="4"/>
  <c r="BU26" i="4" s="1"/>
  <c r="AB21" i="4"/>
  <c r="BU21" i="4" s="1"/>
  <c r="AB113" i="4"/>
  <c r="BU113" i="4" s="1"/>
  <c r="AB32" i="4"/>
  <c r="BU32" i="4" s="1"/>
  <c r="AB149" i="4"/>
  <c r="BU149" i="4" s="1"/>
  <c r="AB146" i="4"/>
  <c r="BU146" i="4" s="1"/>
  <c r="AB136" i="4"/>
  <c r="BU136" i="4" s="1"/>
  <c r="AB65" i="4"/>
  <c r="BU65" i="4" s="1"/>
  <c r="AB118" i="4"/>
  <c r="BU118" i="4" s="1"/>
  <c r="AB64" i="4"/>
  <c r="BU64" i="4" s="1"/>
  <c r="AB81" i="4"/>
  <c r="BU81" i="4" s="1"/>
  <c r="AB47" i="4"/>
  <c r="BU47" i="4" s="1"/>
  <c r="AB24" i="4"/>
  <c r="BU24" i="4" s="1"/>
  <c r="AB137" i="4"/>
  <c r="BU137" i="4" s="1"/>
  <c r="AX432" i="10"/>
  <c r="AX51" i="10"/>
  <c r="AW300" i="10"/>
  <c r="AD34" i="4"/>
  <c r="AW490" i="10"/>
  <c r="AX72" i="10"/>
  <c r="AW132" i="10"/>
  <c r="AW346" i="10"/>
  <c r="AX378" i="10"/>
  <c r="AW353" i="10"/>
  <c r="AX215" i="10"/>
  <c r="AX202" i="10"/>
  <c r="AD10" i="4"/>
  <c r="AX43" i="10"/>
  <c r="AX141" i="10"/>
  <c r="AX464" i="10"/>
  <c r="AW556" i="10"/>
  <c r="AW315" i="10"/>
  <c r="AD17" i="4"/>
  <c r="AW332" i="10"/>
  <c r="AW350" i="10"/>
  <c r="AW458" i="10"/>
  <c r="AW203" i="10"/>
  <c r="AW441" i="10"/>
  <c r="AX272" i="10"/>
  <c r="AX411" i="10"/>
  <c r="AX119" i="10"/>
  <c r="AX145" i="10"/>
  <c r="AX116" i="10"/>
  <c r="AW382" i="10"/>
  <c r="AW50" i="10"/>
  <c r="AW290" i="10"/>
  <c r="AX104" i="10"/>
  <c r="AX320" i="10"/>
  <c r="AX522" i="10"/>
  <c r="AW336" i="10"/>
  <c r="AX143" i="10"/>
  <c r="AX97" i="10"/>
  <c r="AX73" i="10"/>
  <c r="AW88" i="10"/>
  <c r="AX485" i="10"/>
  <c r="AX341" i="10"/>
  <c r="AW419" i="10"/>
  <c r="AX27" i="10"/>
  <c r="AW266" i="10"/>
  <c r="AW197" i="10"/>
  <c r="AW105" i="10"/>
  <c r="AX425" i="10"/>
  <c r="AX156" i="10"/>
  <c r="AX243" i="10"/>
  <c r="AW150" i="10"/>
  <c r="AX362" i="10"/>
  <c r="AX406" i="10"/>
  <c r="AX544" i="10"/>
  <c r="AX271" i="10"/>
  <c r="AW64" i="10"/>
  <c r="AX530" i="10"/>
  <c r="AW167" i="10"/>
  <c r="AD95" i="4"/>
  <c r="AD105" i="4"/>
  <c r="AD109" i="4"/>
  <c r="AD91" i="4"/>
  <c r="AD99" i="4"/>
  <c r="AD87" i="4"/>
  <c r="AD130" i="4"/>
  <c r="AD116" i="4"/>
  <c r="AD135" i="4"/>
  <c r="AD89" i="4"/>
  <c r="AW466" i="10"/>
  <c r="AX329" i="10"/>
  <c r="AX288" i="10"/>
  <c r="AX222" i="10"/>
  <c r="AX497" i="10"/>
  <c r="AX331" i="10"/>
  <c r="AX130" i="10"/>
  <c r="AW533" i="10"/>
  <c r="AX468" i="10"/>
  <c r="AX475" i="10"/>
  <c r="AW178" i="10"/>
  <c r="AX165" i="10"/>
  <c r="AW166" i="10"/>
  <c r="AW205" i="10"/>
  <c r="AW538" i="10"/>
  <c r="AW540" i="10"/>
  <c r="AW415" i="10"/>
  <c r="AX293" i="10"/>
  <c r="AW319" i="10"/>
  <c r="AW176" i="10"/>
  <c r="AX369" i="10"/>
  <c r="AW248" i="10"/>
  <c r="AX351" i="10"/>
  <c r="AW433" i="10"/>
  <c r="AW93" i="10"/>
  <c r="AX221" i="10"/>
  <c r="AW342" i="10"/>
  <c r="AW151" i="10"/>
  <c r="AX499" i="10"/>
  <c r="AW63" i="10"/>
  <c r="AX558" i="10"/>
  <c r="AX89" i="10"/>
  <c r="AW377" i="10"/>
  <c r="AW284" i="10"/>
  <c r="AW515" i="10"/>
  <c r="AW84" i="10"/>
  <c r="AW75" i="10"/>
  <c r="AX296" i="10"/>
  <c r="AX118" i="10"/>
  <c r="AW501" i="10"/>
  <c r="AW318" i="10"/>
  <c r="AX455" i="10"/>
  <c r="AX453" i="10"/>
  <c r="AX58" i="10"/>
  <c r="AX354" i="10"/>
  <c r="AW507" i="10"/>
  <c r="AX209" i="10"/>
  <c r="AW68" i="10"/>
  <c r="AW38" i="10"/>
  <c r="AX330" i="10"/>
  <c r="AW557" i="10"/>
  <c r="AX8" i="10"/>
  <c r="AX240" i="10"/>
  <c r="AX502" i="10"/>
  <c r="AW463" i="10"/>
  <c r="AX388" i="10"/>
  <c r="AW491" i="10"/>
  <c r="AW139" i="10"/>
  <c r="AW244" i="10"/>
  <c r="AX48" i="10"/>
  <c r="AX393" i="10"/>
  <c r="AW500" i="10"/>
  <c r="AX188" i="10"/>
  <c r="AW263" i="10"/>
  <c r="AW373" i="10"/>
  <c r="AW356" i="10"/>
  <c r="AW539" i="10"/>
  <c r="AX218" i="10"/>
  <c r="AW36" i="10"/>
  <c r="AX182" i="10"/>
  <c r="AW110" i="10"/>
  <c r="AW302" i="10"/>
  <c r="AX44" i="10"/>
  <c r="AX102" i="10"/>
  <c r="AX59" i="10"/>
  <c r="AW536" i="10"/>
  <c r="AX314" i="10"/>
  <c r="AX235" i="10"/>
  <c r="AX323" i="10"/>
  <c r="AX291" i="10"/>
  <c r="AW492" i="10"/>
  <c r="AW265" i="10"/>
  <c r="AW422" i="10"/>
  <c r="AW126" i="10"/>
  <c r="AW228" i="10"/>
  <c r="AX121" i="10"/>
  <c r="AX435" i="10"/>
  <c r="AX462" i="10"/>
  <c r="AX338" i="10"/>
  <c r="AX281" i="10"/>
  <c r="AX446" i="10"/>
  <c r="AX473" i="10"/>
  <c r="AW220" i="10"/>
  <c r="AX394" i="10"/>
  <c r="AW212" i="10"/>
  <c r="AW451" i="10"/>
  <c r="AW133" i="10"/>
  <c r="AW412" i="10"/>
  <c r="AX328" i="10"/>
  <c r="AW357" i="10"/>
  <c r="AX454" i="10"/>
  <c r="AW85" i="10"/>
  <c r="AX560" i="10"/>
  <c r="AW33" i="10"/>
  <c r="AX486" i="10"/>
  <c r="AX457" i="10"/>
  <c r="AX325" i="10"/>
  <c r="AW261" i="10"/>
  <c r="AW477" i="10"/>
  <c r="AW363" i="10"/>
  <c r="AX148" i="10"/>
  <c r="AW410" i="10"/>
  <c r="AW225" i="10"/>
  <c r="AW389" i="10"/>
  <c r="AX335" i="10"/>
  <c r="AW434" i="10"/>
  <c r="AW489" i="10"/>
  <c r="AW372" i="10"/>
  <c r="AX381" i="10"/>
  <c r="AW301" i="10"/>
  <c r="AX361" i="10"/>
  <c r="AW181" i="10"/>
  <c r="AX67" i="10"/>
  <c r="AW227" i="10"/>
  <c r="AX138" i="10"/>
  <c r="AX308" i="10"/>
  <c r="AX195" i="10"/>
  <c r="AW459" i="10"/>
  <c r="AW340" i="10"/>
  <c r="AX413" i="10"/>
  <c r="AX86" i="10"/>
  <c r="AX487" i="10"/>
  <c r="AW47" i="10"/>
  <c r="AW292" i="10"/>
  <c r="AX481" i="10"/>
  <c r="AX171" i="10"/>
  <c r="AW405" i="10"/>
  <c r="AW304" i="10"/>
  <c r="AW61" i="10"/>
  <c r="AX275" i="10"/>
  <c r="AX71" i="10"/>
  <c r="AW286" i="10"/>
  <c r="AW360" i="10"/>
  <c r="AW80" i="10"/>
  <c r="AX474" i="10"/>
  <c r="AW509" i="10"/>
  <c r="AX186" i="10"/>
  <c r="AW103" i="10"/>
  <c r="AX276" i="10"/>
  <c r="AW289" i="10"/>
  <c r="AX495" i="10"/>
  <c r="AX29" i="10"/>
  <c r="AX106" i="10"/>
  <c r="AW91" i="10"/>
  <c r="AX217" i="10"/>
  <c r="AX334" i="10"/>
  <c r="AW313" i="10"/>
  <c r="AX253" i="10"/>
  <c r="AX128" i="10"/>
  <c r="AX269" i="10"/>
  <c r="AX144" i="10"/>
  <c r="AW7" i="10"/>
  <c r="AX513" i="10"/>
  <c r="AW163" i="10"/>
  <c r="AW123" i="10"/>
  <c r="AX414" i="10"/>
  <c r="AW226" i="10"/>
  <c r="AX452" i="10"/>
  <c r="AX208" i="10"/>
  <c r="AX545" i="10"/>
  <c r="AX83" i="10"/>
  <c r="AW179" i="10"/>
  <c r="AW90" i="10"/>
  <c r="AX436" i="10"/>
  <c r="AW483" i="10"/>
  <c r="AW439" i="10"/>
  <c r="AX112" i="10"/>
  <c r="AW294" i="10"/>
  <c r="AW298" i="10"/>
  <c r="AW555" i="10"/>
  <c r="AX268" i="10"/>
  <c r="AW316" i="10"/>
  <c r="AX258" i="10"/>
  <c r="AX159" i="10"/>
  <c r="AX241" i="10"/>
  <c r="AX26" i="10"/>
  <c r="AX101" i="10"/>
  <c r="AX494" i="10"/>
  <c r="AW327" i="10"/>
  <c r="AW559" i="10"/>
  <c r="AW19" i="10"/>
  <c r="AX255" i="10"/>
  <c r="AW528" i="10"/>
  <c r="AW521" i="10"/>
  <c r="AX299" i="10"/>
  <c r="AW396" i="10"/>
  <c r="AW82" i="10"/>
  <c r="AW324" i="10"/>
  <c r="AW214" i="10"/>
  <c r="AX193" i="10"/>
  <c r="AW254" i="10"/>
  <c r="AW24" i="10"/>
  <c r="AW21" i="10"/>
  <c r="AX236" i="10"/>
  <c r="AW191" i="10"/>
  <c r="AW57" i="10"/>
  <c r="AX246" i="10"/>
  <c r="AX345" i="10"/>
  <c r="AW32" i="10"/>
  <c r="AW438" i="10"/>
  <c r="AW546" i="10"/>
  <c r="AW109" i="10"/>
  <c r="AW450" i="10"/>
  <c r="AT374" i="5"/>
  <c r="AW136" i="10"/>
  <c r="AX135" i="10"/>
  <c r="AW359" i="10"/>
  <c r="AX42" i="10"/>
  <c r="AX423" i="10"/>
  <c r="AW196" i="10"/>
  <c r="AW525" i="10"/>
  <c r="AX409" i="10"/>
  <c r="AX431" i="10"/>
  <c r="AW392" i="10"/>
  <c r="AX120" i="10"/>
  <c r="AX161" i="10"/>
  <c r="AW404" i="10"/>
  <c r="AW184" i="10"/>
  <c r="AX155" i="10"/>
  <c r="AW199" i="10"/>
  <c r="AW213" i="10"/>
  <c r="AX70" i="10"/>
  <c r="AW183" i="10"/>
  <c r="AW147" i="10"/>
  <c r="AT363" i="5"/>
  <c r="AW375" i="10"/>
  <c r="AW508" i="10"/>
  <c r="AX234" i="10"/>
  <c r="AX352" i="10"/>
  <c r="AW496" i="10"/>
  <c r="AX407" i="10"/>
  <c r="AX158" i="10"/>
  <c r="AW256" i="10"/>
  <c r="AW339" i="10"/>
  <c r="AX96" i="10"/>
  <c r="AX9" i="10"/>
  <c r="AW424" i="10"/>
  <c r="AW397" i="10"/>
  <c r="AX461" i="10"/>
  <c r="AW187" i="10"/>
  <c r="AW238" i="10"/>
  <c r="AX210" i="10"/>
  <c r="AX31" i="10"/>
  <c r="AX524" i="10"/>
  <c r="AW239" i="10"/>
  <c r="AW223" i="10"/>
  <c r="AW216" i="10"/>
  <c r="AW549" i="10"/>
  <c r="AW190" i="10"/>
  <c r="AW519" i="10"/>
  <c r="AX379" i="10"/>
  <c r="AW81" i="10"/>
  <c r="AW523" i="10"/>
  <c r="AW554" i="10"/>
  <c r="AW470" i="10"/>
  <c r="AW201" i="10"/>
  <c r="AX479" i="10"/>
  <c r="AW146" i="10"/>
  <c r="AW260" i="10"/>
  <c r="AW114" i="10"/>
  <c r="AX154" i="10"/>
  <c r="AX349" i="10"/>
  <c r="AW311" i="10"/>
  <c r="AU329" i="5"/>
  <c r="AW140" i="10"/>
  <c r="AX60" i="10"/>
  <c r="AW270" i="10"/>
  <c r="AV11" i="10"/>
  <c r="AW11" i="10" s="1"/>
  <c r="AX74" i="10"/>
  <c r="AW460" i="10"/>
  <c r="AX49" i="10"/>
  <c r="AX287" i="10"/>
  <c r="AX149" i="10"/>
  <c r="AX504" i="10"/>
  <c r="AX347" i="10"/>
  <c r="AW447" i="10"/>
  <c r="AX252" i="10"/>
  <c r="AW429" i="10"/>
  <c r="AW467" i="10"/>
  <c r="AW40" i="10"/>
  <c r="AW232" i="10"/>
  <c r="AX511" i="10"/>
  <c r="AW400" i="10"/>
  <c r="AW518" i="10"/>
  <c r="AD11" i="10"/>
  <c r="AX267" i="10"/>
  <c r="AW23" i="10"/>
  <c r="AU540" i="5"/>
  <c r="AX505" i="10"/>
  <c r="AW237" i="10"/>
  <c r="AU470" i="5"/>
  <c r="AX344" i="10"/>
  <c r="AW264" i="10"/>
  <c r="AT11" i="10"/>
  <c r="AU11" i="10"/>
  <c r="AU481" i="5"/>
  <c r="AU440" i="5"/>
  <c r="AT52" i="5"/>
  <c r="AT274" i="5"/>
  <c r="AT22" i="5"/>
  <c r="AU115" i="5"/>
  <c r="AU19" i="5"/>
  <c r="AT205" i="5"/>
  <c r="AT288" i="5"/>
  <c r="AT229" i="5"/>
  <c r="AT204" i="5"/>
  <c r="AT42" i="5"/>
  <c r="AT306" i="5"/>
  <c r="AT65" i="5"/>
  <c r="AU30" i="5"/>
  <c r="AU287" i="5"/>
  <c r="AU397" i="5"/>
  <c r="AU519" i="5"/>
  <c r="AT193" i="5"/>
  <c r="AU515" i="5"/>
  <c r="AT400" i="5"/>
  <c r="AT203" i="5"/>
  <c r="AT194" i="5"/>
  <c r="AU525" i="5"/>
  <c r="AU95" i="5"/>
  <c r="AT411" i="5"/>
  <c r="AT240" i="5"/>
  <c r="AU138" i="5"/>
  <c r="AU266" i="5"/>
  <c r="AU189" i="5"/>
  <c r="AQ11" i="5"/>
  <c r="AT89" i="5"/>
  <c r="AT549" i="5"/>
  <c r="AU437" i="5"/>
  <c r="AU347" i="5"/>
  <c r="AU73" i="5"/>
  <c r="AU83" i="5"/>
  <c r="AT522" i="5"/>
  <c r="AU483" i="5"/>
  <c r="AU351" i="5"/>
  <c r="AU342" i="5"/>
  <c r="AU346" i="5"/>
  <c r="AT107" i="5"/>
  <c r="AU492" i="5"/>
  <c r="AU403" i="5"/>
  <c r="AT394" i="5"/>
  <c r="AU530" i="5"/>
  <c r="AT388" i="5"/>
  <c r="AT190" i="5"/>
  <c r="AT482" i="5"/>
  <c r="AU90" i="5"/>
  <c r="AU154" i="5"/>
  <c r="AT257" i="5"/>
  <c r="AT196" i="5"/>
  <c r="AU94" i="5"/>
  <c r="AU156" i="5"/>
  <c r="AU423" i="5"/>
  <c r="AU176" i="5"/>
  <c r="AU503" i="5"/>
  <c r="AT292" i="5"/>
  <c r="AU410" i="5"/>
  <c r="AU421" i="5"/>
  <c r="AU170" i="5"/>
  <c r="AT435" i="5"/>
  <c r="AU39" i="5"/>
  <c r="AU47" i="5"/>
  <c r="AU296" i="5"/>
  <c r="AU420" i="5"/>
  <c r="AT354" i="5"/>
  <c r="AU355" i="5"/>
  <c r="AU536" i="5"/>
  <c r="AU326" i="5"/>
  <c r="AT383" i="5"/>
  <c r="AU545" i="5"/>
  <c r="AT75" i="5"/>
  <c r="AT239" i="5"/>
  <c r="AT246" i="5"/>
  <c r="AU532" i="5"/>
  <c r="AU114" i="5"/>
  <c r="AT273" i="5"/>
  <c r="AT97" i="5"/>
  <c r="AT452" i="5"/>
  <c r="AT544" i="5"/>
  <c r="AT86" i="5"/>
  <c r="AU444" i="5"/>
  <c r="AU166" i="5"/>
  <c r="AU407" i="5"/>
  <c r="AT67" i="5"/>
  <c r="AU68" i="5"/>
  <c r="AU79" i="5"/>
  <c r="AT429" i="5"/>
  <c r="AT212" i="5"/>
  <c r="AU127" i="5"/>
  <c r="AT191" i="5"/>
  <c r="AU370" i="5"/>
  <c r="AU335" i="5"/>
  <c r="AU518" i="5"/>
  <c r="AU334" i="5"/>
  <c r="AT371" i="5"/>
  <c r="AU244" i="5"/>
  <c r="AT111" i="5"/>
  <c r="AU496" i="5"/>
  <c r="AU226" i="5"/>
  <c r="AT210" i="5"/>
  <c r="AT546" i="5"/>
  <c r="AU271" i="5"/>
  <c r="AU235" i="5"/>
  <c r="AT293" i="5"/>
  <c r="AU259" i="5"/>
  <c r="AT268" i="5"/>
  <c r="AT380" i="5"/>
  <c r="AT547" i="5"/>
  <c r="AU199" i="5"/>
  <c r="AU284" i="5"/>
  <c r="AU533" i="5"/>
  <c r="AU336" i="5"/>
  <c r="AU300" i="5"/>
  <c r="AT514" i="5"/>
  <c r="AU348" i="5"/>
  <c r="AU426" i="5"/>
  <c r="AT472" i="5"/>
  <c r="AU500" i="5"/>
  <c r="AU172" i="5"/>
  <c r="AU324" i="5"/>
  <c r="AU102" i="5"/>
  <c r="AT552" i="5"/>
  <c r="AU250" i="5"/>
  <c r="AT542" i="5"/>
  <c r="AT149" i="5"/>
  <c r="AU278" i="5"/>
  <c r="AU463" i="5"/>
  <c r="AT378" i="5"/>
  <c r="AU368" i="5"/>
  <c r="AU143" i="5"/>
  <c r="AU432" i="5"/>
  <c r="AU35" i="5"/>
  <c r="AT417" i="5"/>
  <c r="AT367" i="5"/>
  <c r="AU313" i="5"/>
  <c r="AU285" i="5"/>
  <c r="AT26" i="5"/>
  <c r="AU262" i="5"/>
  <c r="AU459" i="5"/>
  <c r="AT464" i="5"/>
  <c r="AT379" i="5"/>
  <c r="AU330" i="5"/>
  <c r="AT416" i="5"/>
  <c r="AT318" i="5"/>
  <c r="AT486" i="5"/>
  <c r="AU198" i="5"/>
  <c r="AT460" i="5"/>
  <c r="AT381" i="5"/>
  <c r="AU53" i="5"/>
  <c r="AT219" i="5"/>
  <c r="AT175" i="5"/>
  <c r="AT123" i="5"/>
  <c r="AU535" i="5"/>
  <c r="AT303" i="5"/>
  <c r="AU230" i="5"/>
  <c r="AU165" i="5"/>
  <c r="AU414" i="5"/>
  <c r="AU133" i="5"/>
  <c r="AT382" i="5"/>
  <c r="AU391" i="5"/>
  <c r="AU441" i="5"/>
  <c r="AT369" i="5"/>
  <c r="AU477" i="5"/>
  <c r="AT455" i="5"/>
  <c r="AU456" i="5"/>
  <c r="AU221" i="5"/>
  <c r="AT356" i="5"/>
  <c r="AT521" i="5"/>
  <c r="AD11" i="5"/>
  <c r="AU242" i="5"/>
  <c r="AT106" i="5"/>
  <c r="AT325" i="5"/>
  <c r="AT405" i="5"/>
  <c r="AS11" i="5"/>
  <c r="AT11" i="5" s="1"/>
  <c r="AU153" i="5"/>
  <c r="AT443" i="5"/>
  <c r="AT419" i="5"/>
  <c r="AU99" i="5"/>
  <c r="AT560" i="5"/>
  <c r="AU263" i="5"/>
  <c r="AU180" i="5"/>
  <c r="AU270" i="5"/>
  <c r="AU436" i="5"/>
  <c r="AT554" i="5"/>
  <c r="AT449" i="5"/>
  <c r="AT474" i="5"/>
  <c r="AU387" i="5"/>
  <c r="AU120" i="5"/>
  <c r="AU23" i="5"/>
  <c r="AT29" i="5"/>
  <c r="AT236" i="5"/>
  <c r="AT129" i="5"/>
  <c r="AT333" i="5"/>
  <c r="AT255" i="5"/>
  <c r="AU314" i="5"/>
  <c r="AU415" i="5"/>
  <c r="AU228" i="5"/>
  <c r="AT87" i="5"/>
  <c r="AU92" i="5"/>
  <c r="AT76" i="5"/>
  <c r="AU331" i="5"/>
  <c r="AT431" i="5"/>
  <c r="AU302" i="5"/>
  <c r="AU507" i="5"/>
  <c r="AU439" i="5"/>
  <c r="AT264" i="5"/>
  <c r="AU349" i="5"/>
  <c r="AU385" i="5"/>
  <c r="AU254" i="5"/>
  <c r="AT261" i="5"/>
  <c r="AU491" i="5"/>
  <c r="AU168" i="5"/>
  <c r="AU211" i="5"/>
  <c r="AU31" i="5"/>
  <c r="AT131" i="5"/>
  <c r="AT272" i="5"/>
  <c r="AT243" i="5"/>
  <c r="AT155" i="5"/>
  <c r="AT40" i="5"/>
  <c r="AT41" i="5"/>
  <c r="AT485" i="5"/>
  <c r="AU12" i="5"/>
  <c r="AU340" i="5"/>
  <c r="AT310" i="5"/>
  <c r="AU24" i="5"/>
  <c r="AT101" i="5"/>
  <c r="AT28" i="5"/>
  <c r="AU209" i="5"/>
  <c r="AT428" i="5"/>
  <c r="AU91" i="5"/>
  <c r="AU103" i="5"/>
  <c r="AU469" i="5"/>
  <c r="AT524" i="5"/>
  <c r="AU38" i="5"/>
  <c r="AU345" i="5"/>
  <c r="AU225" i="5"/>
  <c r="AU93" i="5"/>
  <c r="AT161" i="5"/>
  <c r="AU490" i="5"/>
  <c r="AU50" i="5"/>
  <c r="AU531" i="5"/>
  <c r="AU321" i="5"/>
  <c r="AU222" i="5"/>
  <c r="AU233" i="5"/>
  <c r="AU159" i="5"/>
  <c r="AT85" i="5"/>
  <c r="AT25" i="5"/>
  <c r="AU307" i="5"/>
  <c r="AU511" i="5"/>
  <c r="AT220" i="5"/>
  <c r="AU396" i="5"/>
  <c r="AU516" i="5"/>
  <c r="AT298" i="5"/>
  <c r="AU224" i="5"/>
  <c r="AU139" i="5"/>
  <c r="AT390" i="5"/>
  <c r="AT361" i="5"/>
  <c r="AU237" i="5"/>
  <c r="AU377" i="5"/>
  <c r="AT494" i="5"/>
  <c r="AT438" i="5"/>
  <c r="AU328" i="5"/>
  <c r="AT185" i="5"/>
  <c r="AU320" i="5"/>
  <c r="AT473" i="5"/>
  <c r="AU10" i="5"/>
  <c r="AT427" i="5"/>
  <c r="AU269" i="5"/>
  <c r="AT312" i="5"/>
  <c r="AT167" i="5"/>
  <c r="AU358" i="5"/>
  <c r="AU558" i="5"/>
  <c r="AT119" i="5"/>
  <c r="AT48" i="5"/>
  <c r="AT359" i="5"/>
  <c r="AT163" i="5"/>
  <c r="AU140" i="5"/>
  <c r="AU304" i="5"/>
  <c r="AU208" i="5"/>
  <c r="AU551" i="5"/>
  <c r="AU488" i="5"/>
  <c r="AU425" i="5"/>
  <c r="AT478" i="5"/>
  <c r="AU135" i="5"/>
  <c r="AU132" i="5"/>
  <c r="AT282" i="5"/>
  <c r="AU406" i="5"/>
  <c r="AU402" i="5"/>
  <c r="AU457" i="5"/>
  <c r="AU555" i="5"/>
  <c r="AU276" i="5"/>
  <c r="AU343" i="5"/>
  <c r="AT195" i="5"/>
  <c r="AT82" i="5"/>
  <c r="AT295" i="5"/>
  <c r="AT327" i="5"/>
  <c r="AU401" i="5"/>
  <c r="AU294" i="5"/>
  <c r="AT130" i="5"/>
  <c r="AU505" i="5"/>
  <c r="AU158" i="5"/>
  <c r="AT20" i="5"/>
  <c r="AU559" i="5"/>
  <c r="AU291" i="5"/>
  <c r="AT376" i="5"/>
  <c r="AT56" i="5"/>
  <c r="AU55" i="5"/>
  <c r="AT537" i="5"/>
  <c r="AU164" i="5"/>
  <c r="AT9" i="5"/>
  <c r="AU197" i="5"/>
  <c r="AT409" i="5"/>
  <c r="AD56" i="4"/>
  <c r="AD55" i="4"/>
  <c r="AD57" i="4"/>
  <c r="AD58" i="4"/>
  <c r="AD33" i="4"/>
  <c r="AD29" i="4"/>
  <c r="AD25" i="4"/>
  <c r="AD45" i="4"/>
  <c r="AD31" i="4"/>
  <c r="AD41" i="4"/>
  <c r="AD37" i="4"/>
  <c r="AJ7" i="4"/>
  <c r="BY7" i="4" s="1"/>
  <c r="F88" i="1"/>
  <c r="AQ157" i="4" l="1"/>
  <c r="AR157" i="4" s="1"/>
  <c r="AS157" i="4" s="1"/>
  <c r="AQ133" i="4"/>
  <c r="AR133" i="4" s="1"/>
  <c r="AQ126" i="4"/>
  <c r="AR126" i="4" s="1"/>
  <c r="AS126" i="4" s="1"/>
  <c r="AN150" i="4"/>
  <c r="AS150" i="4" s="1"/>
  <c r="AQ152" i="4"/>
  <c r="AR152" i="4" s="1"/>
  <c r="AS152" i="4" s="1"/>
  <c r="AR131" i="4"/>
  <c r="AS131" i="4" s="1"/>
  <c r="AR127" i="4"/>
  <c r="AS127" i="4" s="1"/>
  <c r="AN122" i="4"/>
  <c r="AS122" i="4" s="1"/>
  <c r="AN154" i="4"/>
  <c r="AS154" i="4" s="1"/>
  <c r="AR155" i="4"/>
  <c r="AS155" i="4" s="1"/>
  <c r="AS121" i="4"/>
  <c r="BX8" i="4"/>
  <c r="AS15" i="4"/>
  <c r="BZ7" i="4"/>
  <c r="AS17" i="4"/>
  <c r="AS93" i="4"/>
  <c r="AS31" i="4"/>
  <c r="AS144" i="4"/>
  <c r="AS94" i="4"/>
  <c r="AS89" i="4"/>
  <c r="AS80" i="4"/>
  <c r="AD113" i="4"/>
  <c r="AE113" i="4" s="1"/>
  <c r="BX113" i="4" s="1"/>
  <c r="AH113" i="4"/>
  <c r="AJ113" i="4" s="1"/>
  <c r="AD104" i="4"/>
  <c r="AE104" i="4" s="1"/>
  <c r="BX104" i="4" s="1"/>
  <c r="AH104" i="4"/>
  <c r="AJ104" i="4" s="1"/>
  <c r="AD137" i="4"/>
  <c r="AE137" i="4" s="1"/>
  <c r="BX137" i="4" s="1"/>
  <c r="AH137" i="4"/>
  <c r="AJ137" i="4" s="1"/>
  <c r="AD65" i="4"/>
  <c r="AE65" i="4" s="1"/>
  <c r="BX65" i="4" s="1"/>
  <c r="AH65" i="4"/>
  <c r="AJ65" i="4" s="1"/>
  <c r="AD32" i="4"/>
  <c r="AE32" i="4" s="1"/>
  <c r="BX32" i="4" s="1"/>
  <c r="AH32" i="4"/>
  <c r="AJ32" i="4" s="1"/>
  <c r="AD106" i="4"/>
  <c r="AE106" i="4" s="1"/>
  <c r="BX106" i="4" s="1"/>
  <c r="AH106" i="4"/>
  <c r="AJ106" i="4" s="1"/>
  <c r="AD54" i="4"/>
  <c r="AE54" i="4" s="1"/>
  <c r="BX54" i="4" s="1"/>
  <c r="AH54" i="4"/>
  <c r="AJ54" i="4" s="1"/>
  <c r="AD148" i="4"/>
  <c r="AE148" i="4" s="1"/>
  <c r="BX148" i="4" s="1"/>
  <c r="AH148" i="4"/>
  <c r="AJ148" i="4" s="1"/>
  <c r="AD124" i="4"/>
  <c r="AE124" i="4" s="1"/>
  <c r="BX124" i="4" s="1"/>
  <c r="AH124" i="4"/>
  <c r="AJ124" i="4" s="1"/>
  <c r="AD82" i="4"/>
  <c r="AE82" i="4" s="1"/>
  <c r="BX82" i="4" s="1"/>
  <c r="AH82" i="4"/>
  <c r="AJ82" i="4" s="1"/>
  <c r="AD111" i="4"/>
  <c r="AE111" i="4" s="1"/>
  <c r="BX111" i="4" s="1"/>
  <c r="AH111" i="4"/>
  <c r="AJ111" i="4" s="1"/>
  <c r="AD47" i="4"/>
  <c r="AE47" i="4" s="1"/>
  <c r="BX47" i="4" s="1"/>
  <c r="AH47" i="4"/>
  <c r="AJ47" i="4" s="1"/>
  <c r="AD64" i="4"/>
  <c r="AE64" i="4" s="1"/>
  <c r="BX64" i="4" s="1"/>
  <c r="AH64" i="4"/>
  <c r="AJ64" i="4" s="1"/>
  <c r="AD146" i="4"/>
  <c r="AE146" i="4" s="1"/>
  <c r="BX146" i="4" s="1"/>
  <c r="AH146" i="4"/>
  <c r="AJ146" i="4" s="1"/>
  <c r="AD21" i="4"/>
  <c r="AE21" i="4" s="1"/>
  <c r="BX21" i="4" s="1"/>
  <c r="AH21" i="4"/>
  <c r="AJ21" i="4" s="1"/>
  <c r="AD79" i="4"/>
  <c r="AE79" i="4" s="1"/>
  <c r="BX79" i="4" s="1"/>
  <c r="AH79" i="4"/>
  <c r="AJ79" i="4" s="1"/>
  <c r="AD46" i="4"/>
  <c r="AE46" i="4" s="1"/>
  <c r="BX46" i="4" s="1"/>
  <c r="AH46" i="4"/>
  <c r="AJ46" i="4" s="1"/>
  <c r="AD117" i="4"/>
  <c r="AE117" i="4" s="1"/>
  <c r="BX117" i="4" s="1"/>
  <c r="AH117" i="4"/>
  <c r="AJ117" i="4" s="1"/>
  <c r="AD157" i="4"/>
  <c r="AE157" i="4" s="1"/>
  <c r="BX157" i="4" s="1"/>
  <c r="AH157" i="4"/>
  <c r="AJ157" i="4" s="1"/>
  <c r="AD143" i="4"/>
  <c r="AE143" i="4" s="1"/>
  <c r="BX143" i="4" s="1"/>
  <c r="AH143" i="4"/>
  <c r="AJ143" i="4" s="1"/>
  <c r="AD122" i="4"/>
  <c r="AE122" i="4" s="1"/>
  <c r="BX122" i="4" s="1"/>
  <c r="AH122" i="4"/>
  <c r="AJ122" i="4" s="1"/>
  <c r="AD59" i="4"/>
  <c r="AE59" i="4" s="1"/>
  <c r="BX59" i="4" s="1"/>
  <c r="AH59" i="4"/>
  <c r="AJ59" i="4" s="1"/>
  <c r="AD140" i="4"/>
  <c r="AE140" i="4" s="1"/>
  <c r="BX140" i="4" s="1"/>
  <c r="AH140" i="4"/>
  <c r="AJ140" i="4" s="1"/>
  <c r="AD24" i="4"/>
  <c r="AE24" i="4" s="1"/>
  <c r="BX24" i="4" s="1"/>
  <c r="AH24" i="4"/>
  <c r="AJ24" i="4" s="1"/>
  <c r="AD136" i="4"/>
  <c r="AE136" i="4" s="1"/>
  <c r="BX136" i="4" s="1"/>
  <c r="AH136" i="4"/>
  <c r="AJ136" i="4" s="1"/>
  <c r="AD49" i="4"/>
  <c r="AE49" i="4" s="1"/>
  <c r="BX49" i="4" s="1"/>
  <c r="AH49" i="4"/>
  <c r="AJ49" i="4" s="1"/>
  <c r="AD48" i="4"/>
  <c r="AE48" i="4" s="1"/>
  <c r="BX48" i="4" s="1"/>
  <c r="AH48" i="4"/>
  <c r="AJ48" i="4" s="1"/>
  <c r="AD94" i="4"/>
  <c r="AE94" i="4" s="1"/>
  <c r="BX94" i="4" s="1"/>
  <c r="AH94" i="4"/>
  <c r="AJ94" i="4" s="1"/>
  <c r="AD102" i="4"/>
  <c r="AE102" i="4" s="1"/>
  <c r="BX102" i="4" s="1"/>
  <c r="AH102" i="4"/>
  <c r="AJ102" i="4" s="1"/>
  <c r="AD39" i="4"/>
  <c r="AE39" i="4" s="1"/>
  <c r="BX39" i="4" s="1"/>
  <c r="AH39" i="4"/>
  <c r="AJ39" i="4" s="1"/>
  <c r="AD81" i="4"/>
  <c r="AE81" i="4" s="1"/>
  <c r="BX81" i="4" s="1"/>
  <c r="AH81" i="4"/>
  <c r="AJ81" i="4" s="1"/>
  <c r="AD118" i="4"/>
  <c r="AE118" i="4" s="1"/>
  <c r="BX118" i="4" s="1"/>
  <c r="AH118" i="4"/>
  <c r="AJ118" i="4" s="1"/>
  <c r="AD149" i="4"/>
  <c r="AE149" i="4" s="1"/>
  <c r="BX149" i="4" s="1"/>
  <c r="AH149" i="4"/>
  <c r="AJ149" i="4" s="1"/>
  <c r="AD26" i="4"/>
  <c r="AE26" i="4" s="1"/>
  <c r="BX26" i="4" s="1"/>
  <c r="AH26" i="4"/>
  <c r="AJ26" i="4" s="1"/>
  <c r="AD110" i="4"/>
  <c r="AE110" i="4" s="1"/>
  <c r="BX110" i="4" s="1"/>
  <c r="AH110" i="4"/>
  <c r="AJ110" i="4" s="1"/>
  <c r="AD19" i="4"/>
  <c r="AE19" i="4" s="1"/>
  <c r="BX19" i="4" s="1"/>
  <c r="AH19" i="4"/>
  <c r="AJ19" i="4" s="1"/>
  <c r="AD156" i="4"/>
  <c r="AE156" i="4" s="1"/>
  <c r="BX156" i="4" s="1"/>
  <c r="AH156" i="4"/>
  <c r="AJ156" i="4" s="1"/>
  <c r="AD126" i="4"/>
  <c r="AE126" i="4" s="1"/>
  <c r="BX126" i="4" s="1"/>
  <c r="AH126" i="4"/>
  <c r="AJ126" i="4" s="1"/>
  <c r="AS57" i="4"/>
  <c r="AS39" i="4"/>
  <c r="AS27" i="4"/>
  <c r="AS70" i="4"/>
  <c r="AS53" i="4"/>
  <c r="AS43" i="4"/>
  <c r="AS73" i="4"/>
  <c r="AS58" i="4"/>
  <c r="AS133" i="4"/>
  <c r="AJ97" i="4"/>
  <c r="AS88" i="4"/>
  <c r="AS103" i="4"/>
  <c r="AS25" i="4"/>
  <c r="AS50" i="4"/>
  <c r="AS97" i="4"/>
  <c r="AS61" i="4"/>
  <c r="AS151" i="4"/>
  <c r="AS76" i="4"/>
  <c r="AS12" i="4"/>
  <c r="AS16" i="4"/>
  <c r="AJ90" i="4"/>
  <c r="AS67" i="4"/>
  <c r="AS109" i="4"/>
  <c r="AN24" i="4"/>
  <c r="AS51" i="4"/>
  <c r="AS69" i="4"/>
  <c r="AS141" i="4"/>
  <c r="AS30" i="4"/>
  <c r="AS8" i="4"/>
  <c r="AN65" i="4"/>
  <c r="AS52" i="4"/>
  <c r="AS82" i="4"/>
  <c r="AN81" i="4"/>
  <c r="AS81" i="4" s="1"/>
  <c r="AS90" i="4"/>
  <c r="AS119" i="4"/>
  <c r="AS41" i="4"/>
  <c r="AS38" i="4"/>
  <c r="AE25" i="4"/>
  <c r="BX25" i="4" s="1"/>
  <c r="AE89" i="4"/>
  <c r="BX89" i="4" s="1"/>
  <c r="AQ145" i="4"/>
  <c r="AR145" i="4" s="1"/>
  <c r="AE41" i="4"/>
  <c r="BX41" i="4" s="1"/>
  <c r="AE55" i="4"/>
  <c r="BX55" i="4" s="1"/>
  <c r="AE31" i="4"/>
  <c r="BX31" i="4" s="1"/>
  <c r="AE33" i="4"/>
  <c r="BX33" i="4" s="1"/>
  <c r="AE56" i="4"/>
  <c r="BX56" i="4" s="1"/>
  <c r="AE37" i="4"/>
  <c r="BX37" i="4" s="1"/>
  <c r="AE45" i="4"/>
  <c r="BX45" i="4" s="1"/>
  <c r="AE58" i="4"/>
  <c r="BX58" i="4" s="1"/>
  <c r="AE130" i="4"/>
  <c r="BX130" i="4" s="1"/>
  <c r="AE109" i="4"/>
  <c r="BX109" i="4" s="1"/>
  <c r="AE34" i="4"/>
  <c r="BX34" i="4" s="1"/>
  <c r="AQ65" i="4"/>
  <c r="AR65" i="4" s="1"/>
  <c r="AQ19" i="4"/>
  <c r="AR19" i="4" s="1"/>
  <c r="AS19" i="4" s="1"/>
  <c r="AS75" i="4"/>
  <c r="AN149" i="4"/>
  <c r="AQ108" i="4"/>
  <c r="AR108" i="4" s="1"/>
  <c r="AQ143" i="4"/>
  <c r="AR143" i="4" s="1"/>
  <c r="AQ146" i="4"/>
  <c r="AR146" i="4" s="1"/>
  <c r="AN156" i="4"/>
  <c r="AN110" i="4"/>
  <c r="AS29" i="4"/>
  <c r="AN116" i="4"/>
  <c r="AS23" i="4"/>
  <c r="AE105" i="4"/>
  <c r="BX105" i="4" s="1"/>
  <c r="AE17" i="4"/>
  <c r="BX17" i="4" s="1"/>
  <c r="AE29" i="4"/>
  <c r="BX29" i="4" s="1"/>
  <c r="AE135" i="4"/>
  <c r="BX135" i="4" s="1"/>
  <c r="AE99" i="4"/>
  <c r="BX99" i="4" s="1"/>
  <c r="AE95" i="4"/>
  <c r="BX95" i="4" s="1"/>
  <c r="AQ24" i="4"/>
  <c r="AR24" i="4" s="1"/>
  <c r="AQ49" i="4"/>
  <c r="AR49" i="4" s="1"/>
  <c r="AS49" i="4" s="1"/>
  <c r="AN124" i="4"/>
  <c r="AN136" i="4"/>
  <c r="AS136" i="4" s="1"/>
  <c r="AQ137" i="4"/>
  <c r="AQ21" i="4"/>
  <c r="AR21" i="4" s="1"/>
  <c r="AE57" i="4"/>
  <c r="BX57" i="4" s="1"/>
  <c r="AE87" i="4"/>
  <c r="BX87" i="4" s="1"/>
  <c r="AE116" i="4"/>
  <c r="BX116" i="4" s="1"/>
  <c r="AE91" i="4"/>
  <c r="BX91" i="4" s="1"/>
  <c r="AE10" i="4"/>
  <c r="BX10" i="4" s="1"/>
  <c r="AN145" i="4"/>
  <c r="AQ54" i="4"/>
  <c r="AR54" i="4" s="1"/>
  <c r="AN117" i="4"/>
  <c r="AS117" i="4" s="1"/>
  <c r="AQ113" i="4"/>
  <c r="AR113" i="4" s="1"/>
  <c r="AN148" i="4"/>
  <c r="AS148" i="4" s="1"/>
  <c r="AS34" i="4"/>
  <c r="AS63" i="4"/>
  <c r="AQ130" i="4"/>
  <c r="AR130" i="4" s="1"/>
  <c r="AS130" i="4" s="1"/>
  <c r="BT8" i="4"/>
  <c r="AQ110" i="4"/>
  <c r="AR110" i="4" s="1"/>
  <c r="AN146" i="4"/>
  <c r="AN54" i="4"/>
  <c r="AQ116" i="4"/>
  <c r="AR116" i="4" s="1"/>
  <c r="AQ124" i="4"/>
  <c r="AR124" i="4" s="1"/>
  <c r="AJ52" i="4"/>
  <c r="AN21" i="4"/>
  <c r="AN108" i="4"/>
  <c r="AN143" i="4"/>
  <c r="AN142" i="4"/>
  <c r="AQ142" i="4"/>
  <c r="AR142" i="4" s="1"/>
  <c r="AN113" i="4"/>
  <c r="AN137" i="4"/>
  <c r="AQ149" i="4"/>
  <c r="AR149" i="4" s="1"/>
  <c r="AQ156" i="4"/>
  <c r="AR156" i="4" s="1"/>
  <c r="AN140" i="4"/>
  <c r="AQ140" i="4"/>
  <c r="AR140" i="4" s="1"/>
  <c r="AQ123" i="4"/>
  <c r="AN123" i="4"/>
  <c r="AJ123" i="4"/>
  <c r="AJ108" i="4"/>
  <c r="AS132" i="4"/>
  <c r="AS44" i="4"/>
  <c r="AS114" i="4"/>
  <c r="AS32" i="4"/>
  <c r="AS92" i="4"/>
  <c r="AS112" i="4"/>
  <c r="AS106" i="4"/>
  <c r="AS96" i="4"/>
  <c r="AS26" i="4"/>
  <c r="AS100" i="4"/>
  <c r="AS64" i="4"/>
  <c r="AS48" i="4"/>
  <c r="AS79" i="4"/>
  <c r="AS128" i="4"/>
  <c r="AS134" i="4"/>
  <c r="AQ118" i="4"/>
  <c r="AR118" i="4" s="1"/>
  <c r="AN118" i="4"/>
  <c r="AQ46" i="4"/>
  <c r="AR46" i="4" s="1"/>
  <c r="AN46" i="4"/>
  <c r="AN104" i="4"/>
  <c r="AQ104" i="4"/>
  <c r="AR104" i="4" s="1"/>
  <c r="AN47" i="4"/>
  <c r="AQ47" i="4"/>
  <c r="AR47" i="4" s="1"/>
  <c r="AJ16" i="4"/>
  <c r="AX11" i="10"/>
  <c r="AU11" i="5"/>
  <c r="AJ120" i="4"/>
  <c r="AJ95" i="4"/>
  <c r="AJ41" i="4"/>
  <c r="AJ87" i="4"/>
  <c r="AJ37" i="4"/>
  <c r="AJ133" i="4"/>
  <c r="AJ33" i="4"/>
  <c r="AJ25" i="4"/>
  <c r="AJ152" i="4"/>
  <c r="AJ57" i="4"/>
  <c r="AJ107" i="4"/>
  <c r="BY107" i="4" s="1"/>
  <c r="BZ107" i="4" s="1"/>
  <c r="AJ105" i="4"/>
  <c r="AJ55" i="4"/>
  <c r="AJ155" i="4"/>
  <c r="AJ83" i="4"/>
  <c r="AJ89" i="4"/>
  <c r="AJ62" i="4"/>
  <c r="AJ69" i="4"/>
  <c r="AJ29" i="4"/>
  <c r="AJ99" i="4"/>
  <c r="AJ75" i="4"/>
  <c r="AJ142" i="4"/>
  <c r="AJ116" i="4"/>
  <c r="AJ109" i="4"/>
  <c r="AJ76" i="4"/>
  <c r="AJ45" i="4"/>
  <c r="AJ58" i="4"/>
  <c r="AJ31" i="4"/>
  <c r="AJ56" i="4"/>
  <c r="AJ150" i="4"/>
  <c r="AJ130" i="4"/>
  <c r="AJ91" i="4"/>
  <c r="AJ135" i="4"/>
  <c r="AJ72" i="4"/>
  <c r="BY139" i="4" l="1"/>
  <c r="BZ139" i="4" s="1"/>
  <c r="BY121" i="4"/>
  <c r="BZ121" i="4" s="1"/>
  <c r="BY153" i="4"/>
  <c r="BZ153" i="4" s="1"/>
  <c r="AR123" i="4"/>
  <c r="AS123" i="4" s="1"/>
  <c r="AR137" i="4"/>
  <c r="AS137" i="4" s="1"/>
  <c r="BY151" i="4"/>
  <c r="BZ151" i="4" s="1"/>
  <c r="BY15" i="4"/>
  <c r="BZ15" i="4" s="1"/>
  <c r="BY93" i="4"/>
  <c r="BZ93" i="4" s="1"/>
  <c r="BY53" i="4"/>
  <c r="BZ53" i="4" s="1"/>
  <c r="BY17" i="4"/>
  <c r="BZ17" i="4" s="1"/>
  <c r="BY39" i="4"/>
  <c r="BZ39" i="4" s="1"/>
  <c r="BY66" i="4"/>
  <c r="BZ66" i="4" s="1"/>
  <c r="BY98" i="4"/>
  <c r="BZ98" i="4" s="1"/>
  <c r="BY11" i="4"/>
  <c r="BZ11" i="4" s="1"/>
  <c r="BY78" i="4"/>
  <c r="BZ78" i="4" s="1"/>
  <c r="BY115" i="4"/>
  <c r="BZ115" i="4" s="1"/>
  <c r="BY129" i="4"/>
  <c r="BZ129" i="4" s="1"/>
  <c r="BY85" i="4"/>
  <c r="BZ85" i="4" s="1"/>
  <c r="BY36" i="4"/>
  <c r="BZ36" i="4" s="1"/>
  <c r="BY60" i="4"/>
  <c r="BZ60" i="4" s="1"/>
  <c r="BY35" i="4"/>
  <c r="BZ35" i="4" s="1"/>
  <c r="BY42" i="4"/>
  <c r="BZ42" i="4" s="1"/>
  <c r="BY105" i="4"/>
  <c r="BZ105" i="4" s="1"/>
  <c r="BY138" i="4"/>
  <c r="BZ138" i="4" s="1"/>
  <c r="BY9" i="4"/>
  <c r="BZ9" i="4" s="1"/>
  <c r="BY111" i="4"/>
  <c r="BZ111" i="4" s="1"/>
  <c r="BY40" i="4"/>
  <c r="BZ40" i="4" s="1"/>
  <c r="BY68" i="4"/>
  <c r="BZ68" i="4" s="1"/>
  <c r="BY20" i="4"/>
  <c r="BZ20" i="4" s="1"/>
  <c r="BY74" i="4"/>
  <c r="BZ74" i="4" s="1"/>
  <c r="BY99" i="4"/>
  <c r="BZ99" i="4" s="1"/>
  <c r="BY86" i="4"/>
  <c r="BZ86" i="4" s="1"/>
  <c r="BY71" i="4"/>
  <c r="BZ71" i="4" s="1"/>
  <c r="BY147" i="4"/>
  <c r="BZ147" i="4" s="1"/>
  <c r="BY14" i="4"/>
  <c r="BZ14" i="4" s="1"/>
  <c r="BY77" i="4"/>
  <c r="BZ77" i="4" s="1"/>
  <c r="BY22" i="4"/>
  <c r="BZ22" i="4" s="1"/>
  <c r="BY18" i="4"/>
  <c r="BZ18" i="4" s="1"/>
  <c r="BY125" i="4"/>
  <c r="BZ125" i="4" s="1"/>
  <c r="BY59" i="4"/>
  <c r="BZ59" i="4" s="1"/>
  <c r="BY87" i="4"/>
  <c r="BZ87" i="4" s="1"/>
  <c r="BY102" i="4"/>
  <c r="BZ102" i="4" s="1"/>
  <c r="BY91" i="4"/>
  <c r="BZ91" i="4" s="1"/>
  <c r="BY135" i="4"/>
  <c r="BZ135" i="4" s="1"/>
  <c r="BY95" i="4"/>
  <c r="BZ95" i="4" s="1"/>
  <c r="BY45" i="4"/>
  <c r="BZ45" i="4" s="1"/>
  <c r="BY55" i="4"/>
  <c r="BZ55" i="4" s="1"/>
  <c r="BY33" i="4"/>
  <c r="BZ33" i="4" s="1"/>
  <c r="BY37" i="4"/>
  <c r="BZ37" i="4" s="1"/>
  <c r="BY56" i="4"/>
  <c r="BZ56" i="4" s="1"/>
  <c r="BY10" i="4"/>
  <c r="BZ10" i="4" s="1"/>
  <c r="BY83" i="4"/>
  <c r="BZ83" i="4" s="1"/>
  <c r="BY120" i="4"/>
  <c r="BZ120" i="4" s="1"/>
  <c r="BY62" i="4"/>
  <c r="BZ62" i="4" s="1"/>
  <c r="BY72" i="4"/>
  <c r="BZ72" i="4" s="1"/>
  <c r="BY84" i="4"/>
  <c r="BZ84" i="4" s="1"/>
  <c r="BY13" i="4"/>
  <c r="BZ13" i="4" s="1"/>
  <c r="BY101" i="4"/>
  <c r="BZ101" i="4" s="1"/>
  <c r="BY28" i="4"/>
  <c r="BZ28" i="4" s="1"/>
  <c r="BY16" i="4"/>
  <c r="BY70" i="4"/>
  <c r="BY31" i="4"/>
  <c r="BZ31" i="4" s="1"/>
  <c r="BY97" i="4"/>
  <c r="BY94" i="4"/>
  <c r="BZ94" i="4" s="1"/>
  <c r="BY89" i="4"/>
  <c r="BZ89" i="4" s="1"/>
  <c r="BY90" i="4"/>
  <c r="BZ90" i="4" s="1"/>
  <c r="BY80" i="4"/>
  <c r="BZ80" i="4" s="1"/>
  <c r="BY52" i="4"/>
  <c r="BY73" i="4"/>
  <c r="BZ73" i="4" s="1"/>
  <c r="BY12" i="4"/>
  <c r="BZ12" i="4" s="1"/>
  <c r="BY109" i="4"/>
  <c r="BZ109" i="4" s="1"/>
  <c r="AS65" i="4"/>
  <c r="BY27" i="4"/>
  <c r="BZ27" i="4" s="1"/>
  <c r="BY119" i="4"/>
  <c r="BY133" i="4"/>
  <c r="BZ133" i="4" s="1"/>
  <c r="BY43" i="4"/>
  <c r="BZ43" i="4" s="1"/>
  <c r="BY25" i="4"/>
  <c r="BZ25" i="4" s="1"/>
  <c r="BY58" i="4"/>
  <c r="BZ58" i="4" s="1"/>
  <c r="BY103" i="4"/>
  <c r="BZ103" i="4" s="1"/>
  <c r="AS124" i="4"/>
  <c r="BY61" i="4"/>
  <c r="BZ61" i="4" s="1"/>
  <c r="BY150" i="4"/>
  <c r="BZ150" i="4" s="1"/>
  <c r="AS24" i="4"/>
  <c r="BY69" i="4"/>
  <c r="BZ69" i="4" s="1"/>
  <c r="BY50" i="4"/>
  <c r="BZ50" i="4" s="1"/>
  <c r="AS113" i="4"/>
  <c r="AS116" i="4"/>
  <c r="BY76" i="4"/>
  <c r="BZ76" i="4" s="1"/>
  <c r="BY41" i="4"/>
  <c r="BZ41" i="4" s="1"/>
  <c r="AS156" i="4"/>
  <c r="AS21" i="4"/>
  <c r="AS54" i="4"/>
  <c r="BY34" i="4"/>
  <c r="BZ34" i="4" s="1"/>
  <c r="AY8" i="4"/>
  <c r="AV8" i="4"/>
  <c r="BY23" i="4"/>
  <c r="BZ23" i="4" s="1"/>
  <c r="AS143" i="4"/>
  <c r="AS145" i="4"/>
  <c r="AS110" i="4"/>
  <c r="AS146" i="4"/>
  <c r="BY63" i="4"/>
  <c r="BZ63" i="4" s="1"/>
  <c r="BY29" i="4"/>
  <c r="BZ29" i="4" s="1"/>
  <c r="AS108" i="4"/>
  <c r="AS149" i="4"/>
  <c r="AS140" i="4"/>
  <c r="AS142" i="4"/>
  <c r="AS46" i="4"/>
  <c r="AS47" i="4"/>
  <c r="AS104" i="4"/>
  <c r="AS118" i="4"/>
  <c r="BY152" i="4" l="1"/>
  <c r="BZ152" i="4" s="1"/>
  <c r="BY155" i="4"/>
  <c r="BZ155" i="4" s="1"/>
  <c r="BY127" i="4"/>
  <c r="BZ127" i="4" s="1"/>
  <c r="BY131" i="4"/>
  <c r="BZ131" i="4" s="1"/>
  <c r="BY154" i="4"/>
  <c r="BZ154" i="4" s="1"/>
  <c r="BY8" i="4"/>
  <c r="BZ8" i="4" s="1"/>
  <c r="BY126" i="4"/>
  <c r="BZ126" i="4" s="1"/>
  <c r="BY128" i="4"/>
  <c r="BZ128" i="4" s="1"/>
  <c r="BY96" i="4"/>
  <c r="BZ96" i="4" s="1"/>
  <c r="BY44" i="4"/>
  <c r="BZ44" i="4" s="1"/>
  <c r="BY26" i="4"/>
  <c r="BZ26" i="4" s="1"/>
  <c r="BY48" i="4"/>
  <c r="BZ48" i="4" s="1"/>
  <c r="BY19" i="4"/>
  <c r="BZ19" i="4" s="1"/>
  <c r="BY79" i="4"/>
  <c r="BZ79" i="4" s="1"/>
  <c r="BY112" i="4"/>
  <c r="BZ112" i="4" s="1"/>
  <c r="BY134" i="4"/>
  <c r="BZ134" i="4" s="1"/>
  <c r="BY49" i="4"/>
  <c r="BZ49" i="4" s="1"/>
  <c r="BY144" i="4"/>
  <c r="BZ144" i="4" s="1"/>
  <c r="BY141" i="4"/>
  <c r="BZ141" i="4" s="1"/>
  <c r="BY117" i="4"/>
  <c r="BZ117" i="4" s="1"/>
  <c r="BZ70" i="4"/>
  <c r="BY30" i="4"/>
  <c r="BZ30" i="4" s="1"/>
  <c r="BY67" i="4"/>
  <c r="BZ67" i="4" s="1"/>
  <c r="BZ52" i="4"/>
  <c r="BY88" i="4"/>
  <c r="BZ88" i="4" s="1"/>
  <c r="BY38" i="4"/>
  <c r="BZ38" i="4" s="1"/>
  <c r="BY57" i="4"/>
  <c r="BZ57" i="4" s="1"/>
  <c r="BY75" i="4"/>
  <c r="BZ75" i="4" s="1"/>
  <c r="BY92" i="4"/>
  <c r="BZ92" i="4" s="1"/>
  <c r="BY81" i="4"/>
  <c r="BZ81" i="4" s="1"/>
  <c r="BY122" i="4"/>
  <c r="BZ122" i="4" s="1"/>
  <c r="BY132" i="4"/>
  <c r="BZ132" i="4" s="1"/>
  <c r="BY32" i="4"/>
  <c r="BZ32" i="4" s="1"/>
  <c r="BY64" i="4"/>
  <c r="BZ64" i="4" s="1"/>
  <c r="BY114" i="4"/>
  <c r="BZ114" i="4" s="1"/>
  <c r="BY136" i="4"/>
  <c r="BZ136" i="4" s="1"/>
  <c r="BY130" i="4"/>
  <c r="BZ130" i="4" s="1"/>
  <c r="BY100" i="4"/>
  <c r="BZ100" i="4" s="1"/>
  <c r="BY106" i="4"/>
  <c r="BZ106" i="4" s="1"/>
  <c r="BY157" i="4"/>
  <c r="BZ157" i="4" s="1"/>
  <c r="BZ119" i="4"/>
  <c r="BZ97" i="4"/>
  <c r="BZ16" i="4"/>
  <c r="BY51" i="4"/>
  <c r="BZ51" i="4" s="1"/>
  <c r="BY82" i="4"/>
  <c r="BZ82" i="4" s="1"/>
  <c r="BY148" i="4"/>
  <c r="BZ148" i="4" s="1"/>
  <c r="BY21" i="4"/>
  <c r="BZ21" i="4" s="1"/>
  <c r="BY65" i="4"/>
  <c r="BZ65" i="4" s="1"/>
  <c r="BY116" i="4"/>
  <c r="BZ116" i="4" s="1"/>
  <c r="BY54" i="4"/>
  <c r="BY108" i="4"/>
  <c r="BZ108" i="4" s="1"/>
  <c r="BY156" i="4"/>
  <c r="BZ156" i="4" s="1"/>
  <c r="BY110" i="4"/>
  <c r="BZ110" i="4" s="1"/>
  <c r="BY149" i="4"/>
  <c r="BZ149" i="4" s="1"/>
  <c r="BY123" i="4"/>
  <c r="BY146" i="4" l="1"/>
  <c r="BZ146" i="4" s="1"/>
  <c r="BY142" i="4"/>
  <c r="BZ142" i="4" s="1"/>
  <c r="BY46" i="4"/>
  <c r="BZ46" i="4" s="1"/>
  <c r="BY47" i="4"/>
  <c r="BZ47" i="4" s="1"/>
  <c r="BY113" i="4"/>
  <c r="BZ113" i="4" s="1"/>
  <c r="BY140" i="4"/>
  <c r="BZ140" i="4" s="1"/>
  <c r="BY124" i="4"/>
  <c r="BZ124" i="4" s="1"/>
  <c r="BY143" i="4"/>
  <c r="BZ143" i="4" s="1"/>
  <c r="BY104" i="4"/>
  <c r="BZ104" i="4" s="1"/>
  <c r="BY118" i="4"/>
  <c r="BZ118" i="4" s="1"/>
  <c r="BZ123" i="4"/>
  <c r="BY145" i="4"/>
  <c r="BZ145" i="4" s="1"/>
  <c r="BZ54" i="4"/>
  <c r="BY24" i="4"/>
  <c r="BZ24" i="4" s="1"/>
  <c r="BY137" i="4"/>
  <c r="BZ137"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A3" authorId="0" shapeId="0" xr:uid="{00000000-0006-0000-0000-000001000000}">
      <text>
        <r>
          <rPr>
            <b/>
            <sz val="11"/>
            <color indexed="10"/>
            <rFont val="Tahoma"/>
            <family val="2"/>
          </rPr>
          <t>Welcome to the LM5155/56 Design Tool</t>
        </r>
        <r>
          <rPr>
            <sz val="9"/>
            <color indexed="81"/>
            <rFont val="Tahoma"/>
            <family val="2"/>
          </rPr>
          <t xml:space="preserve">
This stand-alone tool facilitates and assists the power supply engineer with design of a DC-DC boost converter based on the LM5155/56 controller. As such, the user can expeditiously arrive at an optimized design by virtue of the following:
- Select components
- Optimize compensation values and pole/zero placement in terms of control loop stability using crossover frquency as a performance metric
- Inspect regulator efficiency and component power dissipation
- Analyze efficiency based on selected MOSFET, inductor and diode parameters
IMPORTANT: You must enable macros if Microsoft Excel asks as the file is being opened. U.S. English notation is used throughout. Make sure to input or select values in all of the yellow shaded cells even if a value already exists in that cell. Do not over write equations in cells, as this may result in calculation errors.
</t>
        </r>
      </text>
    </comment>
    <comment ref="H7" authorId="0" shapeId="0" xr:uid="{2E6E75BD-C0D2-45A5-BEB5-8AAEA45E9FD0}">
      <text>
        <r>
          <rPr>
            <b/>
            <sz val="9"/>
            <color indexed="81"/>
            <rFont val="Tahoma"/>
            <family val="2"/>
          </rPr>
          <t xml:space="preserve">Minimum Input Voltage:
</t>
        </r>
        <r>
          <rPr>
            <sz val="9"/>
            <color indexed="81"/>
            <rFont val="Tahoma"/>
            <family val="2"/>
          </rPr>
          <t>Enter the minimum operating input voltage.
The LM5155 BIAS pin voltage operating range is 3.5V to 45V.
The LM5156 BIAS pin voltage operating range is 3.5V to 60V.
If low voltage operation is required the BIAS pin can be supplied with V</t>
        </r>
        <r>
          <rPr>
            <vertAlign val="subscript"/>
            <sz val="9"/>
            <color indexed="81"/>
            <rFont val="Tahoma"/>
            <family val="2"/>
          </rPr>
          <t>OUT</t>
        </r>
        <r>
          <rPr>
            <sz val="9"/>
            <color indexed="81"/>
            <rFont val="Tahoma"/>
            <family val="2"/>
          </rPr>
          <t xml:space="preserve"> extending operation to 1.5V</t>
        </r>
        <r>
          <rPr>
            <b/>
            <sz val="9"/>
            <color indexed="81"/>
            <rFont val="Tahoma"/>
            <family val="2"/>
          </rPr>
          <t xml:space="preserve">
</t>
        </r>
        <r>
          <rPr>
            <b/>
            <sz val="9"/>
            <color indexed="52"/>
            <rFont val="Tahoma"/>
            <family val="2"/>
          </rPr>
          <t>The text in the cell is flagged orange if:</t>
        </r>
        <r>
          <rPr>
            <b/>
            <sz val="9"/>
            <color indexed="81"/>
            <rFont val="Tahoma"/>
            <family val="2"/>
          </rPr>
          <t xml:space="preserve">
</t>
        </r>
        <r>
          <rPr>
            <sz val="9"/>
            <color indexed="81"/>
            <rFont val="Tahoma"/>
            <family val="2"/>
          </rPr>
          <t>-The input voltage is above 45V</t>
        </r>
        <r>
          <rPr>
            <b/>
            <sz val="9"/>
            <color indexed="81"/>
            <rFont val="Tahoma"/>
            <family val="2"/>
          </rPr>
          <t xml:space="preserve">
</t>
        </r>
        <r>
          <rPr>
            <b/>
            <sz val="9"/>
            <color indexed="10"/>
            <rFont val="Tahoma"/>
            <family val="2"/>
          </rPr>
          <t>The text in the cell is flagged red if:</t>
        </r>
        <r>
          <rPr>
            <b/>
            <sz val="9"/>
            <color indexed="81"/>
            <rFont val="Tahoma"/>
            <family val="2"/>
          </rPr>
          <t xml:space="preserve">
</t>
        </r>
        <r>
          <rPr>
            <sz val="9"/>
            <color indexed="81"/>
            <rFont val="Tahoma"/>
            <family val="2"/>
          </rPr>
          <t>-The input voltage is above 60V
-The input voltage is below 1.5V</t>
        </r>
      </text>
    </comment>
    <comment ref="N7" authorId="0" shapeId="0" xr:uid="{00000000-0006-0000-0000-000004000000}">
      <text>
        <r>
          <rPr>
            <b/>
            <sz val="11"/>
            <color indexed="81"/>
            <rFont val="Tahoma"/>
            <family val="2"/>
          </rPr>
          <t>Output Voltage Load 1:</t>
        </r>
        <r>
          <rPr>
            <b/>
            <sz val="9"/>
            <color indexed="81"/>
            <rFont val="Tahoma"/>
            <family val="2"/>
          </rPr>
          <t xml:space="preserve">
</t>
        </r>
        <r>
          <rPr>
            <sz val="10"/>
            <color indexed="81"/>
            <rFont val="Tahoma"/>
            <family val="2"/>
          </rPr>
          <t xml:space="preserve">Selected the desired voltage of load 1.
</t>
        </r>
        <r>
          <rPr>
            <b/>
            <sz val="10"/>
            <color indexed="10"/>
            <rFont val="Tahoma"/>
            <family val="2"/>
          </rPr>
          <t>Load 1 voltage should be entered as the regulated load regardless of the feedback type</t>
        </r>
        <r>
          <rPr>
            <sz val="9"/>
            <color indexed="81"/>
            <rFont val="Tahoma"/>
            <family val="2"/>
          </rPr>
          <t xml:space="preserve">
</t>
        </r>
      </text>
    </comment>
    <comment ref="H8" authorId="0" shapeId="0" xr:uid="{A6C3AFD2-6488-45FB-8704-49B373F744E0}">
      <text>
        <r>
          <rPr>
            <b/>
            <sz val="9"/>
            <color indexed="81"/>
            <rFont val="Tahoma"/>
            <family val="2"/>
          </rPr>
          <t xml:space="preserve">Nominal Input Voltage:
</t>
        </r>
        <r>
          <rPr>
            <sz val="9"/>
            <color indexed="81"/>
            <rFont val="Tahoma"/>
            <family val="2"/>
          </rPr>
          <t>Enter the nominal operating input voltage.
The LM5155 input voltage operating range is 1.5V to 45V.</t>
        </r>
        <r>
          <rPr>
            <b/>
            <sz val="9"/>
            <color indexed="81"/>
            <rFont val="Tahoma"/>
            <family val="2"/>
          </rPr>
          <t xml:space="preserve">
</t>
        </r>
        <r>
          <rPr>
            <sz val="9"/>
            <color indexed="81"/>
            <rFont val="Tahoma"/>
            <family val="2"/>
          </rPr>
          <t xml:space="preserve">The LM5156 input voltage operating range is 1.5V to 60V.
</t>
        </r>
        <r>
          <rPr>
            <b/>
            <sz val="9"/>
            <color indexed="81"/>
            <rFont val="Tahoma"/>
            <family val="2"/>
          </rPr>
          <t xml:space="preserve">
</t>
        </r>
        <r>
          <rPr>
            <b/>
            <sz val="9"/>
            <color indexed="10"/>
            <rFont val="Tahoma"/>
            <family val="2"/>
          </rPr>
          <t>The text in the cell is flagged red if:</t>
        </r>
        <r>
          <rPr>
            <b/>
            <sz val="9"/>
            <color indexed="81"/>
            <rFont val="Tahoma"/>
            <family val="2"/>
          </rPr>
          <t xml:space="preserve">
</t>
        </r>
        <r>
          <rPr>
            <sz val="9"/>
            <color indexed="81"/>
            <rFont val="Tahoma"/>
            <family val="2"/>
          </rPr>
          <t>-The input voltage is above V</t>
        </r>
        <r>
          <rPr>
            <vertAlign val="subscript"/>
            <sz val="9"/>
            <color indexed="81"/>
            <rFont val="Tahoma"/>
            <family val="2"/>
          </rPr>
          <t>SUPPLY</t>
        </r>
        <r>
          <rPr>
            <sz val="9"/>
            <color indexed="81"/>
            <rFont val="Tahoma"/>
            <family val="2"/>
          </rPr>
          <t>(max)
-The input voltage is below V</t>
        </r>
        <r>
          <rPr>
            <vertAlign val="subscript"/>
            <sz val="9"/>
            <color indexed="81"/>
            <rFont val="Tahoma"/>
            <family val="2"/>
          </rPr>
          <t>SUPPLY</t>
        </r>
        <r>
          <rPr>
            <sz val="9"/>
            <color indexed="81"/>
            <rFont val="Tahoma"/>
            <family val="2"/>
          </rPr>
          <t>(min)</t>
        </r>
      </text>
    </comment>
    <comment ref="H9" authorId="0" shapeId="0" xr:uid="{56DD16C7-B95F-462F-94AB-5E68A4E70794}">
      <text>
        <r>
          <rPr>
            <b/>
            <sz val="9"/>
            <color indexed="81"/>
            <rFont val="Tahoma"/>
            <family val="2"/>
          </rPr>
          <t>Maximum Input Voltage:</t>
        </r>
        <r>
          <rPr>
            <sz val="9"/>
            <color indexed="81"/>
            <rFont val="Tahoma"/>
            <family val="2"/>
          </rPr>
          <t xml:space="preserve">
Enter the maximum operating input voltage.
The LM5155 input voltage operating range is 1.5V to 45V.
The LM5156 input voltage operating range is 1.5V to 60V.
</t>
        </r>
        <r>
          <rPr>
            <b/>
            <sz val="9"/>
            <color indexed="10"/>
            <rFont val="Tahoma"/>
            <family val="2"/>
          </rPr>
          <t xml:space="preserve">
</t>
        </r>
        <r>
          <rPr>
            <b/>
            <sz val="9"/>
            <color indexed="52"/>
            <rFont val="Tahoma"/>
            <family val="2"/>
          </rPr>
          <t>The text in the cell is flagged orange if:</t>
        </r>
        <r>
          <rPr>
            <b/>
            <sz val="9"/>
            <color indexed="10"/>
            <rFont val="Tahoma"/>
            <family val="2"/>
          </rPr>
          <t xml:space="preserve">
</t>
        </r>
        <r>
          <rPr>
            <sz val="9"/>
            <color indexed="81"/>
            <rFont val="Tahoma"/>
            <family val="2"/>
          </rPr>
          <t>-The input voltage is above 45V</t>
        </r>
        <r>
          <rPr>
            <b/>
            <sz val="9"/>
            <color indexed="10"/>
            <rFont val="Tahoma"/>
            <family val="2"/>
          </rPr>
          <t xml:space="preserve">
The text in the cell is flagged red if:</t>
        </r>
        <r>
          <rPr>
            <sz val="9"/>
            <color indexed="81"/>
            <rFont val="Tahoma"/>
            <family val="2"/>
          </rPr>
          <t xml:space="preserve">
-The input voltage is above 60V
-The input voltage is below 1.5V
</t>
        </r>
      </text>
    </comment>
    <comment ref="N10" authorId="0" shapeId="0" xr:uid="{00000000-0006-0000-0000-000007000000}">
      <text>
        <r>
          <rPr>
            <b/>
            <u/>
            <sz val="9"/>
            <color indexed="81"/>
            <rFont val="Tahoma"/>
            <family val="2"/>
          </rPr>
          <t>Load 1 Turns Ratio</t>
        </r>
        <r>
          <rPr>
            <sz val="9"/>
            <color indexed="81"/>
            <rFont val="Tahoma"/>
            <family val="2"/>
          </rPr>
          <t xml:space="preserve">
The turns ratio on the secondary winding of load 1. 
</t>
        </r>
        <r>
          <rPr>
            <b/>
            <sz val="9"/>
            <color indexed="10"/>
            <rFont val="Tahoma"/>
            <family val="2"/>
          </rPr>
          <t>The primary turns ratio (Np) is assumed to be 1</t>
        </r>
      </text>
    </comment>
    <comment ref="N11" authorId="0" shapeId="0" xr:uid="{00000000-0006-0000-0000-000008000000}">
      <text>
        <r>
          <rPr>
            <b/>
            <u/>
            <sz val="9"/>
            <color indexed="81"/>
            <rFont val="Tahoma"/>
            <family val="2"/>
          </rPr>
          <t>DC Resistance of Load 1 Winding</t>
        </r>
        <r>
          <rPr>
            <sz val="9"/>
            <color indexed="81"/>
            <rFont val="Tahoma"/>
            <family val="2"/>
          </rPr>
          <t xml:space="preserve">
Resistance of load 1 winding. For high current outputs this value should be minimized</t>
        </r>
      </text>
    </comment>
    <comment ref="H14" authorId="0" shapeId="0" xr:uid="{00000000-0006-0000-0000-000009000000}">
      <text>
        <r>
          <rPr>
            <b/>
            <u/>
            <sz val="11"/>
            <color indexed="81"/>
            <rFont val="Tahoma"/>
            <family val="2"/>
          </rPr>
          <t>Operating Frequency Set by RT</t>
        </r>
        <r>
          <rPr>
            <b/>
            <sz val="9"/>
            <color indexed="81"/>
            <rFont val="Tahoma"/>
            <family val="2"/>
          </rPr>
          <t xml:space="preserve">
</t>
        </r>
        <r>
          <rPr>
            <sz val="10"/>
            <color indexed="81"/>
            <rFont val="Tahoma"/>
            <family val="2"/>
          </rPr>
          <t>This cell defines the free running switching frequency</t>
        </r>
        <r>
          <rPr>
            <b/>
            <sz val="9"/>
            <color indexed="81"/>
            <rFont val="Tahoma"/>
            <family val="2"/>
          </rPr>
          <t xml:space="preserve">
Text turns red if:
</t>
        </r>
        <r>
          <rPr>
            <sz val="10"/>
            <color indexed="81"/>
            <rFont val="Tahoma"/>
            <family val="2"/>
          </rPr>
          <t xml:space="preserve">Frequency is set below: </t>
        </r>
        <r>
          <rPr>
            <sz val="10"/>
            <color indexed="10"/>
            <rFont val="Tahoma"/>
            <family val="2"/>
          </rPr>
          <t>50kHz</t>
        </r>
        <r>
          <rPr>
            <sz val="10"/>
            <color indexed="81"/>
            <rFont val="Tahoma"/>
            <family val="2"/>
          </rPr>
          <t xml:space="preserve">
Frequenyc is set above: </t>
        </r>
        <r>
          <rPr>
            <sz val="10"/>
            <color indexed="10"/>
            <rFont val="Tahoma"/>
            <family val="2"/>
          </rPr>
          <t>2.2MHz</t>
        </r>
        <r>
          <rPr>
            <sz val="9"/>
            <color indexed="81"/>
            <rFont val="Tahoma"/>
            <family val="2"/>
          </rPr>
          <t xml:space="preserve">
</t>
        </r>
      </text>
    </comment>
    <comment ref="H17" authorId="0" shapeId="0" xr:uid="{00000000-0006-0000-0000-00000A000000}">
      <text>
        <r>
          <rPr>
            <b/>
            <u/>
            <sz val="10"/>
            <color indexed="81"/>
            <rFont val="Tahoma"/>
            <family val="2"/>
          </rPr>
          <t xml:space="preserve">Maximum duty cycle </t>
        </r>
        <r>
          <rPr>
            <sz val="9"/>
            <color indexed="81"/>
            <rFont val="Tahoma"/>
            <family val="2"/>
          </rPr>
          <t xml:space="preserve">
</t>
        </r>
        <r>
          <rPr>
            <sz val="10"/>
            <color indexed="81"/>
            <rFont val="Tahoma"/>
            <family val="2"/>
          </rPr>
          <t>Desired maximum duty cycle of the regulator. If the duty cycle the is set less than 50% the need for external slope compensation is removed. 
Typically between 30% to 70% is  a good starting point.</t>
        </r>
        <r>
          <rPr>
            <sz val="9"/>
            <color indexed="81"/>
            <rFont val="Tahoma"/>
            <family val="2"/>
          </rPr>
          <t xml:space="preserve">
</t>
        </r>
      </text>
    </comment>
    <comment ref="H22" authorId="0" shapeId="0" xr:uid="{00000000-0006-0000-0000-00000B000000}">
      <text>
        <r>
          <rPr>
            <b/>
            <u/>
            <sz val="9"/>
            <color indexed="81"/>
            <rFont val="Tahoma"/>
            <family val="2"/>
          </rPr>
          <t>Primary winding current ripple ratio</t>
        </r>
        <r>
          <rPr>
            <b/>
            <sz val="9"/>
            <color indexed="81"/>
            <rFont val="Tahoma"/>
            <family val="2"/>
          </rPr>
          <t xml:space="preserve">
</t>
        </r>
        <r>
          <rPr>
            <sz val="9"/>
            <color indexed="81"/>
            <rFont val="Tahoma"/>
            <family val="2"/>
          </rPr>
          <t>The ratio between the ripple current vs the average current in the primary winding
30% to 70% ripple is a good starting point.</t>
        </r>
      </text>
    </comment>
    <comment ref="H24" authorId="0" shapeId="0" xr:uid="{00000000-0006-0000-0000-00000C000000}">
      <text>
        <r>
          <rPr>
            <b/>
            <sz val="9"/>
            <color indexed="81"/>
            <rFont val="Tahoma"/>
            <family val="2"/>
          </rPr>
          <t>Primary Winding Inductance</t>
        </r>
        <r>
          <rPr>
            <sz val="9"/>
            <color indexed="81"/>
            <rFont val="Tahoma"/>
            <family val="2"/>
          </rPr>
          <t xml:space="preserve">
Enter the primary winding magnetizing inductance here.
This cell will</t>
        </r>
      </text>
    </comment>
    <comment ref="H25" authorId="0" shapeId="0" xr:uid="{00000000-0006-0000-0000-00000D000000}">
      <text>
        <r>
          <rPr>
            <b/>
            <u/>
            <sz val="9"/>
            <color indexed="81"/>
            <rFont val="Tahoma"/>
            <family val="2"/>
          </rPr>
          <t>DC Resistance of Primary Winding</t>
        </r>
        <r>
          <rPr>
            <b/>
            <sz val="9"/>
            <color indexed="81"/>
            <rFont val="Tahoma"/>
            <family val="2"/>
          </rPr>
          <t xml:space="preserve">
</t>
        </r>
        <r>
          <rPr>
            <sz val="9"/>
            <color indexed="81"/>
            <rFont val="Tahoma"/>
            <family val="2"/>
          </rPr>
          <t xml:space="preserve">Resistance of Primary winding. For high power applications this value should be minimized
</t>
        </r>
      </text>
    </comment>
    <comment ref="H26" authorId="0" shapeId="0" xr:uid="{00000000-0006-0000-0000-00000E000000}">
      <text>
        <r>
          <rPr>
            <b/>
            <u/>
            <sz val="9"/>
            <color indexed="81"/>
            <rFont val="Tahoma"/>
            <family val="2"/>
          </rPr>
          <t>Primary Winding Peak Current:</t>
        </r>
        <r>
          <rPr>
            <b/>
            <sz val="9"/>
            <color indexed="81"/>
            <rFont val="Tahoma"/>
            <family val="2"/>
          </rPr>
          <t xml:space="preserve">
</t>
        </r>
        <r>
          <rPr>
            <sz val="9"/>
            <color indexed="81"/>
            <rFont val="Tahoma"/>
            <family val="2"/>
          </rPr>
          <t xml:space="preserve">Peak current in the primary winding at full output power.
</t>
        </r>
      </text>
    </comment>
    <comment ref="H30" authorId="0" shapeId="0" xr:uid="{00000000-0006-0000-0000-00000F000000}">
      <text>
        <r>
          <rPr>
            <b/>
            <u/>
            <sz val="9"/>
            <color indexed="81"/>
            <rFont val="Tahoma"/>
            <family val="2"/>
          </rPr>
          <t>Peak current Limit Margin</t>
        </r>
        <r>
          <rPr>
            <b/>
            <sz val="9"/>
            <color indexed="81"/>
            <rFont val="Tahoma"/>
            <family val="2"/>
          </rPr>
          <t xml:space="preserve">
</t>
        </r>
        <r>
          <rPr>
            <sz val="9"/>
            <color indexed="81"/>
            <rFont val="Tahoma"/>
            <family val="2"/>
          </rPr>
          <t xml:space="preserve">Percentage above the calculate maximum peak current in the primimary winding. This value sets the required peak current limit
</t>
        </r>
        <r>
          <rPr>
            <sz val="9"/>
            <color indexed="10"/>
            <rFont val="Tahoma"/>
            <family val="2"/>
          </rPr>
          <t>Typically this value should be above 20%, allowing for component tolerances and efficiency</t>
        </r>
        <r>
          <rPr>
            <sz val="9"/>
            <color indexed="81"/>
            <rFont val="Tahoma"/>
            <family val="2"/>
          </rPr>
          <t xml:space="preserve">
</t>
        </r>
      </text>
    </comment>
    <comment ref="H32" authorId="0" shapeId="0" xr:uid="{00000000-0006-0000-0000-000010000000}">
      <text>
        <r>
          <rPr>
            <b/>
            <u/>
            <sz val="9"/>
            <color indexed="81"/>
            <rFont val="Tahoma"/>
            <family val="2"/>
          </rPr>
          <t>Recommended Current Sense Resistor (R</t>
        </r>
        <r>
          <rPr>
            <b/>
            <u/>
            <vertAlign val="subscript"/>
            <sz val="9"/>
            <color indexed="81"/>
            <rFont val="Tahoma"/>
            <family val="2"/>
          </rPr>
          <t>S</t>
        </r>
        <r>
          <rPr>
            <b/>
            <u/>
            <sz val="9"/>
            <color indexed="81"/>
            <rFont val="Tahoma"/>
            <family val="2"/>
          </rPr>
          <t>)</t>
        </r>
        <r>
          <rPr>
            <sz val="9"/>
            <color indexed="81"/>
            <rFont val="Tahoma"/>
            <family val="2"/>
          </rPr>
          <t xml:space="preserve">
Use this resistor to sense current and set the peak overcurrent protection. As such, the calculation takes the required current limit setpoint and the primary winding ripple current amplitude to calculate R</t>
        </r>
        <r>
          <rPr>
            <vertAlign val="subscript"/>
            <sz val="9"/>
            <color indexed="81"/>
            <rFont val="Tahoma"/>
            <family val="2"/>
          </rPr>
          <t>S</t>
        </r>
        <r>
          <rPr>
            <sz val="9"/>
            <color indexed="81"/>
            <rFont val="Tahoma"/>
            <family val="2"/>
          </rPr>
          <t xml:space="preserve">.
The current limit threshold voltage is 100mV with ±10% tolerance.
</t>
        </r>
      </text>
    </comment>
    <comment ref="H33" authorId="0" shapeId="0" xr:uid="{00000000-0006-0000-0000-000011000000}">
      <text>
        <r>
          <rPr>
            <b/>
            <u/>
            <sz val="9"/>
            <color indexed="81"/>
            <rFont val="Tahoma"/>
            <family val="2"/>
          </rPr>
          <t>Recommended External Slope Compensation (R</t>
        </r>
        <r>
          <rPr>
            <b/>
            <u/>
            <vertAlign val="subscript"/>
            <sz val="9"/>
            <color indexed="81"/>
            <rFont val="Tahoma"/>
            <family val="2"/>
          </rPr>
          <t>SL</t>
        </r>
        <r>
          <rPr>
            <b/>
            <u/>
            <sz val="9"/>
            <color indexed="81"/>
            <rFont val="Tahoma"/>
            <family val="2"/>
          </rPr>
          <t>)</t>
        </r>
        <r>
          <rPr>
            <sz val="9"/>
            <color indexed="81"/>
            <rFont val="Tahoma"/>
            <family val="2"/>
          </rPr>
          <t xml:space="preserve">
External Slope compensation. This is only required when operting in CCM mode.</t>
        </r>
      </text>
    </comment>
    <comment ref="H36" authorId="0" shapeId="0" xr:uid="{00000000-0006-0000-0000-000012000000}">
      <text>
        <r>
          <rPr>
            <b/>
            <u/>
            <sz val="9"/>
            <color indexed="81"/>
            <rFont val="Tahoma"/>
            <family val="2"/>
          </rPr>
          <t>Transformer Primary Winding peak current limit</t>
        </r>
        <r>
          <rPr>
            <b/>
            <sz val="9"/>
            <color indexed="81"/>
            <rFont val="Tahoma"/>
            <family val="2"/>
          </rPr>
          <t xml:space="preserve">
</t>
        </r>
        <r>
          <rPr>
            <sz val="9"/>
            <color indexed="81"/>
            <rFont val="Tahoma"/>
            <family val="2"/>
          </rPr>
          <t>Maximum current in the inductor usually occurs at VIN(min). The result is corresponds to onset of current limit and is intended as a guide to transformer selection as it relates to saturation current</t>
        </r>
        <r>
          <rPr>
            <b/>
            <sz val="9"/>
            <color indexed="81"/>
            <rFont val="Tahoma"/>
            <family val="2"/>
          </rPr>
          <t>.</t>
        </r>
      </text>
    </comment>
    <comment ref="H40" authorId="0" shapeId="0" xr:uid="{00000000-0006-0000-0000-000013000000}">
      <text>
        <r>
          <rPr>
            <b/>
            <u/>
            <sz val="9"/>
            <color indexed="81"/>
            <rFont val="Tahoma"/>
            <family val="2"/>
          </rPr>
          <t>Load 1 Load Transient Voltage Ripple</t>
        </r>
        <r>
          <rPr>
            <sz val="9"/>
            <color indexed="81"/>
            <rFont val="Tahoma"/>
            <family val="2"/>
          </rPr>
          <t xml:space="preserve">
Desired output voltage transient for 50% load to 100% load step.
</t>
        </r>
      </text>
    </comment>
    <comment ref="H42" authorId="0" shapeId="0" xr:uid="{00000000-0006-0000-0000-000014000000}">
      <text>
        <r>
          <rPr>
            <b/>
            <u/>
            <sz val="9"/>
            <color indexed="81"/>
            <rFont val="Tahoma"/>
            <family val="2"/>
          </rPr>
          <t>Load 1 Output Capacitance:</t>
        </r>
        <r>
          <rPr>
            <b/>
            <sz val="9"/>
            <color indexed="81"/>
            <rFont val="Tahoma"/>
            <family val="2"/>
          </rPr>
          <t xml:space="preserve">
</t>
        </r>
        <r>
          <rPr>
            <sz val="9"/>
            <color indexed="81"/>
            <rFont val="Tahoma"/>
            <family val="2"/>
          </rPr>
          <t xml:space="preserve">Enter the output capacitance here based on the minimum calculated result. Make sure that the nominal capacitance is appropriately derated for applied voltage, particularly with ceramics.
</t>
        </r>
      </text>
    </comment>
    <comment ref="G47" authorId="0" shapeId="0" xr:uid="{00000000-0006-0000-0000-000015000000}">
      <text>
        <r>
          <rPr>
            <b/>
            <u/>
            <sz val="9"/>
            <color indexed="81"/>
            <rFont val="Tahoma"/>
            <family val="2"/>
          </rPr>
          <t>Soft-start Capacitor</t>
        </r>
        <r>
          <rPr>
            <sz val="9"/>
            <color indexed="81"/>
            <rFont val="Tahoma"/>
            <family val="2"/>
          </rPr>
          <t xml:space="preserve">
If the feedback is selected to be isolated a secondary side soft-start cirucuit should be implemented.</t>
        </r>
      </text>
    </comment>
    <comment ref="H52" authorId="0" shapeId="0" xr:uid="{00000000-0006-0000-0000-000016000000}">
      <text>
        <r>
          <rPr>
            <b/>
            <u/>
            <sz val="9"/>
            <color indexed="81"/>
            <rFont val="Tahoma"/>
            <family val="2"/>
          </rPr>
          <t>UVLO On Voltage</t>
        </r>
        <r>
          <rPr>
            <sz val="9"/>
            <color indexed="81"/>
            <rFont val="Tahoma"/>
            <family val="2"/>
          </rPr>
          <t xml:space="preserve">
Input voltage when LM5155 starts switching. Assuming the UVLO resistor divider is connected to the input rail. This value should be greater than the V</t>
        </r>
        <r>
          <rPr>
            <vertAlign val="subscript"/>
            <sz val="9"/>
            <color indexed="81"/>
            <rFont val="Tahoma"/>
            <family val="2"/>
          </rPr>
          <t xml:space="preserve">UVLO_OFF  </t>
        </r>
        <r>
          <rPr>
            <sz val="9"/>
            <color indexed="81"/>
            <rFont val="Tahoma"/>
            <family val="2"/>
          </rPr>
          <t>voltage
If more hystersis between V</t>
        </r>
        <r>
          <rPr>
            <vertAlign val="subscript"/>
            <sz val="9"/>
            <color indexed="81"/>
            <rFont val="Tahoma"/>
            <family val="2"/>
          </rPr>
          <t>UVLO_ON</t>
        </r>
        <r>
          <rPr>
            <sz val="9"/>
            <color indexed="81"/>
            <rFont val="Tahoma"/>
            <family val="2"/>
          </rPr>
          <t xml:space="preserve"> and V</t>
        </r>
        <r>
          <rPr>
            <vertAlign val="subscript"/>
            <sz val="9"/>
            <color indexed="81"/>
            <rFont val="Tahoma"/>
            <family val="2"/>
          </rPr>
          <t>UVLO_OFF</t>
        </r>
        <r>
          <rPr>
            <sz val="9"/>
            <color indexed="81"/>
            <rFont val="Tahoma"/>
            <family val="2"/>
          </rPr>
          <t xml:space="preserve"> see the datasheet.
</t>
        </r>
      </text>
    </comment>
    <comment ref="H53" authorId="0" shapeId="0" xr:uid="{00000000-0006-0000-0000-000017000000}">
      <text>
        <r>
          <rPr>
            <b/>
            <u/>
            <sz val="9"/>
            <color indexed="81"/>
            <rFont val="Tahoma"/>
            <family val="2"/>
          </rPr>
          <t xml:space="preserve">UVLO Off Voltage
</t>
        </r>
        <r>
          <rPr>
            <sz val="9"/>
            <color indexed="81"/>
            <rFont val="Tahoma"/>
            <family val="2"/>
          </rPr>
          <t xml:space="preserve">
Input voltage when LM5155 stops switching. Assuming the UVLO resistor divider is connected to the input rail. This value should be less than the V</t>
        </r>
        <r>
          <rPr>
            <vertAlign val="subscript"/>
            <sz val="9"/>
            <color indexed="81"/>
            <rFont val="Tahoma"/>
            <family val="2"/>
          </rPr>
          <t>UVLO_ON</t>
        </r>
        <r>
          <rPr>
            <sz val="9"/>
            <color indexed="81"/>
            <rFont val="Tahoma"/>
            <family val="2"/>
          </rPr>
          <t xml:space="preserve">  voltage.
If more hystersis between V</t>
        </r>
        <r>
          <rPr>
            <vertAlign val="subscript"/>
            <sz val="9"/>
            <color indexed="81"/>
            <rFont val="Tahoma"/>
            <family val="2"/>
          </rPr>
          <t>UVLO_ON</t>
        </r>
        <r>
          <rPr>
            <sz val="9"/>
            <color indexed="81"/>
            <rFont val="Tahoma"/>
            <family val="2"/>
          </rPr>
          <t xml:space="preserve"> and V</t>
        </r>
        <r>
          <rPr>
            <vertAlign val="subscript"/>
            <sz val="9"/>
            <color indexed="81"/>
            <rFont val="Tahoma"/>
            <family val="2"/>
          </rPr>
          <t>UVLO_OFF</t>
        </r>
        <r>
          <rPr>
            <sz val="9"/>
            <color indexed="81"/>
            <rFont val="Tahoma"/>
            <family val="2"/>
          </rPr>
          <t xml:space="preserve"> see the datasheet.</t>
        </r>
      </text>
    </comment>
    <comment ref="H62" authorId="0" shapeId="0" xr:uid="{00000000-0006-0000-0000-000018000000}">
      <text>
        <r>
          <rPr>
            <b/>
            <u/>
            <sz val="9"/>
            <color indexed="81"/>
            <rFont val="Tahoma"/>
            <family val="2"/>
          </rPr>
          <t xml:space="preserve">External Reference Voltage
</t>
        </r>
        <r>
          <rPr>
            <sz val="9"/>
            <color indexed="81"/>
            <rFont val="Tahoma"/>
            <family val="2"/>
          </rPr>
          <t xml:space="preserve">Isolated feedback requires the use of an external voltage reference on the secondary side. This is the voltage of the external shunt voltage reference. 
For low ouput voltages (&lt;5V) it is recommended to select a reference voltage of ~1.24V to help simplify the loop compensation design.
</t>
        </r>
      </text>
    </comment>
    <comment ref="H68" authorId="0" shapeId="0" xr:uid="{00000000-0006-0000-0000-000019000000}">
      <text>
        <r>
          <rPr>
            <b/>
            <u/>
            <sz val="10"/>
            <color indexed="81"/>
            <rFont val="Tahoma"/>
            <family val="2"/>
          </rPr>
          <t>Minimum Current Transfer Ratio</t>
        </r>
        <r>
          <rPr>
            <sz val="9"/>
            <color indexed="81"/>
            <rFont val="Tahoma"/>
            <family val="2"/>
          </rPr>
          <t xml:space="preserve">
</t>
        </r>
        <r>
          <rPr>
            <sz val="10"/>
            <color indexed="81"/>
            <rFont val="Tahoma"/>
            <family val="2"/>
          </rPr>
          <t xml:space="preserve">Minimum specified current transfer ratio (CTR) of the selected optocoupler. This is the gain of the optocoupler and is the ratio of the phototransistor collector current to the diode forward current.
As the minimum CTR and the maximum CTR become closer the easier the loop compensation becomes. </t>
        </r>
      </text>
    </comment>
    <comment ref="H69" authorId="0" shapeId="0" xr:uid="{00000000-0006-0000-0000-00001A000000}">
      <text>
        <r>
          <rPr>
            <b/>
            <sz val="9"/>
            <color indexed="81"/>
            <rFont val="Tahoma"/>
            <family val="2"/>
          </rPr>
          <t xml:space="preserve">Minimum Current Transfer Ratio
</t>
        </r>
        <r>
          <rPr>
            <sz val="9"/>
            <color indexed="81"/>
            <rFont val="Tahoma"/>
            <family val="2"/>
          </rPr>
          <t>Minimum specified current transfer ratio (CTR) of the selected optocoupler. This is the gain of the optocoupler and is the ratio of the phototransistor collector current to the diode forward current.
As the minimum CTR and the maximum CTR become closer the easier the loop compensation becomes.</t>
        </r>
        <r>
          <rPr>
            <b/>
            <sz val="9"/>
            <color indexed="81"/>
            <rFont val="Tahoma"/>
            <family val="2"/>
          </rPr>
          <t xml:space="preserve"> </t>
        </r>
        <r>
          <rPr>
            <sz val="9"/>
            <color indexed="81"/>
            <rFont val="Tahoma"/>
            <family val="2"/>
          </rPr>
          <t xml:space="preserve">
</t>
        </r>
      </text>
    </comment>
    <comment ref="H70" authorId="0" shapeId="0" xr:uid="{00000000-0006-0000-0000-00001B000000}">
      <text>
        <r>
          <rPr>
            <b/>
            <u/>
            <sz val="9"/>
            <color indexed="81"/>
            <rFont val="Tahoma"/>
            <family val="2"/>
          </rPr>
          <t>Optocoupler Diode Forward Voltage Drop</t>
        </r>
        <r>
          <rPr>
            <sz val="9"/>
            <color indexed="81"/>
            <rFont val="Tahoma"/>
            <family val="2"/>
          </rPr>
          <t xml:space="preserve">
Use the specified voltage diode voltage drop from the optocoupler datasheet. Typically this is specified with a couple milliamperes (mA) of forward current</t>
        </r>
      </text>
    </comment>
    <comment ref="H71" authorId="0" shapeId="0" xr:uid="{00000000-0006-0000-0000-00001C000000}">
      <text>
        <r>
          <rPr>
            <b/>
            <u/>
            <sz val="9"/>
            <color indexed="81"/>
            <rFont val="Tahoma"/>
            <family val="2"/>
          </rPr>
          <t xml:space="preserve">Phototransistor Collector Capacitance
</t>
        </r>
        <r>
          <rPr>
            <sz val="9"/>
            <color indexed="81"/>
            <rFont val="Tahoma"/>
            <family val="2"/>
          </rPr>
          <t>The capacitance of the phototransistor collector. This sets the high frequency pole in the error amplifier frequency response. This can be estimated by using the frequency response of the optocoupler from the datasheet and the pull-up resistor value.
C</t>
        </r>
        <r>
          <rPr>
            <vertAlign val="subscript"/>
            <sz val="9"/>
            <color indexed="81"/>
            <rFont val="Tahoma"/>
            <family val="2"/>
          </rPr>
          <t>OPTO</t>
        </r>
        <r>
          <rPr>
            <sz val="9"/>
            <color indexed="81"/>
            <rFont val="Tahoma"/>
            <family val="2"/>
          </rPr>
          <t xml:space="preserve"> = 1/(2</t>
        </r>
        <r>
          <rPr>
            <sz val="9"/>
            <color indexed="81"/>
            <rFont val="Calibri"/>
            <family val="2"/>
          </rPr>
          <t>π</t>
        </r>
        <r>
          <rPr>
            <sz val="9"/>
            <color indexed="81"/>
            <rFont val="Tahoma"/>
            <family val="2"/>
          </rPr>
          <t>*R</t>
        </r>
        <r>
          <rPr>
            <vertAlign val="subscript"/>
            <sz val="9"/>
            <color indexed="81"/>
            <rFont val="Tahoma"/>
            <family val="2"/>
          </rPr>
          <t>PULLUP</t>
        </r>
        <r>
          <rPr>
            <sz val="9"/>
            <color indexed="81"/>
            <rFont val="Tahoma"/>
            <family val="2"/>
          </rPr>
          <t>*f</t>
        </r>
        <r>
          <rPr>
            <vertAlign val="subscript"/>
            <sz val="9"/>
            <color indexed="81"/>
            <rFont val="Tahoma"/>
            <family val="2"/>
          </rPr>
          <t>CUTOFF</t>
        </r>
        <r>
          <rPr>
            <sz val="9"/>
            <color indexed="81"/>
            <rFont val="Tahoma"/>
            <family val="2"/>
          </rPr>
          <t>)
A capacitor can be added in parallel to the phototransistor to lower the pole frequency as needed.</t>
        </r>
      </text>
    </comment>
    <comment ref="H72" authorId="0" shapeId="0" xr:uid="{00000000-0006-0000-0000-00001D000000}">
      <text>
        <r>
          <rPr>
            <b/>
            <u/>
            <sz val="9"/>
            <color indexed="81"/>
            <rFont val="Tahoma"/>
            <family val="2"/>
          </rPr>
          <t xml:space="preserve">Phototransistor Saturation voltage
</t>
        </r>
        <r>
          <rPr>
            <sz val="9"/>
            <color indexed="81"/>
            <rFont val="Tahoma"/>
            <family val="2"/>
          </rPr>
          <t>Saturation voltage of the phototransistor as specified in the optocoupler datasheet.</t>
        </r>
      </text>
    </comment>
    <comment ref="H75" authorId="0" shapeId="0" xr:uid="{00000000-0006-0000-0000-00001E000000}">
      <text>
        <r>
          <rPr>
            <b/>
            <u/>
            <sz val="9"/>
            <color indexed="81"/>
            <rFont val="Tahoma"/>
            <family val="2"/>
          </rPr>
          <t>Pull up voltage (V</t>
        </r>
        <r>
          <rPr>
            <b/>
            <u/>
            <vertAlign val="subscript"/>
            <sz val="9"/>
            <color indexed="81"/>
            <rFont val="Tahoma"/>
            <family val="2"/>
          </rPr>
          <t>PULLUP</t>
        </r>
        <r>
          <rPr>
            <b/>
            <u/>
            <sz val="9"/>
            <color indexed="81"/>
            <rFont val="Tahoma"/>
            <family val="2"/>
          </rPr>
          <t>)</t>
        </r>
        <r>
          <rPr>
            <sz val="9"/>
            <color indexed="81"/>
            <rFont val="Tahoma"/>
            <family val="2"/>
          </rPr>
          <t xml:space="preserve">
This can be the VCC voltage of the LM5155/56 or can be supplied by an auxillary winding on the primary side. This value will affect the selection of the pull up resistor.</t>
        </r>
      </text>
    </comment>
    <comment ref="H77" authorId="0" shapeId="0" xr:uid="{00000000-0006-0000-0000-00001F000000}">
      <text>
        <r>
          <rPr>
            <b/>
            <u/>
            <sz val="9"/>
            <color indexed="81"/>
            <rFont val="Tahoma"/>
            <family val="2"/>
          </rPr>
          <t>Pullup Resistor Value</t>
        </r>
        <r>
          <rPr>
            <sz val="9"/>
            <color indexed="81"/>
            <rFont val="Tahoma"/>
            <family val="2"/>
          </rPr>
          <t xml:space="preserve">
Resistor between VPULLUP and the collector of the phototransistor of the  optocoupler. This resistor selection directly affects the mid-band gain of the error amplifier bandwidth</t>
        </r>
      </text>
    </comment>
    <comment ref="H79" authorId="0" shapeId="0" xr:uid="{00000000-0006-0000-0000-000020000000}">
      <text>
        <r>
          <rPr>
            <b/>
            <u/>
            <sz val="9"/>
            <color indexed="81"/>
            <rFont val="Tahoma"/>
            <family val="2"/>
          </rPr>
          <t>LED Resistor (R</t>
        </r>
        <r>
          <rPr>
            <b/>
            <u/>
            <vertAlign val="subscript"/>
            <sz val="9"/>
            <color indexed="81"/>
            <rFont val="Tahoma"/>
            <family val="2"/>
          </rPr>
          <t>LED</t>
        </r>
        <r>
          <rPr>
            <b/>
            <u/>
            <sz val="9"/>
            <color indexed="81"/>
            <rFont val="Tahoma"/>
            <family val="2"/>
          </rPr>
          <t>)</t>
        </r>
        <r>
          <rPr>
            <sz val="9"/>
            <color indexed="81"/>
            <rFont val="Tahoma"/>
            <family val="2"/>
          </rPr>
          <t xml:space="preserve">
Resistor connected between the output voltage and the anode of optocoupler diode. This value should be less than the calculated R</t>
        </r>
        <r>
          <rPr>
            <vertAlign val="subscript"/>
            <sz val="9"/>
            <color indexed="81"/>
            <rFont val="Tahoma"/>
            <family val="2"/>
          </rPr>
          <t>LED_max</t>
        </r>
        <r>
          <rPr>
            <sz val="9"/>
            <color indexed="81"/>
            <rFont val="Tahoma"/>
            <family val="2"/>
          </rPr>
          <t xml:space="preserve"> value above.</t>
        </r>
      </text>
    </comment>
    <comment ref="H83" authorId="0" shapeId="0" xr:uid="{00000000-0006-0000-0000-000021000000}">
      <text>
        <r>
          <rPr>
            <b/>
            <u/>
            <sz val="9"/>
            <color indexed="81"/>
            <rFont val="Tahoma"/>
            <family val="2"/>
          </rPr>
          <t>Selected Loop Crossover Frequency</t>
        </r>
        <r>
          <rPr>
            <sz val="9"/>
            <color indexed="81"/>
            <rFont val="Tahoma"/>
            <family val="2"/>
          </rPr>
          <t xml:space="preserve">
Selected crossover frequency of the control loop. It is recommend to select this value to be less than the cell above.</t>
        </r>
      </text>
    </comment>
    <comment ref="H86" authorId="0" shapeId="0" xr:uid="{00000000-0006-0000-0000-000022000000}">
      <text>
        <r>
          <rPr>
            <b/>
            <u/>
            <sz val="9"/>
            <color indexed="81"/>
            <rFont val="Tahoma"/>
            <family val="2"/>
          </rPr>
          <t>Compensation Resistor Selection (R</t>
        </r>
        <r>
          <rPr>
            <b/>
            <u/>
            <vertAlign val="subscript"/>
            <sz val="9"/>
            <color indexed="81"/>
            <rFont val="Tahoma"/>
            <family val="2"/>
          </rPr>
          <t>COMP</t>
        </r>
        <r>
          <rPr>
            <b/>
            <u/>
            <sz val="9"/>
            <color indexed="81"/>
            <rFont val="Tahoma"/>
            <family val="2"/>
          </rPr>
          <t>)</t>
        </r>
        <r>
          <rPr>
            <b/>
            <sz val="9"/>
            <color indexed="81"/>
            <rFont val="Tahoma"/>
            <family val="2"/>
          </rPr>
          <t xml:space="preserve">
</t>
        </r>
        <r>
          <rPr>
            <sz val="9"/>
            <color indexed="81"/>
            <rFont val="Tahoma"/>
            <family val="2"/>
          </rPr>
          <t>Directly affects the location for the compensation zero and the mid-band gain.
Increasing this value will increase the cross over frequency but decrease the phase margin.</t>
        </r>
      </text>
    </comment>
    <comment ref="H87" authorId="0" shapeId="0" xr:uid="{00000000-0006-0000-0000-000023000000}">
      <text>
        <r>
          <rPr>
            <b/>
            <u/>
            <sz val="9"/>
            <color indexed="81"/>
            <rFont val="Tahoma"/>
            <family val="2"/>
          </rPr>
          <t>Compensation Resistor Selection (C</t>
        </r>
        <r>
          <rPr>
            <b/>
            <u/>
            <vertAlign val="subscript"/>
            <sz val="9"/>
            <color indexed="81"/>
            <rFont val="Tahoma"/>
            <family val="2"/>
          </rPr>
          <t>COMP</t>
        </r>
        <r>
          <rPr>
            <b/>
            <u/>
            <sz val="9"/>
            <color indexed="81"/>
            <rFont val="Tahoma"/>
            <family val="2"/>
          </rPr>
          <t>)</t>
        </r>
        <r>
          <rPr>
            <b/>
            <sz val="9"/>
            <color indexed="81"/>
            <rFont val="Tahoma"/>
            <family val="2"/>
          </rPr>
          <t xml:space="preserve">
</t>
        </r>
        <r>
          <rPr>
            <sz val="9"/>
            <color indexed="81"/>
            <rFont val="Tahoma"/>
            <family val="2"/>
          </rPr>
          <t>Directly affects the location for the compensation zero. Increasing this value will decrease compensation zero location and increase the phase margin</t>
        </r>
        <r>
          <rPr>
            <b/>
            <sz val="9"/>
            <color indexed="81"/>
            <rFont val="Tahoma"/>
            <family val="2"/>
          </rPr>
          <t>.</t>
        </r>
        <r>
          <rPr>
            <sz val="9"/>
            <color indexed="81"/>
            <rFont val="Tahoma"/>
            <family val="2"/>
          </rPr>
          <t xml:space="preserve">
</t>
        </r>
      </text>
    </comment>
    <comment ref="H88" authorId="0" shapeId="0" xr:uid="{00000000-0006-0000-0000-000024000000}">
      <text>
        <r>
          <rPr>
            <b/>
            <u/>
            <sz val="9"/>
            <color indexed="81"/>
            <rFont val="Tahoma"/>
            <family val="2"/>
          </rPr>
          <t>Compensation Capacitor Selection (C</t>
        </r>
        <r>
          <rPr>
            <b/>
            <u/>
            <vertAlign val="subscript"/>
            <sz val="9"/>
            <color indexed="81"/>
            <rFont val="Tahoma"/>
            <family val="2"/>
          </rPr>
          <t>HF</t>
        </r>
        <r>
          <rPr>
            <b/>
            <u/>
            <sz val="9"/>
            <color indexed="81"/>
            <rFont val="Tahoma"/>
            <family val="2"/>
          </rPr>
          <t xml:space="preserve">)
</t>
        </r>
        <r>
          <rPr>
            <sz val="9"/>
            <color indexed="81"/>
            <rFont val="Tahoma"/>
            <family val="2"/>
          </rPr>
          <t xml:space="preserve">
Directly affects the location for the compensation pole. Increasing this value will decrease compensation zero frequency.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K112" authorId="0" shapeId="0" xr:uid="{00000000-0006-0000-0100-000001000000}">
      <text>
        <r>
          <rPr>
            <b/>
            <sz val="9"/>
            <color indexed="81"/>
            <rFont val="Tahoma"/>
            <family val="2"/>
          </rPr>
          <t xml:space="preserve">Slope Compensation flag. If this flag is tripped there is not enough slope compensation. Double check the calculated values
</t>
        </r>
        <r>
          <rPr>
            <sz val="9"/>
            <color indexed="81"/>
            <rFont val="Tahoma"/>
            <family val="2"/>
          </rPr>
          <t xml:space="preserve">
</t>
        </r>
      </text>
    </comment>
    <comment ref="K113" authorId="0" shapeId="0" xr:uid="{00000000-0006-0000-0100-000002000000}">
      <text>
        <r>
          <rPr>
            <sz val="9"/>
            <color indexed="81"/>
            <rFont val="Tahoma"/>
            <family val="2"/>
          </rPr>
          <t xml:space="preserve">Tripped if the current sense resistor results in a lower current limit
</t>
        </r>
      </text>
    </comment>
    <comment ref="B129" authorId="0" shapeId="0" xr:uid="{00000000-0006-0000-0100-000003000000}">
      <text>
        <r>
          <rPr>
            <b/>
            <sz val="9"/>
            <color indexed="81"/>
            <rFont val="Tahoma"/>
            <family val="2"/>
          </rPr>
          <t>BMC-BCS:</t>
        </r>
        <r>
          <rPr>
            <sz val="9"/>
            <color indexed="81"/>
            <rFont val="Tahoma"/>
            <family val="2"/>
          </rPr>
          <t xml:space="preserve">
Needs to be updated for flyback configuration
</t>
        </r>
      </text>
    </comment>
    <comment ref="B137" authorId="0" shapeId="0" xr:uid="{00000000-0006-0000-0100-000004000000}">
      <text>
        <r>
          <rPr>
            <b/>
            <sz val="9"/>
            <color indexed="81"/>
            <rFont val="Tahoma"/>
            <family val="2"/>
          </rPr>
          <t>BMC-BCS:</t>
        </r>
        <r>
          <rPr>
            <sz val="9"/>
            <color indexed="81"/>
            <rFont val="Tahoma"/>
            <family val="2"/>
          </rPr>
          <t xml:space="preserve">
Needs to be updated for flyback configuration
</t>
        </r>
      </text>
    </comment>
    <comment ref="B145" authorId="0" shapeId="0" xr:uid="{00000000-0006-0000-0100-000005000000}">
      <text>
        <r>
          <rPr>
            <b/>
            <sz val="9"/>
            <color indexed="81"/>
            <rFont val="Tahoma"/>
            <family val="2"/>
          </rPr>
          <t>BMC-BCS:</t>
        </r>
        <r>
          <rPr>
            <sz val="9"/>
            <color indexed="81"/>
            <rFont val="Tahoma"/>
            <family val="2"/>
          </rPr>
          <t xml:space="preserve">
Needs to be updated for flyback configuration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N13" authorId="0" shapeId="0" xr:uid="{00000000-0006-0000-0200-000001000000}">
      <text>
        <r>
          <rPr>
            <b/>
            <sz val="9"/>
            <color indexed="81"/>
            <rFont val="Tahoma"/>
            <family val="2"/>
          </rPr>
          <t>BMC-BCS:</t>
        </r>
        <r>
          <rPr>
            <sz val="9"/>
            <color indexed="81"/>
            <rFont val="Tahoma"/>
            <family val="2"/>
          </rPr>
          <t xml:space="preserve">
Ignore this for the design, Pole is based on optocoupler capacitance</t>
        </r>
      </text>
    </comment>
    <comment ref="O18" authorId="0" shapeId="0" xr:uid="{00000000-0006-0000-0200-000002000000}">
      <text>
        <r>
          <rPr>
            <b/>
            <sz val="9"/>
            <color indexed="81"/>
            <rFont val="Tahoma"/>
            <family val="2"/>
          </rPr>
          <t>BMC-BCS:</t>
        </r>
        <r>
          <rPr>
            <sz val="9"/>
            <color indexed="81"/>
            <rFont val="Tahoma"/>
            <family val="2"/>
          </rPr>
          <t xml:space="preserve">
Need to make this log not linear at some point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O18" authorId="0" shapeId="0" xr:uid="{00000000-0006-0000-0300-000001000000}">
      <text>
        <r>
          <rPr>
            <b/>
            <sz val="9"/>
            <color indexed="81"/>
            <rFont val="Tahoma"/>
            <family val="2"/>
          </rPr>
          <t>BMC-BCS:</t>
        </r>
        <r>
          <rPr>
            <sz val="9"/>
            <color indexed="81"/>
            <rFont val="Tahoma"/>
            <family val="2"/>
          </rPr>
          <t xml:space="preserve">
Need to make this log not linear at some point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AF5" authorId="0" shapeId="0" xr:uid="{00000000-0006-0000-0400-000001000000}">
      <text>
        <r>
          <rPr>
            <b/>
            <sz val="9"/>
            <color indexed="81"/>
            <rFont val="Tahoma"/>
            <family val="2"/>
          </rPr>
          <t>BMC-BCS:</t>
        </r>
        <r>
          <rPr>
            <sz val="9"/>
            <color indexed="81"/>
            <rFont val="Tahoma"/>
            <family val="2"/>
          </rPr>
          <t xml:space="preserve">
To simplify the design just assme a fixed loss for the snubber and leakage
</t>
        </r>
      </text>
    </comment>
    <comment ref="U6" authorId="0" shapeId="0" xr:uid="{00000000-0006-0000-0400-000002000000}">
      <text>
        <r>
          <rPr>
            <b/>
            <sz val="9"/>
            <color indexed="81"/>
            <rFont val="Tahoma"/>
            <family val="2"/>
          </rPr>
          <t xml:space="preserve">1 = DCM operation
2 = CCM operation
</t>
        </r>
      </text>
    </comment>
    <comment ref="V6" authorId="0" shapeId="0" xr:uid="{00000000-0006-0000-0400-000003000000}">
      <text>
        <r>
          <rPr>
            <b/>
            <sz val="9"/>
            <color indexed="81"/>
            <rFont val="Tahoma"/>
            <family val="2"/>
          </rPr>
          <t>BMC-BCS:</t>
        </r>
        <r>
          <rPr>
            <sz val="9"/>
            <color indexed="81"/>
            <rFont val="Tahoma"/>
            <family val="2"/>
          </rPr>
          <t xml:space="preserve">
To make the calculations simple the diode is assumed to be idela in CCM operation
</t>
        </r>
      </text>
    </comment>
    <comment ref="AT6" authorId="0" shapeId="0" xr:uid="{00000000-0006-0000-0400-000004000000}">
      <text>
        <r>
          <rPr>
            <b/>
            <sz val="9"/>
            <color indexed="81"/>
            <rFont val="Tahoma"/>
            <family val="2"/>
          </rPr>
          <t>BMC-BCS:</t>
        </r>
        <r>
          <rPr>
            <sz val="9"/>
            <color indexed="81"/>
            <rFont val="Tahoma"/>
            <family val="2"/>
          </rPr>
          <t xml:space="preserve">
Should calculate later
</t>
        </r>
      </text>
    </comment>
    <comment ref="BC6" authorId="0" shapeId="0" xr:uid="{00000000-0006-0000-0400-000005000000}">
      <text>
        <r>
          <rPr>
            <sz val="9"/>
            <color indexed="81"/>
            <rFont val="Tahoma"/>
            <family val="2"/>
          </rPr>
          <t xml:space="preserve">Just use the average current for the approximations
</t>
        </r>
      </text>
    </comment>
    <comment ref="BN6" authorId="0" shapeId="0" xr:uid="{00000000-0006-0000-0400-000006000000}">
      <text>
        <r>
          <rPr>
            <sz val="9"/>
            <color indexed="81"/>
            <rFont val="Tahoma"/>
            <family val="2"/>
          </rPr>
          <t xml:space="preserve">Just use the average current for the approximations
</t>
        </r>
      </text>
    </comment>
  </commentList>
</comments>
</file>

<file path=xl/sharedStrings.xml><?xml version="1.0" encoding="utf-8"?>
<sst xmlns="http://schemas.openxmlformats.org/spreadsheetml/2006/main" count="1394" uniqueCount="711">
  <si>
    <t>TERMS OF USE</t>
  </si>
  <si>
    <t>ABOUT</t>
  </si>
  <si>
    <t>=Input Box</t>
  </si>
  <si>
    <t>Rev 1</t>
  </si>
  <si>
    <t>Step 1: Design Specifications</t>
  </si>
  <si>
    <r>
      <t>Minimum Input Supply Voltage , V</t>
    </r>
    <r>
      <rPr>
        <vertAlign val="subscript"/>
        <sz val="10"/>
        <color theme="1"/>
        <rFont val="Calibri"/>
        <family val="2"/>
        <scheme val="minor"/>
      </rPr>
      <t>SUPPLY(min)</t>
    </r>
    <r>
      <rPr>
        <sz val="10"/>
        <color theme="1"/>
        <rFont val="Calibri"/>
        <family val="2"/>
        <scheme val="minor"/>
      </rPr>
      <t xml:space="preserve"> </t>
    </r>
  </si>
  <si>
    <r>
      <t>Typical Input Supply Voltage, V</t>
    </r>
    <r>
      <rPr>
        <vertAlign val="subscript"/>
        <sz val="10"/>
        <color theme="1"/>
        <rFont val="Calibri"/>
        <family val="2"/>
        <scheme val="minor"/>
      </rPr>
      <t>SUPPLY(typ)</t>
    </r>
    <r>
      <rPr>
        <sz val="10"/>
        <color theme="1"/>
        <rFont val="Calibri"/>
        <family val="2"/>
        <scheme val="minor"/>
      </rPr>
      <t xml:space="preserve"> </t>
    </r>
  </si>
  <si>
    <r>
      <t>Maximum Input Supply Voltage , V</t>
    </r>
    <r>
      <rPr>
        <vertAlign val="subscript"/>
        <sz val="10"/>
        <color theme="1"/>
        <rFont val="Calibri"/>
        <family val="2"/>
        <scheme val="minor"/>
      </rPr>
      <t>SUPPLY(max)</t>
    </r>
    <r>
      <rPr>
        <sz val="10"/>
        <color theme="1"/>
        <rFont val="Calibri"/>
        <family val="2"/>
        <scheme val="minor"/>
      </rPr>
      <t xml:space="preserve"> </t>
    </r>
  </si>
  <si>
    <r>
      <t>Output Target Voltage, V</t>
    </r>
    <r>
      <rPr>
        <vertAlign val="subscript"/>
        <sz val="10"/>
        <color theme="1"/>
        <rFont val="Calibri"/>
        <family val="2"/>
        <scheme val="minor"/>
      </rPr>
      <t>LOAD</t>
    </r>
    <r>
      <rPr>
        <sz val="10"/>
        <color theme="1"/>
        <rFont val="Calibri"/>
        <family val="2"/>
        <scheme val="minor"/>
      </rPr>
      <t xml:space="preserve"> </t>
    </r>
  </si>
  <si>
    <r>
      <t>Maximum Output Current , I</t>
    </r>
    <r>
      <rPr>
        <vertAlign val="subscript"/>
        <sz val="10"/>
        <color theme="1"/>
        <rFont val="Calibri"/>
        <family val="2"/>
        <scheme val="minor"/>
      </rPr>
      <t>LOAD</t>
    </r>
    <r>
      <rPr>
        <sz val="10"/>
        <color theme="1"/>
        <rFont val="Calibri"/>
        <family val="2"/>
        <scheme val="minor"/>
      </rPr>
      <t xml:space="preserve"> </t>
    </r>
  </si>
  <si>
    <r>
      <t>Free Running Switching Frequency, F</t>
    </r>
    <r>
      <rPr>
        <vertAlign val="subscript"/>
        <sz val="10"/>
        <color theme="1"/>
        <rFont val="Calibri"/>
        <family val="2"/>
        <scheme val="minor"/>
      </rPr>
      <t>SW</t>
    </r>
  </si>
  <si>
    <t>V</t>
  </si>
  <si>
    <t>A</t>
  </si>
  <si>
    <t>kHz</t>
  </si>
  <si>
    <t>%</t>
  </si>
  <si>
    <r>
      <t>Output Power, P</t>
    </r>
    <r>
      <rPr>
        <vertAlign val="subscript"/>
        <sz val="10"/>
        <color theme="1"/>
        <rFont val="Calibri"/>
        <family val="2"/>
        <scheme val="minor"/>
      </rPr>
      <t>OUT</t>
    </r>
    <r>
      <rPr>
        <sz val="10"/>
        <color theme="1"/>
        <rFont val="Calibri"/>
        <family val="2"/>
        <scheme val="minor"/>
      </rPr>
      <t xml:space="preserve"> </t>
    </r>
  </si>
  <si>
    <t>EXCEL Variables Names/Calculations</t>
  </si>
  <si>
    <t>Input from user =</t>
  </si>
  <si>
    <t>Output =</t>
  </si>
  <si>
    <t>Constant</t>
  </si>
  <si>
    <t>Variable Name</t>
  </si>
  <si>
    <t>Value</t>
  </si>
  <si>
    <t>STD Units</t>
  </si>
  <si>
    <t>Notes</t>
  </si>
  <si>
    <t>Iteration</t>
  </si>
  <si>
    <t>Step 1: Operational Specs</t>
  </si>
  <si>
    <t>VIN_min</t>
  </si>
  <si>
    <t>VIN_nom</t>
  </si>
  <si>
    <t>VIN_max</t>
  </si>
  <si>
    <t>Minimum input voltage</t>
  </si>
  <si>
    <t>Nominal input voltage</t>
  </si>
  <si>
    <t>Maximum input voltage</t>
  </si>
  <si>
    <t>VOUT</t>
  </si>
  <si>
    <t>IOUT</t>
  </si>
  <si>
    <t>Maximum Output current</t>
  </si>
  <si>
    <t>Ω</t>
  </si>
  <si>
    <t>W</t>
  </si>
  <si>
    <t>EFF_est</t>
  </si>
  <si>
    <t>Total output power</t>
  </si>
  <si>
    <t>Minimum load resistance</t>
  </si>
  <si>
    <t>D_2p2_min</t>
  </si>
  <si>
    <t>D_2p2_nom</t>
  </si>
  <si>
    <t>D_2p2_max</t>
  </si>
  <si>
    <t>Minimum max duty cycle at 2p2MHZ operation</t>
  </si>
  <si>
    <t>t_off_max</t>
  </si>
  <si>
    <t>T_off_nom</t>
  </si>
  <si>
    <t>T_off_min</t>
  </si>
  <si>
    <t>s</t>
  </si>
  <si>
    <t>Minimum forced off time</t>
  </si>
  <si>
    <t>nominal forced off time</t>
  </si>
  <si>
    <t>Maximum forced off time</t>
  </si>
  <si>
    <t xml:space="preserve">IC Duty Cycle Limitation: </t>
  </si>
  <si>
    <t>D_limit_min</t>
  </si>
  <si>
    <t>D_limit_nom</t>
  </si>
  <si>
    <t>D_limit_max</t>
  </si>
  <si>
    <t>Nomminal max duty cycle at low frequency</t>
  </si>
  <si>
    <t>Spec conditions</t>
  </si>
  <si>
    <t>Min max duty cycle at low frequency</t>
  </si>
  <si>
    <t>Maximum max duty cycle at low frequency</t>
  </si>
  <si>
    <t>Nominal right now</t>
  </si>
  <si>
    <t>Fsw</t>
  </si>
  <si>
    <t>Hz</t>
  </si>
  <si>
    <t xml:space="preserve">Switching frequnecy </t>
  </si>
  <si>
    <t>Flag</t>
  </si>
  <si>
    <t>Forced off time limit? [2 True, 1 False]</t>
  </si>
  <si>
    <t>RT</t>
  </si>
  <si>
    <t>Oscillator Set resistor. Based on the datasheet equation</t>
  </si>
  <si>
    <r>
      <t>Free running Oscillator Set Resistor, R</t>
    </r>
    <r>
      <rPr>
        <vertAlign val="subscript"/>
        <sz val="10"/>
        <color theme="1"/>
        <rFont val="Calibri"/>
        <family val="2"/>
        <scheme val="minor"/>
      </rPr>
      <t>T</t>
    </r>
  </si>
  <si>
    <r>
      <t>k</t>
    </r>
    <r>
      <rPr>
        <sz val="11"/>
        <color theme="1"/>
        <rFont val="Calibri"/>
        <family val="2"/>
      </rPr>
      <t>Ω</t>
    </r>
  </si>
  <si>
    <t>Dc_Limit</t>
  </si>
  <si>
    <t>Max duty cycle of LM5155 at Fsw</t>
  </si>
  <si>
    <t>EXCEL Constants / Values / IC Limits</t>
  </si>
  <si>
    <t>ton_min</t>
  </si>
  <si>
    <t>Typical Ton minimum value</t>
  </si>
  <si>
    <t>Lcalc_VIN_min</t>
  </si>
  <si>
    <t>H</t>
  </si>
  <si>
    <t>ILrip</t>
  </si>
  <si>
    <t>Lm</t>
  </si>
  <si>
    <t>Selected filter inductor</t>
  </si>
  <si>
    <t>uH</t>
  </si>
  <si>
    <t>Rdcr</t>
  </si>
  <si>
    <r>
      <t>m</t>
    </r>
    <r>
      <rPr>
        <sz val="11"/>
        <color theme="1"/>
        <rFont val="Calibri"/>
        <family val="2"/>
      </rPr>
      <t>Ω</t>
    </r>
  </si>
  <si>
    <t>.</t>
  </si>
  <si>
    <t>ILp_VINmin</t>
  </si>
  <si>
    <t>Peak inductor current at VIN min. Including estimated efficiency</t>
  </si>
  <si>
    <t>ILrip_VINmin</t>
  </si>
  <si>
    <t xml:space="preserve">Inductor ripple current at VIN min. </t>
  </si>
  <si>
    <t>ILrip_VINnom</t>
  </si>
  <si>
    <t>ILp_VINnom</t>
  </si>
  <si>
    <t>ILrip_VINmax</t>
  </si>
  <si>
    <t>ILp_VINmax</t>
  </si>
  <si>
    <t>Step 3: Current Sense Resistor</t>
  </si>
  <si>
    <t>Selected indutor ripple ratio. Will be changed later to a standard value just to keep things simple</t>
  </si>
  <si>
    <t xml:space="preserve">Inductor ripple current at VIN nom. </t>
  </si>
  <si>
    <t>Peak inductor current at VIN nom. Including estimated efficiency</t>
  </si>
  <si>
    <t xml:space="preserve">Inductor ripple current at VIN max. </t>
  </si>
  <si>
    <t>Peak inductor current at VIN max. Including estimated efficiency</t>
  </si>
  <si>
    <t>Step 3: Current Sense Resistor Selection</t>
  </si>
  <si>
    <t>Ipk_margin</t>
  </si>
  <si>
    <t>Peak current limit margin. 20% is a typical value</t>
  </si>
  <si>
    <t>Ipk_selected</t>
  </si>
  <si>
    <t>Selected peak current limit based on margin selection</t>
  </si>
  <si>
    <t>Filter inductor DCR</t>
  </si>
  <si>
    <t>Ltol</t>
  </si>
  <si>
    <t>Assumed inductor tolerance. Constant to help simplify the user experience</t>
  </si>
  <si>
    <t>Rcs_max</t>
  </si>
  <si>
    <t>Maximum Rcs based on internal slope compensation. Assuming slope ratio of 1/2</t>
  </si>
  <si>
    <t>Rcs_sl_ratio</t>
  </si>
  <si>
    <t>ratio of down slope to slope compensation. This can be updated to give more margin</t>
  </si>
  <si>
    <t>Isl</t>
  </si>
  <si>
    <t>Internal slope compensation ramp</t>
  </si>
  <si>
    <t>Rsl_int</t>
  </si>
  <si>
    <t>Internal Slope compensation resistor</t>
  </si>
  <si>
    <t>Rcs_wo_sl</t>
  </si>
  <si>
    <t>Current sense resistor without slope compensation</t>
  </si>
  <si>
    <t>Vcl</t>
  </si>
  <si>
    <t>Current Limit Value. See datsheet for Parameters</t>
  </si>
  <si>
    <t>Flag_ext_sl</t>
  </si>
  <si>
    <t>Rcs_w_sl</t>
  </si>
  <si>
    <t>Rcs_ext_sl_ratio</t>
  </si>
  <si>
    <t>External Slope compensation ratio. Constant</t>
  </si>
  <si>
    <t>R_sl_ext</t>
  </si>
  <si>
    <t>R_cs_calc</t>
  </si>
  <si>
    <t>R_sl_calc</t>
  </si>
  <si>
    <t>R_cs</t>
  </si>
  <si>
    <t>R_sl</t>
  </si>
  <si>
    <t>Current Sense Resistor calculated</t>
  </si>
  <si>
    <t>External slope compensation resistor</t>
  </si>
  <si>
    <t>Calculated external slope compensation resistor</t>
  </si>
  <si>
    <t>Calculated current sense resistor with slope compensation included</t>
  </si>
  <si>
    <r>
      <t>Recommended external slope compensation Resistor (R</t>
    </r>
    <r>
      <rPr>
        <vertAlign val="subscript"/>
        <sz val="11"/>
        <color theme="1"/>
        <rFont val="Calibri"/>
        <family val="2"/>
        <scheme val="minor"/>
      </rPr>
      <t>SL</t>
    </r>
    <r>
      <rPr>
        <sz val="11"/>
        <color theme="1"/>
        <rFont val="Calibri"/>
        <family val="2"/>
        <scheme val="minor"/>
      </rPr>
      <t>)</t>
    </r>
  </si>
  <si>
    <t>Selected current sense Resistor</t>
  </si>
  <si>
    <t>Selected external slope compensation</t>
  </si>
  <si>
    <r>
      <t>Selected external slope compensation Resistor (R</t>
    </r>
    <r>
      <rPr>
        <vertAlign val="subscript"/>
        <sz val="11"/>
        <color theme="1"/>
        <rFont val="Calibri"/>
        <family val="2"/>
        <scheme val="minor"/>
      </rPr>
      <t>SL</t>
    </r>
    <r>
      <rPr>
        <sz val="11"/>
        <color theme="1"/>
        <rFont val="Calibri"/>
        <family val="2"/>
        <scheme val="minor"/>
      </rPr>
      <t>)</t>
    </r>
  </si>
  <si>
    <t>Check to make sure that slope compensation is high enough at the minimum input voltage</t>
  </si>
  <si>
    <t>Slope Compensation</t>
  </si>
  <si>
    <t>sl_vin_min</t>
  </si>
  <si>
    <t>Actual inductor peak current limit</t>
  </si>
  <si>
    <t>IL_pk</t>
  </si>
  <si>
    <t>IL_pk_max</t>
  </si>
  <si>
    <t>Peak current limit at the minimum input voltage</t>
  </si>
  <si>
    <t>Peak inductor current limit for saturation rating.  VIN max due to the possibility of external slope comp</t>
  </si>
  <si>
    <t>sat_mar</t>
  </si>
  <si>
    <t>Margin for saturation current of the inductor</t>
  </si>
  <si>
    <t>V/V</t>
  </si>
  <si>
    <t>COMP voltage Limit checks</t>
  </si>
  <si>
    <t>Step 4: Output Capacitor Selection</t>
  </si>
  <si>
    <t>mV</t>
  </si>
  <si>
    <t>uF</t>
  </si>
  <si>
    <r>
      <t>Selected Output Capacitance (C</t>
    </r>
    <r>
      <rPr>
        <vertAlign val="subscript"/>
        <sz val="11"/>
        <color theme="1"/>
        <rFont val="Calibri"/>
        <family val="2"/>
        <scheme val="minor"/>
      </rPr>
      <t>OUT</t>
    </r>
    <r>
      <rPr>
        <sz val="11"/>
        <color theme="1"/>
        <rFont val="Calibri"/>
        <family val="2"/>
        <scheme val="minor"/>
      </rPr>
      <t>)</t>
    </r>
  </si>
  <si>
    <t>Desired output ripple</t>
  </si>
  <si>
    <t>F</t>
  </si>
  <si>
    <t>Calculate minimum capacitance based simply on the capacitive ripple</t>
  </si>
  <si>
    <t>IRMS_COUT</t>
  </si>
  <si>
    <t>RMS current of the output capacitor at VIN min IOUT max. RMS current rating should be larger than this.</t>
  </si>
  <si>
    <r>
      <t>Equivalent  COUT ESR (R</t>
    </r>
    <r>
      <rPr>
        <vertAlign val="subscript"/>
        <sz val="11"/>
        <color theme="1"/>
        <rFont val="Calibri"/>
        <family val="2"/>
        <scheme val="minor"/>
      </rPr>
      <t>ESR</t>
    </r>
    <r>
      <rPr>
        <sz val="11"/>
        <color theme="1"/>
        <rFont val="Calibri"/>
        <family val="2"/>
        <scheme val="minor"/>
      </rPr>
      <t>)</t>
    </r>
  </si>
  <si>
    <t>Selected Output Capacitance</t>
  </si>
  <si>
    <t>Selected output capacitance ESR</t>
  </si>
  <si>
    <r>
      <t>Selected Peak Current limit(IL</t>
    </r>
    <r>
      <rPr>
        <vertAlign val="subscript"/>
        <sz val="11"/>
        <color theme="1"/>
        <rFont val="Calibri"/>
        <family val="2"/>
        <scheme val="minor"/>
      </rPr>
      <t>PK_select</t>
    </r>
    <r>
      <rPr>
        <sz val="11"/>
        <color theme="1"/>
        <rFont val="Calibri"/>
        <family val="2"/>
        <scheme val="minor"/>
      </rPr>
      <t>)</t>
    </r>
  </si>
  <si>
    <t>Input Parameters</t>
  </si>
  <si>
    <t>Output Voltage</t>
  </si>
  <si>
    <t>Component Selection</t>
  </si>
  <si>
    <t>LM</t>
  </si>
  <si>
    <t>filter Inductor</t>
  </si>
  <si>
    <t>Current sense resi</t>
  </si>
  <si>
    <t>External Slope Compensation Resistor</t>
  </si>
  <si>
    <t>Interanl Slope Compesnation Resistor</t>
  </si>
  <si>
    <t>Interanl Slope Compesnation current</t>
  </si>
  <si>
    <t>RCOMP</t>
  </si>
  <si>
    <t>kΩ</t>
  </si>
  <si>
    <t>Feedback Resistor Selection</t>
  </si>
  <si>
    <t>pF</t>
  </si>
  <si>
    <t>nF</t>
  </si>
  <si>
    <t>CCOMP</t>
  </si>
  <si>
    <t>CHF</t>
  </si>
  <si>
    <t>Type II compensation Resistort</t>
  </si>
  <si>
    <t>Type II compensation Capacitor</t>
  </si>
  <si>
    <t>Type II high frequency capacitor</t>
  </si>
  <si>
    <t>RFBT</t>
  </si>
  <si>
    <t>RFBB</t>
  </si>
  <si>
    <t>Compensation Components</t>
  </si>
  <si>
    <t>Top feedback resistor</t>
  </si>
  <si>
    <t>Bottom feedback resistor</t>
  </si>
  <si>
    <t>Calculations</t>
  </si>
  <si>
    <t>Frequency</t>
  </si>
  <si>
    <t>Selected VIN</t>
  </si>
  <si>
    <t>VIN_var</t>
  </si>
  <si>
    <t>VIN_VAR</t>
  </si>
  <si>
    <t>Variable input voltage</t>
  </si>
  <si>
    <t>ADC</t>
  </si>
  <si>
    <t>Gcomp</t>
  </si>
  <si>
    <t>Scale down factor of the interal comp voltage divider</t>
  </si>
  <si>
    <t>Intenal step down of the divider</t>
  </si>
  <si>
    <t>DC gain of the plant function</t>
  </si>
  <si>
    <t>Acs</t>
  </si>
  <si>
    <t>Current sense Amplifier Gain (1 for this device)</t>
  </si>
  <si>
    <t>Low Frequency Pole</t>
  </si>
  <si>
    <t>RHPz zero of boost converter</t>
  </si>
  <si>
    <t>ESR zero cause by output capacitance</t>
  </si>
  <si>
    <t>wsl</t>
  </si>
  <si>
    <t>Q</t>
  </si>
  <si>
    <t>Se</t>
  </si>
  <si>
    <t xml:space="preserve">Slope compensation </t>
  </si>
  <si>
    <t>Down slope at the selected input voltage</t>
  </si>
  <si>
    <t>Sn</t>
  </si>
  <si>
    <t>Rad</t>
  </si>
  <si>
    <t>wp_lf</t>
  </si>
  <si>
    <t>wz_rhp</t>
  </si>
  <si>
    <t>wz_esr</t>
  </si>
  <si>
    <t>Gain</t>
  </si>
  <si>
    <t>Phase</t>
  </si>
  <si>
    <t>Sampling</t>
  </si>
  <si>
    <t>Complex</t>
  </si>
  <si>
    <t>Total</t>
  </si>
  <si>
    <t>Plant Transfer Function</t>
  </si>
  <si>
    <t>Error Amplifier</t>
  </si>
  <si>
    <t>Plant Parameters</t>
  </si>
  <si>
    <t>wz_ea</t>
  </si>
  <si>
    <t>Adc_ea</t>
  </si>
  <si>
    <t>gm_ea</t>
  </si>
  <si>
    <t>Error Amplifier Gain</t>
  </si>
  <si>
    <t>A/V</t>
  </si>
  <si>
    <t>wp0_ea</t>
  </si>
  <si>
    <t>wp1_ea</t>
  </si>
  <si>
    <t>ADC_ea</t>
  </si>
  <si>
    <t xml:space="preserve">Gain </t>
  </si>
  <si>
    <t>Open Loop Response</t>
  </si>
  <si>
    <t>COMPLEX</t>
  </si>
  <si>
    <t>dB</t>
  </si>
  <si>
    <t>Selected by user. Feedback resistor should be &gt;100uA to help reject noise</t>
  </si>
  <si>
    <t>Error Amplifier Zero</t>
  </si>
  <si>
    <t>Error Amplifier pole at the origin</t>
  </si>
  <si>
    <t>Error Amplifier pole at high frequencies</t>
  </si>
  <si>
    <t>RFBB_CALC</t>
  </si>
  <si>
    <t>Vref</t>
  </si>
  <si>
    <t>Reference voltage</t>
  </si>
  <si>
    <t>Estimated bottom feedback resistor</t>
  </si>
  <si>
    <t>Selected botton feedback resistor</t>
  </si>
  <si>
    <t>Ifb</t>
  </si>
  <si>
    <t>Current Drawn from the feedback resistors (Typically higher than 100uA to help w/ noise)</t>
  </si>
  <si>
    <r>
      <t xml:space="preserve">Plant low frequency pole. </t>
    </r>
    <r>
      <rPr>
        <b/>
        <sz val="11"/>
        <color theme="1"/>
        <rFont val="Calibri"/>
        <family val="2"/>
        <scheme val="minor"/>
      </rPr>
      <t>IN Hz!!!</t>
    </r>
  </si>
  <si>
    <r>
      <t xml:space="preserve">Plant RHP Zero, </t>
    </r>
    <r>
      <rPr>
        <b/>
        <sz val="11"/>
        <color theme="1"/>
        <rFont val="Calibri"/>
        <family val="2"/>
        <scheme val="minor"/>
      </rPr>
      <t>(IN Hz)</t>
    </r>
  </si>
  <si>
    <r>
      <t xml:space="preserve">Plant capacitor ESR zero </t>
    </r>
    <r>
      <rPr>
        <b/>
        <sz val="11"/>
        <color theme="1"/>
        <rFont val="Calibri"/>
        <family val="2"/>
        <scheme val="minor"/>
      </rPr>
      <t>(In Hz)</t>
    </r>
  </si>
  <si>
    <t>Feedback resistor selection</t>
  </si>
  <si>
    <t>Crossover Frequency Selection</t>
  </si>
  <si>
    <t>Fcross_est</t>
  </si>
  <si>
    <r>
      <t>Calculated bottom feedback resistor (R</t>
    </r>
    <r>
      <rPr>
        <vertAlign val="subscript"/>
        <sz val="11"/>
        <color theme="1"/>
        <rFont val="Calibri"/>
        <family val="2"/>
        <scheme val="minor"/>
      </rPr>
      <t>FBB_cala</t>
    </r>
    <r>
      <rPr>
        <sz val="11"/>
        <color theme="1"/>
        <rFont val="Calibri"/>
        <family val="2"/>
        <scheme val="minor"/>
      </rPr>
      <t>)</t>
    </r>
  </si>
  <si>
    <t>fcross</t>
  </si>
  <si>
    <t>Desired Crossover frequency</t>
  </si>
  <si>
    <t>1/10 the swictching frequency</t>
  </si>
  <si>
    <t>Conservative. Set Fcross to be 1/5th the RHP zero frequency or 1/10th SW: whichever is lower</t>
  </si>
  <si>
    <t>Select the lower crossover frequency</t>
  </si>
  <si>
    <t>Gplant_fc</t>
  </si>
  <si>
    <t>Gain of the plant at the desired crossover frequency</t>
  </si>
  <si>
    <t>Fcross</t>
  </si>
  <si>
    <t>wz_RHP</t>
  </si>
  <si>
    <t>Gplant_fc_dB</t>
  </si>
  <si>
    <t>Plant gain at crossover frequency (dB)</t>
  </si>
  <si>
    <t>Gea_mid_calc</t>
  </si>
  <si>
    <t>Error Amplifier Mid-band gain to set cross over frequency correctly</t>
  </si>
  <si>
    <t>Rcomp_Calc</t>
  </si>
  <si>
    <t>Calculate on based on the desired Mid-band gain needed to set the crossover frequency</t>
  </si>
  <si>
    <t>fz_ea_est</t>
  </si>
  <si>
    <t>Set the fz_ea 1/10th the cross over frequency (Common approach)</t>
  </si>
  <si>
    <t>Set the fz_ea geometerically inbetween crossover and the wp_lf</t>
  </si>
  <si>
    <t>Fz_ea_1</t>
  </si>
  <si>
    <t>Fz_ea_2</t>
  </si>
  <si>
    <t>CCOMP_calc</t>
  </si>
  <si>
    <t>CHF_Calc</t>
  </si>
  <si>
    <t>fp_ea_est</t>
  </si>
  <si>
    <r>
      <t>Select a top feedback resistor(R</t>
    </r>
    <r>
      <rPr>
        <vertAlign val="subscript"/>
        <sz val="11"/>
        <color theme="1"/>
        <rFont val="Calibri"/>
        <family val="2"/>
        <scheme val="minor"/>
      </rPr>
      <t>FBT</t>
    </r>
    <r>
      <rPr>
        <sz val="11"/>
        <color theme="1"/>
        <rFont val="Calibri"/>
        <family val="2"/>
        <scheme val="minor"/>
      </rPr>
      <t>)</t>
    </r>
  </si>
  <si>
    <r>
      <t>Select a bottomresistor based on calculated balue(R</t>
    </r>
    <r>
      <rPr>
        <vertAlign val="subscript"/>
        <sz val="11"/>
        <color theme="1"/>
        <rFont val="Calibri"/>
        <family val="2"/>
        <scheme val="minor"/>
      </rPr>
      <t>FBB</t>
    </r>
    <r>
      <rPr>
        <sz val="11"/>
        <color theme="1"/>
        <rFont val="Calibri"/>
        <family val="2"/>
        <scheme val="minor"/>
      </rPr>
      <t>)</t>
    </r>
  </si>
  <si>
    <t>Step 5: Soft-Start Capacitor Selection</t>
  </si>
  <si>
    <t>Step 6: UVLO Resistor Divider Selection</t>
  </si>
  <si>
    <t>Efficiency / Power Loss Analyzer</t>
  </si>
  <si>
    <r>
      <t>R</t>
    </r>
    <r>
      <rPr>
        <vertAlign val="subscript"/>
        <sz val="11"/>
        <color theme="1"/>
        <rFont val="Calibri"/>
        <family val="2"/>
        <scheme val="minor"/>
      </rPr>
      <t>COMP</t>
    </r>
  </si>
  <si>
    <t>Calculated</t>
  </si>
  <si>
    <t>Selected</t>
  </si>
  <si>
    <t>Steps</t>
  </si>
  <si>
    <t>Step size</t>
  </si>
  <si>
    <t>VIN</t>
  </si>
  <si>
    <t>DCM/CCM</t>
  </si>
  <si>
    <t>DC</t>
  </si>
  <si>
    <t>IIN</t>
  </si>
  <si>
    <t>Icrms_min</t>
  </si>
  <si>
    <t>Minimum required RMS current rating for the output capacitor bank</t>
  </si>
  <si>
    <t>Soft-Start</t>
  </si>
  <si>
    <t>Iss</t>
  </si>
  <si>
    <t>Soft-start capacitor charge current</t>
  </si>
  <si>
    <t>Soft-Start Charge current</t>
  </si>
  <si>
    <t>Css_min</t>
  </si>
  <si>
    <t>Suggested minimum SS capacitor to minize the over shoot.</t>
  </si>
  <si>
    <t>tss</t>
  </si>
  <si>
    <t>Desired Soft-Start Capacitor</t>
  </si>
  <si>
    <r>
      <t>Suggested minimum soft-start capacitor (C</t>
    </r>
    <r>
      <rPr>
        <vertAlign val="subscript"/>
        <sz val="11"/>
        <color theme="1"/>
        <rFont val="Calibri"/>
        <family val="2"/>
        <scheme val="minor"/>
      </rPr>
      <t>SS_MIN</t>
    </r>
    <r>
      <rPr>
        <sz val="11"/>
        <color theme="1"/>
        <rFont val="Calibri"/>
        <family val="2"/>
        <scheme val="minor"/>
      </rPr>
      <t>)</t>
    </r>
  </si>
  <si>
    <t>ms</t>
  </si>
  <si>
    <t>Css_calc</t>
  </si>
  <si>
    <t>Calcualted Soft-start capacitor</t>
  </si>
  <si>
    <r>
      <t>Calculated soft-start capacitor (C</t>
    </r>
    <r>
      <rPr>
        <vertAlign val="subscript"/>
        <sz val="11"/>
        <color theme="1"/>
        <rFont val="Calibri"/>
        <family val="2"/>
        <scheme val="minor"/>
      </rPr>
      <t>SS</t>
    </r>
    <r>
      <rPr>
        <sz val="11"/>
        <color theme="1"/>
        <rFont val="Calibri"/>
        <family val="2"/>
        <scheme val="minor"/>
      </rPr>
      <t>)</t>
    </r>
  </si>
  <si>
    <r>
      <t>Desied soft-start time at minimum input voltage (T</t>
    </r>
    <r>
      <rPr>
        <vertAlign val="subscript"/>
        <sz val="11"/>
        <color theme="1"/>
        <rFont val="Calibri"/>
        <family val="2"/>
        <scheme val="minor"/>
      </rPr>
      <t>SS</t>
    </r>
    <r>
      <rPr>
        <sz val="11"/>
        <color theme="1"/>
        <rFont val="Calibri"/>
        <family val="2"/>
        <scheme val="minor"/>
      </rPr>
      <t>)</t>
    </r>
  </si>
  <si>
    <r>
      <t>Desired voltage OFF (V</t>
    </r>
    <r>
      <rPr>
        <vertAlign val="subscript"/>
        <sz val="11"/>
        <color theme="1"/>
        <rFont val="Calibri"/>
        <family val="2"/>
        <scheme val="minor"/>
      </rPr>
      <t>UVLO_OFF</t>
    </r>
    <r>
      <rPr>
        <sz val="11"/>
        <color theme="1"/>
        <rFont val="Calibri"/>
        <family val="2"/>
        <scheme val="minor"/>
      </rPr>
      <t>)</t>
    </r>
  </si>
  <si>
    <r>
      <t>Desired voltage On (V</t>
    </r>
    <r>
      <rPr>
        <vertAlign val="subscript"/>
        <sz val="11"/>
        <color theme="1"/>
        <rFont val="Calibri"/>
        <family val="2"/>
        <scheme val="minor"/>
      </rPr>
      <t>UVLO_ON</t>
    </r>
    <r>
      <rPr>
        <sz val="11"/>
        <color theme="1"/>
        <rFont val="Calibri"/>
        <family val="2"/>
        <scheme val="minor"/>
      </rPr>
      <t>)</t>
    </r>
  </si>
  <si>
    <t>Step 6: UVLO Resistor Selection</t>
  </si>
  <si>
    <t>Step 5: Soft-start Capacitor selection</t>
  </si>
  <si>
    <t>Vuvlo_on</t>
  </si>
  <si>
    <t>Vuvlo_off</t>
  </si>
  <si>
    <t>Desired turn on voltage</t>
  </si>
  <si>
    <t>Desired turn off voltage</t>
  </si>
  <si>
    <t>UVLO Thresholds</t>
  </si>
  <si>
    <t>UV_rise</t>
  </si>
  <si>
    <t>UV_fall</t>
  </si>
  <si>
    <t>Falling threshold (See datasheet for more details)</t>
  </si>
  <si>
    <t>Rising Threshold (See datasheet for more details)</t>
  </si>
  <si>
    <t>Rising UV threshold</t>
  </si>
  <si>
    <t>Falling  UV threshold</t>
  </si>
  <si>
    <t>UV_I_hyst</t>
  </si>
  <si>
    <t>UVLO current hysteresis</t>
  </si>
  <si>
    <t>UVLO circuit current hysteresis</t>
  </si>
  <si>
    <t>Ruvlo_top_calc</t>
  </si>
  <si>
    <t>Ruvlo_bottom_calc</t>
  </si>
  <si>
    <t>Vuvlo_on_act</t>
  </si>
  <si>
    <t>Vuvlo_off_act</t>
  </si>
  <si>
    <t>Actual turn on voltage</t>
  </si>
  <si>
    <t>Actual turn off voltage</t>
  </si>
  <si>
    <t>Step  7: Loop Compensation</t>
  </si>
  <si>
    <t>Operation Variables</t>
  </si>
  <si>
    <t>Duty Cycle</t>
  </si>
  <si>
    <t>dIL</t>
  </si>
  <si>
    <r>
      <t>IL</t>
    </r>
    <r>
      <rPr>
        <vertAlign val="subscript"/>
        <sz val="11"/>
        <color theme="1"/>
        <rFont val="Calibri"/>
        <family val="2"/>
        <scheme val="minor"/>
      </rPr>
      <t>RMS</t>
    </r>
  </si>
  <si>
    <r>
      <t>IL</t>
    </r>
    <r>
      <rPr>
        <vertAlign val="subscript"/>
        <sz val="11"/>
        <color theme="1"/>
        <rFont val="Calibri"/>
        <family val="2"/>
        <scheme val="minor"/>
      </rPr>
      <t>PEAK</t>
    </r>
  </si>
  <si>
    <t>Step 7: Component Selection</t>
  </si>
  <si>
    <r>
      <t>P</t>
    </r>
    <r>
      <rPr>
        <vertAlign val="subscript"/>
        <sz val="11"/>
        <color theme="1"/>
        <rFont val="Calibri"/>
        <family val="2"/>
        <scheme val="minor"/>
      </rPr>
      <t>Lac</t>
    </r>
    <r>
      <rPr>
        <sz val="11"/>
        <color theme="1"/>
        <rFont val="Calibri"/>
        <family val="2"/>
        <scheme val="minor"/>
      </rPr>
      <t xml:space="preserve"> (W)</t>
    </r>
  </si>
  <si>
    <r>
      <t>P</t>
    </r>
    <r>
      <rPr>
        <vertAlign val="subscript"/>
        <sz val="11"/>
        <color theme="1"/>
        <rFont val="Calibri"/>
        <family val="2"/>
        <scheme val="minor"/>
      </rPr>
      <t>L_DCR</t>
    </r>
    <r>
      <rPr>
        <sz val="11"/>
        <color theme="1"/>
        <rFont val="Calibri"/>
        <family val="2"/>
        <scheme val="minor"/>
      </rPr>
      <t xml:space="preserve"> (W)</t>
    </r>
  </si>
  <si>
    <r>
      <t>On-State Resistance, R</t>
    </r>
    <r>
      <rPr>
        <vertAlign val="subscript"/>
        <sz val="10"/>
        <rFont val="Arial"/>
        <family val="2"/>
      </rPr>
      <t>DS(on)</t>
    </r>
    <r>
      <rPr>
        <sz val="10"/>
        <rFont val="Arial"/>
        <family val="2"/>
      </rPr>
      <t xml:space="preserve"> </t>
    </r>
  </si>
  <si>
    <r>
      <t>Total Gate Charge, Q</t>
    </r>
    <r>
      <rPr>
        <vertAlign val="subscript"/>
        <sz val="10"/>
        <rFont val="Arial"/>
        <family val="2"/>
      </rPr>
      <t>G</t>
    </r>
    <r>
      <rPr>
        <sz val="10"/>
        <rFont val="Arial"/>
        <family val="2"/>
      </rPr>
      <t xml:space="preserve"> </t>
    </r>
  </si>
  <si>
    <r>
      <t>Gate-Drain Charge, Q</t>
    </r>
    <r>
      <rPr>
        <vertAlign val="subscript"/>
        <sz val="10"/>
        <rFont val="Arial"/>
        <family val="2"/>
      </rPr>
      <t>GD</t>
    </r>
    <r>
      <rPr>
        <sz val="10"/>
        <rFont val="Arial"/>
        <family val="2"/>
      </rPr>
      <t xml:space="preserve"> </t>
    </r>
  </si>
  <si>
    <r>
      <t>Gate-Source Charge, Q</t>
    </r>
    <r>
      <rPr>
        <vertAlign val="subscript"/>
        <sz val="10"/>
        <rFont val="Arial"/>
        <family val="2"/>
      </rPr>
      <t>GS</t>
    </r>
    <r>
      <rPr>
        <sz val="10"/>
        <rFont val="Arial"/>
        <family val="2"/>
      </rPr>
      <t xml:space="preserve"> </t>
    </r>
  </si>
  <si>
    <r>
      <t>Gate Resistance, R</t>
    </r>
    <r>
      <rPr>
        <vertAlign val="subscript"/>
        <sz val="10"/>
        <rFont val="Arial"/>
        <family val="2"/>
      </rPr>
      <t>G</t>
    </r>
    <r>
      <rPr>
        <sz val="10"/>
        <rFont val="Arial"/>
        <family val="2"/>
      </rPr>
      <t xml:space="preserve"> </t>
    </r>
  </si>
  <si>
    <r>
      <t>Gate-Source Threshold Voltage, V</t>
    </r>
    <r>
      <rPr>
        <vertAlign val="subscript"/>
        <sz val="10"/>
        <rFont val="Arial"/>
        <family val="2"/>
      </rPr>
      <t>TH</t>
    </r>
    <r>
      <rPr>
        <sz val="10"/>
        <rFont val="Arial"/>
        <family val="2"/>
      </rPr>
      <t xml:space="preserve"> </t>
    </r>
  </si>
  <si>
    <t>mΩ</t>
  </si>
  <si>
    <t>nC</t>
  </si>
  <si>
    <t>Ω</t>
  </si>
  <si>
    <t>S</t>
  </si>
  <si>
    <t>Diode Parameters</t>
  </si>
  <si>
    <t>MOSFET parameters</t>
  </si>
  <si>
    <t>MOSFET Parameters</t>
  </si>
  <si>
    <t>Qg_tot</t>
  </si>
  <si>
    <t>Qgs</t>
  </si>
  <si>
    <t>Qgd</t>
  </si>
  <si>
    <t>Rgate</t>
  </si>
  <si>
    <t>gfs</t>
  </si>
  <si>
    <t>Vth</t>
  </si>
  <si>
    <t>C</t>
  </si>
  <si>
    <t>RDS_on</t>
  </si>
  <si>
    <t>Rgate_int</t>
  </si>
  <si>
    <t>Internal Gate resistance of the MOSFET driver.</t>
  </si>
  <si>
    <t>Vsp</t>
  </si>
  <si>
    <t>Gate voltage when MOSFET begins conducting current</t>
  </si>
  <si>
    <t>Rise time of the switch node</t>
  </si>
  <si>
    <t>Fall time of the switch node</t>
  </si>
  <si>
    <t>VCC</t>
  </si>
  <si>
    <t>VCC regulator</t>
  </si>
  <si>
    <t>Vcc</t>
  </si>
  <si>
    <t>Regulated output voltage of internal LDO. Can change if this is externally biased.</t>
  </si>
  <si>
    <t>Need to double check this value</t>
  </si>
  <si>
    <t xml:space="preserve">VCC voltage. Can be changed with external bias. </t>
  </si>
  <si>
    <t>tr_sw</t>
  </si>
  <si>
    <t>tf_sw</t>
  </si>
  <si>
    <r>
      <t>P</t>
    </r>
    <r>
      <rPr>
        <vertAlign val="subscript"/>
        <sz val="11"/>
        <color theme="1"/>
        <rFont val="Calibri"/>
        <family val="2"/>
        <scheme val="minor"/>
      </rPr>
      <t xml:space="preserve">Q_SW </t>
    </r>
    <r>
      <rPr>
        <sz val="11"/>
        <color theme="1"/>
        <rFont val="Calibri"/>
        <family val="2"/>
        <scheme val="minor"/>
      </rPr>
      <t>(W)</t>
    </r>
  </si>
  <si>
    <r>
      <t>P</t>
    </r>
    <r>
      <rPr>
        <vertAlign val="subscript"/>
        <sz val="11"/>
        <color theme="1"/>
        <rFont val="Calibri"/>
        <family val="2"/>
        <scheme val="minor"/>
      </rPr>
      <t xml:space="preserve">Q_COND </t>
    </r>
    <r>
      <rPr>
        <sz val="11"/>
        <color theme="1"/>
        <rFont val="Calibri"/>
        <family val="2"/>
        <scheme val="minor"/>
      </rPr>
      <t>(W)</t>
    </r>
  </si>
  <si>
    <r>
      <t>P</t>
    </r>
    <r>
      <rPr>
        <vertAlign val="subscript"/>
        <sz val="11"/>
        <color theme="1"/>
        <rFont val="Calibri"/>
        <family val="2"/>
        <scheme val="minor"/>
      </rPr>
      <t xml:space="preserve">Q_tot </t>
    </r>
    <r>
      <rPr>
        <sz val="11"/>
        <color theme="1"/>
        <rFont val="Calibri"/>
        <family val="2"/>
        <scheme val="minor"/>
      </rPr>
      <t>(W)</t>
    </r>
  </si>
  <si>
    <r>
      <t>P</t>
    </r>
    <r>
      <rPr>
        <vertAlign val="subscript"/>
        <sz val="11"/>
        <color theme="1"/>
        <rFont val="Calibri"/>
        <family val="2"/>
        <scheme val="minor"/>
      </rPr>
      <t>L_tot</t>
    </r>
    <r>
      <rPr>
        <sz val="11"/>
        <color theme="1"/>
        <rFont val="Calibri"/>
        <family val="2"/>
        <scheme val="minor"/>
      </rPr>
      <t xml:space="preserve"> (W)</t>
    </r>
  </si>
  <si>
    <r>
      <t>P</t>
    </r>
    <r>
      <rPr>
        <vertAlign val="subscript"/>
        <sz val="11"/>
        <color theme="1"/>
        <rFont val="Calibri"/>
        <family val="2"/>
        <scheme val="minor"/>
      </rPr>
      <t>RCS</t>
    </r>
    <r>
      <rPr>
        <sz val="11"/>
        <color theme="1"/>
        <rFont val="Calibri"/>
        <family val="2"/>
        <scheme val="minor"/>
      </rPr>
      <t xml:space="preserve"> (W)</t>
    </r>
  </si>
  <si>
    <r>
      <t>P</t>
    </r>
    <r>
      <rPr>
        <vertAlign val="subscript"/>
        <sz val="11"/>
        <color theme="1"/>
        <rFont val="Calibri"/>
        <family val="2"/>
        <scheme val="minor"/>
      </rPr>
      <t>G_drv</t>
    </r>
    <r>
      <rPr>
        <sz val="11"/>
        <color theme="1"/>
        <rFont val="Calibri"/>
        <family val="2"/>
        <scheme val="minor"/>
      </rPr>
      <t xml:space="preserve"> (W)</t>
    </r>
  </si>
  <si>
    <r>
      <t>P</t>
    </r>
    <r>
      <rPr>
        <vertAlign val="subscript"/>
        <sz val="11"/>
        <color theme="1"/>
        <rFont val="Calibri"/>
        <family val="2"/>
        <scheme val="minor"/>
      </rPr>
      <t>IQ</t>
    </r>
    <r>
      <rPr>
        <sz val="11"/>
        <color theme="1"/>
        <rFont val="Calibri"/>
        <family val="2"/>
        <scheme val="minor"/>
      </rPr>
      <t xml:space="preserve"> (W)</t>
    </r>
  </si>
  <si>
    <t>IQ current</t>
  </si>
  <si>
    <t xml:space="preserve">IQ </t>
  </si>
  <si>
    <t>Non-switching IQ current</t>
  </si>
  <si>
    <t>Other Losses</t>
  </si>
  <si>
    <r>
      <t>C</t>
    </r>
    <r>
      <rPr>
        <vertAlign val="subscript"/>
        <sz val="11"/>
        <color theme="1"/>
        <rFont val="Calibri"/>
        <family val="2"/>
        <scheme val="minor"/>
      </rPr>
      <t>COMP</t>
    </r>
  </si>
  <si>
    <r>
      <t>C</t>
    </r>
    <r>
      <rPr>
        <vertAlign val="subscript"/>
        <sz val="11"/>
        <color theme="1"/>
        <rFont val="Calibri"/>
        <family val="2"/>
        <scheme val="minor"/>
      </rPr>
      <t>HF</t>
    </r>
  </si>
  <si>
    <t>RHP_zero location based on the minimum input voltage</t>
  </si>
  <si>
    <t>Low frequency pole based on the minimum input voltage</t>
  </si>
  <si>
    <t>rad</t>
  </si>
  <si>
    <t>raf</t>
  </si>
  <si>
    <t>ESR zero based on the minimum input voltage</t>
  </si>
  <si>
    <t>This is based on the minimum input voltage. T</t>
  </si>
  <si>
    <t>Input Voltage</t>
  </si>
  <si>
    <r>
      <t>Selected band width (F</t>
    </r>
    <r>
      <rPr>
        <vertAlign val="subscript"/>
        <sz val="11"/>
        <color theme="1"/>
        <rFont val="Calibri"/>
        <family val="2"/>
        <scheme val="minor"/>
      </rPr>
      <t>CO</t>
    </r>
    <r>
      <rPr>
        <sz val="11"/>
        <color theme="1"/>
        <rFont val="Calibri"/>
        <family val="2"/>
        <scheme val="minor"/>
      </rPr>
      <t>)</t>
    </r>
  </si>
  <si>
    <r>
      <t>Calculated top UVLO resistor value (R</t>
    </r>
    <r>
      <rPr>
        <vertAlign val="subscript"/>
        <sz val="11"/>
        <color theme="1"/>
        <rFont val="Calibri"/>
        <family val="2"/>
        <scheme val="minor"/>
      </rPr>
      <t>UVT_CALC</t>
    </r>
    <r>
      <rPr>
        <sz val="11"/>
        <color theme="1"/>
        <rFont val="Calibri"/>
        <family val="2"/>
        <scheme val="minor"/>
      </rPr>
      <t>)</t>
    </r>
  </si>
  <si>
    <r>
      <t>Selected top UVLO resistor value (R</t>
    </r>
    <r>
      <rPr>
        <vertAlign val="subscript"/>
        <sz val="11"/>
        <color theme="1"/>
        <rFont val="Calibri"/>
        <family val="2"/>
        <scheme val="minor"/>
      </rPr>
      <t>UVT</t>
    </r>
    <r>
      <rPr>
        <sz val="11"/>
        <color theme="1"/>
        <rFont val="Calibri"/>
        <family val="2"/>
        <scheme val="minor"/>
      </rPr>
      <t>)</t>
    </r>
  </si>
  <si>
    <r>
      <t>Bottom UVLO Resistor (R</t>
    </r>
    <r>
      <rPr>
        <vertAlign val="subscript"/>
        <sz val="11"/>
        <color theme="1"/>
        <rFont val="Calibri"/>
        <family val="2"/>
        <scheme val="minor"/>
      </rPr>
      <t>UVB</t>
    </r>
    <r>
      <rPr>
        <sz val="11"/>
        <color theme="1"/>
        <rFont val="Calibri"/>
        <family val="2"/>
        <scheme val="minor"/>
      </rPr>
      <t>)</t>
    </r>
  </si>
  <si>
    <t>Calcualted top UVLO resistor</t>
  </si>
  <si>
    <t>Selected top UVLO resistor</t>
  </si>
  <si>
    <t>Calcualted Bottom UBLO Resistor</t>
  </si>
  <si>
    <t>Frcoss (VIN)min</t>
  </si>
  <si>
    <t>ADC_VINmin</t>
  </si>
  <si>
    <t>wp_lf_VINmin</t>
  </si>
  <si>
    <t>fp_lf_VINmin</t>
  </si>
  <si>
    <t>wz_esr_VINmin</t>
  </si>
  <si>
    <t>fz_esr_VINmin</t>
  </si>
  <si>
    <t>wz_RHP_VINmin</t>
  </si>
  <si>
    <t>fz_rhp_VINmin</t>
  </si>
  <si>
    <t>Se_VINmin</t>
  </si>
  <si>
    <t>Sn_VINmin</t>
  </si>
  <si>
    <t>wsl_VINmin</t>
  </si>
  <si>
    <t>Q_VINmin</t>
  </si>
  <si>
    <t>Operation Raange</t>
  </si>
  <si>
    <t>Vin_op_min</t>
  </si>
  <si>
    <t>Minimum operating voltage</t>
  </si>
  <si>
    <t>Maximum BIAS pin operating voltage</t>
  </si>
  <si>
    <t>Vin_op_max</t>
  </si>
  <si>
    <r>
      <t>Desired Maximum Inductor Current Ripple Ratio (I</t>
    </r>
    <r>
      <rPr>
        <vertAlign val="subscript"/>
        <sz val="10"/>
        <color theme="1"/>
        <rFont val="Calibri"/>
        <family val="2"/>
        <scheme val="minor"/>
      </rPr>
      <t>RR_MAX</t>
    </r>
    <r>
      <rPr>
        <sz val="10"/>
        <color theme="1"/>
        <rFont val="Calibri"/>
        <family val="2"/>
        <scheme val="minor"/>
      </rPr>
      <t>)</t>
    </r>
  </si>
  <si>
    <t>Peak Current Limit Margin</t>
  </si>
  <si>
    <r>
      <t>Voltage selected (V</t>
    </r>
    <r>
      <rPr>
        <vertAlign val="subscript"/>
        <sz val="11"/>
        <rFont val="Calibri"/>
        <family val="2"/>
        <scheme val="minor"/>
      </rPr>
      <t>IN_VAR</t>
    </r>
    <r>
      <rPr>
        <sz val="11"/>
        <rFont val="Calibri"/>
        <family val="2"/>
        <scheme val="minor"/>
      </rPr>
      <t>)</t>
    </r>
  </si>
  <si>
    <t>This should be set at or near the lowest RHP zero Frequency</t>
  </si>
  <si>
    <t>Set between 1/2 fsw and the RHPz in the application note. This is aggressive</t>
  </si>
  <si>
    <r>
      <t>Recommended current sense Resistor (R</t>
    </r>
    <r>
      <rPr>
        <vertAlign val="subscript"/>
        <sz val="11"/>
        <color theme="1"/>
        <rFont val="Calibri"/>
        <family val="2"/>
        <scheme val="minor"/>
      </rPr>
      <t>S</t>
    </r>
    <r>
      <rPr>
        <sz val="11"/>
        <color theme="1"/>
        <rFont val="Calibri"/>
        <family val="2"/>
        <scheme val="minor"/>
      </rPr>
      <t>)</t>
    </r>
  </si>
  <si>
    <r>
      <t>Selected current sense Resistor (R</t>
    </r>
    <r>
      <rPr>
        <vertAlign val="subscript"/>
        <sz val="11"/>
        <color theme="1"/>
        <rFont val="Calibri"/>
        <family val="2"/>
        <scheme val="minor"/>
      </rPr>
      <t>S</t>
    </r>
    <r>
      <rPr>
        <sz val="11"/>
        <color theme="1"/>
        <rFont val="Calibri"/>
        <family val="2"/>
        <scheme val="minor"/>
      </rPr>
      <t>)</t>
    </r>
  </si>
  <si>
    <t>VOUT1</t>
  </si>
  <si>
    <t>IOUT1</t>
  </si>
  <si>
    <t>ROUT1</t>
  </si>
  <si>
    <t>POUT1</t>
  </si>
  <si>
    <t>VOUT2</t>
  </si>
  <si>
    <t>IOUT2</t>
  </si>
  <si>
    <t>ROUT2</t>
  </si>
  <si>
    <t>POUT2</t>
  </si>
  <si>
    <t>VOUT3</t>
  </si>
  <si>
    <t>IOUT3</t>
  </si>
  <si>
    <t>ROUT3</t>
  </si>
  <si>
    <t>POUT3</t>
  </si>
  <si>
    <t>POUT_Total</t>
  </si>
  <si>
    <t>Enable</t>
  </si>
  <si>
    <t>EN_OUT_3</t>
  </si>
  <si>
    <t>EN_OUT_2</t>
  </si>
  <si>
    <t>Enable the second output voltage</t>
  </si>
  <si>
    <t>Enable the third output voltage</t>
  </si>
  <si>
    <t>Target Output Voltage, First output voltage should always be the one regulated, and should be active</t>
  </si>
  <si>
    <t>Step 2: Transformer Specifications</t>
  </si>
  <si>
    <r>
      <t>Recommended Inductance Primary Inductance (L</t>
    </r>
    <r>
      <rPr>
        <vertAlign val="subscript"/>
        <sz val="10"/>
        <color theme="1"/>
        <rFont val="Calibri"/>
        <family val="2"/>
        <scheme val="minor"/>
      </rPr>
      <t>M_CALC</t>
    </r>
    <r>
      <rPr>
        <sz val="10"/>
        <color theme="1"/>
        <rFont val="Calibri"/>
        <family val="2"/>
        <scheme val="minor"/>
      </rPr>
      <t>)</t>
    </r>
  </si>
  <si>
    <r>
      <t>User Selected Primary Inductance, (L</t>
    </r>
    <r>
      <rPr>
        <vertAlign val="subscript"/>
        <sz val="10"/>
        <color theme="1"/>
        <rFont val="Calibri"/>
        <family val="2"/>
        <scheme val="minor"/>
      </rPr>
      <t>M</t>
    </r>
    <r>
      <rPr>
        <sz val="10"/>
        <color theme="1"/>
        <rFont val="Calibri"/>
        <family val="2"/>
        <scheme val="minor"/>
      </rPr>
      <t>)</t>
    </r>
  </si>
  <si>
    <t>Np</t>
  </si>
  <si>
    <t>Step 2: Transformer Specs</t>
  </si>
  <si>
    <t>The number of turns on the primary side. Can change to help ease calculations</t>
  </si>
  <si>
    <t>Maximum duty cycle for the design</t>
  </si>
  <si>
    <r>
      <t>Desired Maximum Duty Cycle (D</t>
    </r>
    <r>
      <rPr>
        <vertAlign val="subscript"/>
        <sz val="11"/>
        <color theme="1"/>
        <rFont val="Calibri"/>
        <family val="2"/>
        <scheme val="minor"/>
      </rPr>
      <t>MAX</t>
    </r>
    <r>
      <rPr>
        <sz val="11"/>
        <color theme="1"/>
        <rFont val="Calibri"/>
        <family val="2"/>
        <scheme val="minor"/>
      </rPr>
      <t>)</t>
    </r>
  </si>
  <si>
    <t>System Constants</t>
  </si>
  <si>
    <t>Vd</t>
  </si>
  <si>
    <t>This is just the standard voltage drop of a diode allows for some head room on duty cycle calculations</t>
  </si>
  <si>
    <t>Dmax_limit</t>
  </si>
  <si>
    <t>Calcualted secondary side (VOUT1) Turns Ratio (Assuming CCM operation)</t>
  </si>
  <si>
    <t>Selected Turns Ratio for regulated primary rail</t>
  </si>
  <si>
    <t>NS2_calc</t>
  </si>
  <si>
    <t>NS2</t>
  </si>
  <si>
    <t>Calcualted secondary side (VOUT2)</t>
  </si>
  <si>
    <t xml:space="preserve">Selected Turns Ratio for VOUT2 </t>
  </si>
  <si>
    <t>N1S_calc</t>
  </si>
  <si>
    <t>Ns1_</t>
  </si>
  <si>
    <t>Turns</t>
  </si>
  <si>
    <t>Target Output Voltage (Absolute Maximum)</t>
  </si>
  <si>
    <t>Target Output Voltage (Absolute Maximum Voltage)</t>
  </si>
  <si>
    <r>
      <t>Calculated Secondary Side turns (N</t>
    </r>
    <r>
      <rPr>
        <vertAlign val="subscript"/>
        <sz val="11"/>
        <color theme="1"/>
        <rFont val="Calibri"/>
        <family val="2"/>
        <scheme val="minor"/>
      </rPr>
      <t>Sx_calc</t>
    </r>
    <r>
      <rPr>
        <sz val="11"/>
        <color theme="1"/>
        <rFont val="Calibri"/>
        <family val="2"/>
        <scheme val="minor"/>
      </rPr>
      <t>)</t>
    </r>
  </si>
  <si>
    <r>
      <t>Selected Secondary Side turns (N</t>
    </r>
    <r>
      <rPr>
        <vertAlign val="subscript"/>
        <sz val="11"/>
        <color theme="1"/>
        <rFont val="Calibri"/>
        <family val="2"/>
        <scheme val="minor"/>
      </rPr>
      <t>Sx_</t>
    </r>
    <r>
      <rPr>
        <sz val="11"/>
        <color theme="1"/>
        <rFont val="Calibri"/>
        <family val="2"/>
        <scheme val="minor"/>
      </rPr>
      <t>)</t>
    </r>
  </si>
  <si>
    <t>Ns3_calc</t>
  </si>
  <si>
    <t>NS3_</t>
  </si>
  <si>
    <t>Calcualted secondary side (VOUT3)</t>
  </si>
  <si>
    <t xml:space="preserve">Selected Turns Ratio for VOUT3 </t>
  </si>
  <si>
    <r>
      <t>Adjusted output voltage (V</t>
    </r>
    <r>
      <rPr>
        <vertAlign val="subscript"/>
        <sz val="11"/>
        <color theme="1"/>
        <rFont val="Calibri"/>
        <family val="2"/>
        <scheme val="minor"/>
      </rPr>
      <t>LOADx</t>
    </r>
    <r>
      <rPr>
        <sz val="11"/>
        <color theme="1"/>
        <rFont val="Calibri"/>
        <family val="2"/>
        <scheme val="minor"/>
      </rPr>
      <t>)</t>
    </r>
  </si>
  <si>
    <t>VOUT2_act</t>
  </si>
  <si>
    <t>Actual Output voltage</t>
  </si>
  <si>
    <t>VOUT3_act</t>
  </si>
  <si>
    <t>Dmax_act</t>
  </si>
  <si>
    <r>
      <t>Approximate Maximum Duty Cycle (D</t>
    </r>
    <r>
      <rPr>
        <vertAlign val="subscript"/>
        <sz val="11"/>
        <color theme="1"/>
        <rFont val="Calibri"/>
        <family val="2"/>
        <scheme val="minor"/>
      </rPr>
      <t>MAX</t>
    </r>
    <r>
      <rPr>
        <sz val="11"/>
        <color theme="1"/>
        <rFont val="Calibri"/>
        <family val="2"/>
        <scheme val="minor"/>
      </rPr>
      <t>)</t>
    </r>
  </si>
  <si>
    <t>Occurs at the minimum input voltage</t>
  </si>
  <si>
    <t>VIN nom nominal Duty cycle</t>
  </si>
  <si>
    <t>VIN max nominal Duty cycle</t>
  </si>
  <si>
    <t>Estimated efficiency of the conveter. For right now need to just keep this 1</t>
  </si>
  <si>
    <t>Vreflect</t>
  </si>
  <si>
    <t>Inductor at Maximum input voltage (Includes the diode drop in the duty cycle calculation)</t>
  </si>
  <si>
    <t>IL_avg_VIN_min</t>
  </si>
  <si>
    <t>average input current</t>
  </si>
  <si>
    <t>Vout1_rip_sel</t>
  </si>
  <si>
    <t>Cout1_min</t>
  </si>
  <si>
    <t>Resr1</t>
  </si>
  <si>
    <t>Vout3_rip_sel</t>
  </si>
  <si>
    <t>Cout3_min</t>
  </si>
  <si>
    <t>Resr3</t>
  </si>
  <si>
    <t>Load 2</t>
  </si>
  <si>
    <t>Load 3</t>
  </si>
  <si>
    <t>Load 1</t>
  </si>
  <si>
    <t>Cout_total</t>
  </si>
  <si>
    <t>Resr_total</t>
  </si>
  <si>
    <t>Vout2_rip_sel</t>
  </si>
  <si>
    <t>Cout2_min</t>
  </si>
  <si>
    <t>Cout2</t>
  </si>
  <si>
    <t>Resr2</t>
  </si>
  <si>
    <t>Resr2_Trans</t>
  </si>
  <si>
    <t>ESR tranfered to the regualted winding of the transformer</t>
  </si>
  <si>
    <t>Total output cap ESR refered to the pregulated winding (VOUT1). Used for loop modeling</t>
  </si>
  <si>
    <t>Total output capacitance refered to the regulated winding (VOUT1). Used for loop modeling</t>
  </si>
  <si>
    <t>Need to finish updating from here</t>
  </si>
  <si>
    <t>POUT_Var</t>
  </si>
  <si>
    <t>Variable output Power (Need to add this in</t>
  </si>
  <si>
    <t>COUT_total</t>
  </si>
  <si>
    <t>CCM Model</t>
  </si>
  <si>
    <t>Dc</t>
  </si>
  <si>
    <t>Duty cycle at Vin_var</t>
  </si>
  <si>
    <t>mc</t>
  </si>
  <si>
    <r>
      <t>External voltage reference voltage (V</t>
    </r>
    <r>
      <rPr>
        <vertAlign val="subscript"/>
        <sz val="11"/>
        <color theme="1"/>
        <rFont val="Calibri"/>
        <family val="2"/>
        <scheme val="minor"/>
      </rPr>
      <t>ref_iso</t>
    </r>
    <r>
      <rPr>
        <sz val="11"/>
        <color theme="1"/>
        <rFont val="Calibri"/>
        <family val="2"/>
        <scheme val="minor"/>
      </rPr>
      <t>)</t>
    </r>
  </si>
  <si>
    <t>Otpocoupler selection Resistor Selection</t>
  </si>
  <si>
    <r>
      <t>Minimum current transfer Ratio (k</t>
    </r>
    <r>
      <rPr>
        <vertAlign val="subscript"/>
        <sz val="11"/>
        <color theme="1"/>
        <rFont val="Calibri"/>
        <family val="2"/>
        <scheme val="minor"/>
      </rPr>
      <t>OPTO_min</t>
    </r>
    <r>
      <rPr>
        <sz val="11"/>
        <color theme="1"/>
        <rFont val="Calibri"/>
        <family val="2"/>
        <scheme val="minor"/>
      </rPr>
      <t>)</t>
    </r>
  </si>
  <si>
    <r>
      <t>Maximum current transfer Ratio (k</t>
    </r>
    <r>
      <rPr>
        <vertAlign val="subscript"/>
        <sz val="11"/>
        <color theme="1"/>
        <rFont val="Calibri"/>
        <family val="2"/>
        <scheme val="minor"/>
      </rPr>
      <t>OPTO_max</t>
    </r>
    <r>
      <rPr>
        <sz val="11"/>
        <color theme="1"/>
        <rFont val="Calibri"/>
        <family val="2"/>
        <scheme val="minor"/>
      </rPr>
      <t>)</t>
    </r>
  </si>
  <si>
    <r>
      <t>Worst case diode voltage drop (V</t>
    </r>
    <r>
      <rPr>
        <vertAlign val="subscript"/>
        <sz val="11"/>
        <color theme="1"/>
        <rFont val="Calibri"/>
        <family val="2"/>
        <scheme val="minor"/>
      </rPr>
      <t>D_opto</t>
    </r>
    <r>
      <rPr>
        <sz val="11"/>
        <color theme="1"/>
        <rFont val="Calibri"/>
        <family val="2"/>
        <scheme val="minor"/>
      </rPr>
      <t>)</t>
    </r>
  </si>
  <si>
    <t>Select Feedback type</t>
  </si>
  <si>
    <t>Feedback type</t>
  </si>
  <si>
    <t>Isolated</t>
  </si>
  <si>
    <t>Non-isolated</t>
  </si>
  <si>
    <t>FB_type</t>
  </si>
  <si>
    <t>The type of feedback selected. 1 isolated feedback, 2 non-isolated feedback</t>
  </si>
  <si>
    <t>isolate Feedback calculations</t>
  </si>
  <si>
    <t>Vref_iso</t>
  </si>
  <si>
    <t>External reference voltage. This is needed for isolated feedback designs</t>
  </si>
  <si>
    <t>RFBT_iso</t>
  </si>
  <si>
    <t>RFBB_iso_calc</t>
  </si>
  <si>
    <t>RFBB_iso</t>
  </si>
  <si>
    <t>Calcualted bottom feedback resistor</t>
  </si>
  <si>
    <t>Selected top feedback resistor</t>
  </si>
  <si>
    <t>Selected bottom feedback resistor</t>
  </si>
  <si>
    <t>A/A</t>
  </si>
  <si>
    <r>
      <t>Minimum value for pullup resistor (R</t>
    </r>
    <r>
      <rPr>
        <vertAlign val="subscript"/>
        <sz val="11"/>
        <color theme="1"/>
        <rFont val="Calibri"/>
        <family val="2"/>
        <scheme val="minor"/>
      </rPr>
      <t>PULLUP_min</t>
    </r>
    <r>
      <rPr>
        <sz val="11"/>
        <color theme="1"/>
        <rFont val="Calibri"/>
        <family val="2"/>
        <scheme val="minor"/>
      </rPr>
      <t>)</t>
    </r>
  </si>
  <si>
    <t>Feedback resistors</t>
  </si>
  <si>
    <t>Opto coupler parameters</t>
  </si>
  <si>
    <t>Non-isolated feedback</t>
  </si>
  <si>
    <t>kopto_min</t>
  </si>
  <si>
    <t>kopto_max</t>
  </si>
  <si>
    <t>Minimum CTR of the optocoupler</t>
  </si>
  <si>
    <t>Maximum CTR of the optocoupler</t>
  </si>
  <si>
    <t>Vd_opto</t>
  </si>
  <si>
    <t>Should be the worst case diode drop to ensure feedback works properly over operating conditions</t>
  </si>
  <si>
    <t>Copto</t>
  </si>
  <si>
    <t>Vcomp_max</t>
  </si>
  <si>
    <t>Maximum voltage on the COMP pin</t>
  </si>
  <si>
    <t>Icomp_sink_max</t>
  </si>
  <si>
    <t>Maximum current the COMP pin can sink to keep voltage at 2.5V</t>
  </si>
  <si>
    <t>Rpullup_min</t>
  </si>
  <si>
    <r>
      <t>Pullup voltage (V</t>
    </r>
    <r>
      <rPr>
        <vertAlign val="subscript"/>
        <sz val="11"/>
        <color theme="1"/>
        <rFont val="Calibri"/>
        <family val="2"/>
        <scheme val="minor"/>
      </rPr>
      <t>PULLUP</t>
    </r>
    <r>
      <rPr>
        <sz val="11"/>
        <color theme="1"/>
        <rFont val="Calibri"/>
        <family val="2"/>
        <scheme val="minor"/>
      </rPr>
      <t>)</t>
    </r>
  </si>
  <si>
    <t>This can be selected once the pull up resistor is known. This value will change with Rpullup</t>
  </si>
  <si>
    <t>Vpullup</t>
  </si>
  <si>
    <t>voltage connected to the pullup resistor. This can be the auxwinding or the VCC voltage.</t>
  </si>
  <si>
    <r>
      <t>Selected Pullup Resistor (R</t>
    </r>
    <r>
      <rPr>
        <vertAlign val="subscript"/>
        <sz val="11"/>
        <color theme="1"/>
        <rFont val="Calibri"/>
        <family val="2"/>
        <scheme val="minor"/>
      </rPr>
      <t>PULLUP</t>
    </r>
    <r>
      <rPr>
        <sz val="11"/>
        <color theme="1"/>
        <rFont val="Calibri"/>
        <family val="2"/>
        <scheme val="minor"/>
      </rPr>
      <t>)</t>
    </r>
  </si>
  <si>
    <t>Rpullup</t>
  </si>
  <si>
    <t>Minimum pullup resistor value that will not damage the VCOMP clamp of the LM5155'</t>
  </si>
  <si>
    <t>Selected pullup resistor</t>
  </si>
  <si>
    <t>Bandwidth selection</t>
  </si>
  <si>
    <t>Compensation placement</t>
  </si>
  <si>
    <t>Suggest crossover frequency for the isolated loop. Should be less the 1/5 WzRHP and lower than optocoupler zero</t>
  </si>
  <si>
    <t>CCM Plant Model</t>
  </si>
  <si>
    <t>Step 5: Loop Compensation (CCM operation)</t>
  </si>
  <si>
    <t>RLED</t>
  </si>
  <si>
    <t>DC gain at the minimum input voltage</t>
  </si>
  <si>
    <t>1/5 f RHP</t>
  </si>
  <si>
    <t>fopto</t>
  </si>
  <si>
    <t>optocoupler pole.</t>
  </si>
  <si>
    <t xml:space="preserve">The pole set by the pull up resistor and the opto-coupler capcaitance. </t>
  </si>
  <si>
    <t>fcross_iso</t>
  </si>
  <si>
    <t>fcross_iso_est</t>
  </si>
  <si>
    <t>Selected crossover frequency for the isolated feedback design</t>
  </si>
  <si>
    <t>RLED_max</t>
  </si>
  <si>
    <t>Maximum LED resistor value</t>
  </si>
  <si>
    <r>
      <t>Pullup Resistor (R</t>
    </r>
    <r>
      <rPr>
        <b/>
        <vertAlign val="subscript"/>
        <sz val="11"/>
        <color theme="1"/>
        <rFont val="Calibri"/>
        <family val="2"/>
        <scheme val="minor"/>
      </rPr>
      <t>PULLUP</t>
    </r>
    <r>
      <rPr>
        <b/>
        <sz val="11"/>
        <color theme="1"/>
        <rFont val="Calibri"/>
        <family val="2"/>
        <scheme val="minor"/>
      </rPr>
      <t>) and LED Resistor (R</t>
    </r>
    <r>
      <rPr>
        <b/>
        <vertAlign val="subscript"/>
        <sz val="11"/>
        <color theme="1"/>
        <rFont val="Calibri"/>
        <family val="2"/>
        <scheme val="minor"/>
      </rPr>
      <t>LED</t>
    </r>
    <r>
      <rPr>
        <b/>
        <sz val="11"/>
        <color theme="1"/>
        <rFont val="Calibri"/>
        <family val="2"/>
        <scheme val="minor"/>
      </rPr>
      <t xml:space="preserve">) Selection </t>
    </r>
  </si>
  <si>
    <r>
      <t>Selected LED Resistor (R</t>
    </r>
    <r>
      <rPr>
        <vertAlign val="subscript"/>
        <sz val="11"/>
        <color theme="1"/>
        <rFont val="Calibri"/>
        <family val="2"/>
        <scheme val="minor"/>
      </rPr>
      <t>LED</t>
    </r>
    <r>
      <rPr>
        <sz val="11"/>
        <color theme="1"/>
        <rFont val="Calibri"/>
        <family val="2"/>
        <scheme val="minor"/>
      </rPr>
      <t>)</t>
    </r>
  </si>
  <si>
    <t>Selected LED resistor value</t>
  </si>
  <si>
    <t>RCOMP_iso_calc</t>
  </si>
  <si>
    <t>Rcomp_iso</t>
  </si>
  <si>
    <t>Selecte RCOMP value</t>
  </si>
  <si>
    <t>Ccomp_iso_calc</t>
  </si>
  <si>
    <t>Calcualted Compensation resistor value at the minimum input votlage. WzRHP is the lowest here</t>
  </si>
  <si>
    <t>Ccomp_iso</t>
  </si>
  <si>
    <t>wz_ea_1</t>
  </si>
  <si>
    <t>wz_ea_2</t>
  </si>
  <si>
    <t>wz2_ea</t>
  </si>
  <si>
    <t>wz1_ea</t>
  </si>
  <si>
    <t>Low frequency error complifier 0</t>
  </si>
  <si>
    <t>wpA_ea</t>
  </si>
  <si>
    <t>wpB_ea</t>
  </si>
  <si>
    <t>wpC_ea</t>
  </si>
  <si>
    <t>Pole Coefficients: A</t>
  </si>
  <si>
    <t>Pole Coefficients: C</t>
  </si>
  <si>
    <t>Pole Coefficients: B</t>
  </si>
  <si>
    <t>Suggested bandwidth maximum bandwidth</t>
  </si>
  <si>
    <r>
      <t>Desired Output  ripple voltage (</t>
    </r>
    <r>
      <rPr>
        <sz val="11"/>
        <color theme="1"/>
        <rFont val="Calibri"/>
        <family val="2"/>
      </rPr>
      <t>ΔV</t>
    </r>
    <r>
      <rPr>
        <vertAlign val="subscript"/>
        <sz val="11"/>
        <color theme="1"/>
        <rFont val="Calibri"/>
        <family val="2"/>
      </rPr>
      <t>OUT</t>
    </r>
    <r>
      <rPr>
        <sz val="11"/>
        <color theme="1"/>
        <rFont val="Calibri"/>
        <family val="2"/>
      </rPr>
      <t>)</t>
    </r>
  </si>
  <si>
    <r>
      <t>Maximum LED resistor (R</t>
    </r>
    <r>
      <rPr>
        <vertAlign val="subscript"/>
        <sz val="11"/>
        <color theme="1"/>
        <rFont val="Calibri"/>
        <family val="2"/>
        <scheme val="minor"/>
      </rPr>
      <t>LED_max</t>
    </r>
    <r>
      <rPr>
        <sz val="11"/>
        <color theme="1"/>
        <rFont val="Calibri"/>
        <family val="2"/>
        <scheme val="minor"/>
      </rPr>
      <t>)</t>
    </r>
  </si>
  <si>
    <t xml:space="preserve">POUT3 </t>
  </si>
  <si>
    <t>POUT1_step</t>
  </si>
  <si>
    <t>POUT2_step</t>
  </si>
  <si>
    <t>POUT3_step</t>
  </si>
  <si>
    <t>Primary Winding losses</t>
  </si>
  <si>
    <t>Ptotal</t>
  </si>
  <si>
    <t>ILAVG</t>
  </si>
  <si>
    <t>Primary Winding calculations</t>
  </si>
  <si>
    <t>Doff</t>
  </si>
  <si>
    <t>Ddead</t>
  </si>
  <si>
    <t>Ls1</t>
  </si>
  <si>
    <t>Secondary DCR</t>
  </si>
  <si>
    <t>Rdcr1</t>
  </si>
  <si>
    <t>LOAD1 secondary winding resistance</t>
  </si>
  <si>
    <t>Rdcr2</t>
  </si>
  <si>
    <t>Rdcr3</t>
  </si>
  <si>
    <t>ILAVG2</t>
  </si>
  <si>
    <t>ILAVG1</t>
  </si>
  <si>
    <t>(1-D)sec</t>
  </si>
  <si>
    <t xml:space="preserve">Iripple </t>
  </si>
  <si>
    <t>Ipeak</t>
  </si>
  <si>
    <t>ILRMS1</t>
  </si>
  <si>
    <t>VLOAD1 Power Losses</t>
  </si>
  <si>
    <t>Transformer Losses</t>
  </si>
  <si>
    <t>Diode Losses</t>
  </si>
  <si>
    <r>
      <t>P</t>
    </r>
    <r>
      <rPr>
        <vertAlign val="subscript"/>
        <sz val="11"/>
        <color theme="1"/>
        <rFont val="Calibri"/>
        <family val="2"/>
        <scheme val="minor"/>
      </rPr>
      <t>Qrr</t>
    </r>
    <r>
      <rPr>
        <sz val="11"/>
        <color theme="1"/>
        <rFont val="Calibri"/>
        <family val="2"/>
        <scheme val="minor"/>
      </rPr>
      <t xml:space="preserve"> (W)</t>
    </r>
  </si>
  <si>
    <r>
      <t>P</t>
    </r>
    <r>
      <rPr>
        <vertAlign val="subscript"/>
        <sz val="11"/>
        <color theme="1"/>
        <rFont val="Calibri"/>
        <family val="2"/>
        <scheme val="minor"/>
      </rPr>
      <t>CON</t>
    </r>
    <r>
      <rPr>
        <sz val="11"/>
        <color theme="1"/>
        <rFont val="Calibri"/>
        <family val="2"/>
        <scheme val="minor"/>
      </rPr>
      <t xml:space="preserve"> (W)</t>
    </r>
  </si>
  <si>
    <r>
      <t>PD1</t>
    </r>
    <r>
      <rPr>
        <vertAlign val="subscript"/>
        <sz val="11"/>
        <color theme="1"/>
        <rFont val="Calibri"/>
        <family val="2"/>
        <scheme val="minor"/>
      </rPr>
      <t>_tot</t>
    </r>
    <r>
      <rPr>
        <sz val="11"/>
        <color theme="1"/>
        <rFont val="Calibri"/>
        <family val="2"/>
        <scheme val="minor"/>
      </rPr>
      <t xml:space="preserve"> (W)</t>
    </r>
  </si>
  <si>
    <t>Vd1</t>
  </si>
  <si>
    <t>Qrr1</t>
  </si>
  <si>
    <t>Vd3</t>
  </si>
  <si>
    <t>Qrr3</t>
  </si>
  <si>
    <t>Vd2</t>
  </si>
  <si>
    <t>Qrr2</t>
  </si>
  <si>
    <t>ILAVG3</t>
  </si>
  <si>
    <t>LOAD3</t>
  </si>
  <si>
    <t>MOSFET Losses</t>
  </si>
  <si>
    <t>Leakage and Snubber</t>
  </si>
  <si>
    <t>Psnub</t>
  </si>
  <si>
    <t>Pleak</t>
  </si>
  <si>
    <t>Total Losses</t>
  </si>
  <si>
    <t>Transformer</t>
  </si>
  <si>
    <t>Number of output</t>
  </si>
  <si>
    <t xml:space="preserve">Single </t>
  </si>
  <si>
    <t xml:space="preserve">Double </t>
  </si>
  <si>
    <t>Triple</t>
  </si>
  <si>
    <r>
      <t>Calculated Secondary Side turns (N</t>
    </r>
    <r>
      <rPr>
        <vertAlign val="subscript"/>
        <sz val="11"/>
        <color theme="1"/>
        <rFont val="Calibri"/>
        <family val="2"/>
        <scheme val="minor"/>
      </rPr>
      <t>S2_calc</t>
    </r>
    <r>
      <rPr>
        <sz val="11"/>
        <color theme="1"/>
        <rFont val="Calibri"/>
        <family val="2"/>
        <scheme val="minor"/>
      </rPr>
      <t>)</t>
    </r>
  </si>
  <si>
    <r>
      <t>Maximum Output Current , I</t>
    </r>
    <r>
      <rPr>
        <vertAlign val="subscript"/>
        <sz val="10"/>
        <color theme="1"/>
        <rFont val="Calibri"/>
        <family val="2"/>
        <scheme val="minor"/>
      </rPr>
      <t>LOAD2</t>
    </r>
    <r>
      <rPr>
        <sz val="10"/>
        <color theme="1"/>
        <rFont val="Calibri"/>
        <family val="2"/>
        <scheme val="minor"/>
      </rPr>
      <t xml:space="preserve"> </t>
    </r>
  </si>
  <si>
    <r>
      <t>Output Target Voltage, V</t>
    </r>
    <r>
      <rPr>
        <vertAlign val="subscript"/>
        <sz val="10"/>
        <color theme="1"/>
        <rFont val="Calibri"/>
        <family val="2"/>
        <scheme val="minor"/>
      </rPr>
      <t>LOAD2</t>
    </r>
    <r>
      <rPr>
        <sz val="10"/>
        <color theme="1"/>
        <rFont val="Calibri"/>
        <family val="2"/>
        <scheme val="minor"/>
      </rPr>
      <t xml:space="preserve"> </t>
    </r>
  </si>
  <si>
    <r>
      <t>Selected Secondary Side turns (N</t>
    </r>
    <r>
      <rPr>
        <vertAlign val="subscript"/>
        <sz val="11"/>
        <color theme="1"/>
        <rFont val="Calibri"/>
        <family val="2"/>
        <scheme val="minor"/>
      </rPr>
      <t>S2_</t>
    </r>
    <r>
      <rPr>
        <sz val="11"/>
        <color theme="1"/>
        <rFont val="Calibri"/>
        <family val="2"/>
        <scheme val="minor"/>
      </rPr>
      <t>)</t>
    </r>
  </si>
  <si>
    <t>Number of output rails</t>
  </si>
  <si>
    <t>Load 2 Specificaitons</t>
  </si>
  <si>
    <t>Load 1 Specifications</t>
  </si>
  <si>
    <t>Load 3 Specifications</t>
  </si>
  <si>
    <t>fcross_est</t>
  </si>
  <si>
    <t>Estimated cross over frequency based on the primary winding. 1/5 the cross over frequency. Follows app note</t>
  </si>
  <si>
    <t>Iout1_step</t>
  </si>
  <si>
    <t>50% load step to calculate the output voltage transient.</t>
  </si>
  <si>
    <t>Variable input voltage to model the loop and efficiency calculations</t>
  </si>
  <si>
    <t>LOOP_ISO</t>
  </si>
  <si>
    <t>LOOP_nISO</t>
  </si>
  <si>
    <t xml:space="preserve">Will add this later. </t>
  </si>
  <si>
    <t>Updated</t>
  </si>
  <si>
    <t xml:space="preserve">Mode of operation: </t>
  </si>
  <si>
    <t>CCM</t>
  </si>
  <si>
    <t>Base Calculations of :</t>
  </si>
  <si>
    <t>Can base this value on the capacitve ripple of the output</t>
  </si>
  <si>
    <t xml:space="preserve">Can base this value on the capacitve output </t>
  </si>
  <si>
    <t>should inclued the total capacitance of this calculation</t>
  </si>
  <si>
    <t>50% load step</t>
  </si>
  <si>
    <t>Not Correct. Can just leave this one out for now.</t>
  </si>
  <si>
    <t>Assuming that the voltage drop of the diode is ideal</t>
  </si>
  <si>
    <t>External Compensation? (0-no, 1-yes) If DCM operation always no</t>
  </si>
  <si>
    <t>"Need to update this for isolated. A secondary soft-start should be used</t>
  </si>
  <si>
    <t>"Need to update this for being pulled up on the AUX winding</t>
  </si>
  <si>
    <t>*Need to find a good reference for this</t>
  </si>
  <si>
    <t>Conduction losses are just the average current</t>
  </si>
  <si>
    <r>
      <t>50 S to simplify equations Transconductance, g</t>
    </r>
    <r>
      <rPr>
        <vertAlign val="subscript"/>
        <sz val="10"/>
        <rFont val="Arial"/>
        <family val="2"/>
      </rPr>
      <t>FS,</t>
    </r>
  </si>
  <si>
    <t>LM5155/56  CCM Flyback Controller Design Tool</t>
  </si>
  <si>
    <t>Load 2 Capacitance</t>
  </si>
  <si>
    <r>
      <t>Peak Primary Winding current, IL</t>
    </r>
    <r>
      <rPr>
        <vertAlign val="subscript"/>
        <sz val="10"/>
        <color theme="1"/>
        <rFont val="Calibri"/>
        <family val="2"/>
        <scheme val="minor"/>
      </rPr>
      <t>PK</t>
    </r>
  </si>
  <si>
    <t>Load 1 Diode Specifications</t>
  </si>
  <si>
    <t>Load 2 Diode Specifications</t>
  </si>
  <si>
    <t>Load 3 Diode Specifications</t>
  </si>
  <si>
    <r>
      <t>Secondary (N</t>
    </r>
    <r>
      <rPr>
        <vertAlign val="subscript"/>
        <sz val="11"/>
        <color theme="1"/>
        <rFont val="Calibri"/>
        <family val="2"/>
        <scheme val="minor"/>
      </rPr>
      <t>S1</t>
    </r>
    <r>
      <rPr>
        <sz val="11"/>
        <color theme="1"/>
        <rFont val="Calibri"/>
        <family val="2"/>
        <scheme val="minor"/>
      </rPr>
      <t>) DCR</t>
    </r>
  </si>
  <si>
    <r>
      <t>Selected Secondary Side turns (N</t>
    </r>
    <r>
      <rPr>
        <vertAlign val="subscript"/>
        <sz val="11"/>
        <color theme="1"/>
        <rFont val="Calibri"/>
        <family val="2"/>
        <scheme val="minor"/>
      </rPr>
      <t>S1</t>
    </r>
    <r>
      <rPr>
        <sz val="11"/>
        <color theme="1"/>
        <rFont val="Calibri"/>
        <family val="2"/>
        <scheme val="minor"/>
      </rPr>
      <t>)</t>
    </r>
  </si>
  <si>
    <r>
      <t>Calculated Secondary Side turns (N</t>
    </r>
    <r>
      <rPr>
        <vertAlign val="subscript"/>
        <sz val="11"/>
        <color theme="1"/>
        <rFont val="Calibri"/>
        <family val="2"/>
        <scheme val="minor"/>
      </rPr>
      <t>S1_calc</t>
    </r>
    <r>
      <rPr>
        <sz val="11"/>
        <color theme="1"/>
        <rFont val="Calibri"/>
        <family val="2"/>
        <scheme val="minor"/>
      </rPr>
      <t>)</t>
    </r>
  </si>
  <si>
    <t>Load 3 Capacitance</t>
  </si>
  <si>
    <t xml:space="preserve">Minimum Load 1 output capacitance </t>
  </si>
  <si>
    <t xml:space="preserve">Minimum Load 2 output capacitance </t>
  </si>
  <si>
    <t xml:space="preserve">Minimum Load 3 output capacitance </t>
  </si>
  <si>
    <t>DCM_VIN_min</t>
  </si>
  <si>
    <t>Discontinous conduction mode at minimum input voltage</t>
  </si>
  <si>
    <t>DCM_VIN_nom</t>
  </si>
  <si>
    <t>DCM_VIN_max</t>
  </si>
  <si>
    <t>Discontinous conduction mode at nominal input voltage</t>
  </si>
  <si>
    <t>Discontinous conduction mode at maximum input voltage</t>
  </si>
  <si>
    <r>
      <t>Phototransistor output capacitance Capacitance (C</t>
    </r>
    <r>
      <rPr>
        <vertAlign val="subscript"/>
        <sz val="11"/>
        <color theme="1"/>
        <rFont val="Calibri"/>
        <family val="2"/>
        <scheme val="minor"/>
      </rPr>
      <t>OPTO</t>
    </r>
    <r>
      <rPr>
        <sz val="11"/>
        <color theme="1"/>
        <rFont val="Calibri"/>
        <family val="2"/>
        <scheme val="minor"/>
      </rPr>
      <t>)</t>
    </r>
  </si>
  <si>
    <r>
      <t>Phototransistor collector to emitter saturation votltage (V</t>
    </r>
    <r>
      <rPr>
        <vertAlign val="subscript"/>
        <sz val="11"/>
        <color theme="1"/>
        <rFont val="Calibri"/>
        <family val="2"/>
        <scheme val="minor"/>
      </rPr>
      <t>CE_sat</t>
    </r>
    <r>
      <rPr>
        <sz val="11"/>
        <color theme="1"/>
        <rFont val="Calibri"/>
        <family val="2"/>
        <scheme val="minor"/>
      </rPr>
      <t>)</t>
    </r>
  </si>
  <si>
    <r>
      <t>Reverse Recovery Charge (Q</t>
    </r>
    <r>
      <rPr>
        <vertAlign val="subscript"/>
        <sz val="11"/>
        <color theme="1"/>
        <rFont val="Calibri"/>
        <family val="2"/>
        <scheme val="minor"/>
      </rPr>
      <t>RR_3</t>
    </r>
    <r>
      <rPr>
        <sz val="11"/>
        <color theme="1"/>
        <rFont val="Calibri"/>
        <family val="2"/>
        <scheme val="minor"/>
      </rPr>
      <t>)</t>
    </r>
  </si>
  <si>
    <r>
      <t>Reverse Recovery Charge (Q</t>
    </r>
    <r>
      <rPr>
        <vertAlign val="subscript"/>
        <sz val="11"/>
        <color theme="1"/>
        <rFont val="Calibri"/>
        <family val="2"/>
        <scheme val="minor"/>
      </rPr>
      <t>RR_1</t>
    </r>
    <r>
      <rPr>
        <sz val="11"/>
        <color theme="1"/>
        <rFont val="Calibri"/>
        <family val="2"/>
        <scheme val="minor"/>
      </rPr>
      <t>)</t>
    </r>
  </si>
  <si>
    <r>
      <t>Reverse Recovery Charge (Q</t>
    </r>
    <r>
      <rPr>
        <vertAlign val="subscript"/>
        <sz val="11"/>
        <color theme="1"/>
        <rFont val="Calibri"/>
        <family val="2"/>
        <scheme val="minor"/>
      </rPr>
      <t>RR_2</t>
    </r>
    <r>
      <rPr>
        <sz val="11"/>
        <color theme="1"/>
        <rFont val="Calibri"/>
        <family val="2"/>
        <scheme val="minor"/>
      </rPr>
      <t>)</t>
    </r>
  </si>
  <si>
    <r>
      <t>Diode Forward Voltage drop (V</t>
    </r>
    <r>
      <rPr>
        <vertAlign val="subscript"/>
        <sz val="11"/>
        <color theme="1"/>
        <rFont val="Calibri"/>
        <family val="2"/>
        <scheme val="minor"/>
      </rPr>
      <t>D1</t>
    </r>
    <r>
      <rPr>
        <sz val="11"/>
        <color theme="1"/>
        <rFont val="Calibri"/>
        <family val="2"/>
        <scheme val="minor"/>
      </rPr>
      <t>)</t>
    </r>
  </si>
  <si>
    <r>
      <t>Diode Forward Voltage drop (V</t>
    </r>
    <r>
      <rPr>
        <vertAlign val="subscript"/>
        <sz val="11"/>
        <color theme="1"/>
        <rFont val="Calibri"/>
        <family val="2"/>
        <scheme val="minor"/>
      </rPr>
      <t>D2</t>
    </r>
    <r>
      <rPr>
        <sz val="11"/>
        <color theme="1"/>
        <rFont val="Calibri"/>
        <family val="2"/>
        <scheme val="minor"/>
      </rPr>
      <t>)</t>
    </r>
  </si>
  <si>
    <r>
      <t>Diode Forward Voltage drop (V</t>
    </r>
    <r>
      <rPr>
        <vertAlign val="subscript"/>
        <sz val="11"/>
        <color theme="1"/>
        <rFont val="Calibri"/>
        <family val="2"/>
        <scheme val="minor"/>
      </rPr>
      <t>D3</t>
    </r>
    <r>
      <rPr>
        <sz val="11"/>
        <color theme="1"/>
        <rFont val="Calibri"/>
        <family val="2"/>
        <scheme val="minor"/>
      </rPr>
      <t>)</t>
    </r>
  </si>
  <si>
    <r>
      <t>Primary Winding Resistance (R</t>
    </r>
    <r>
      <rPr>
        <vertAlign val="subscript"/>
        <sz val="10"/>
        <color theme="1"/>
        <rFont val="Calibri"/>
        <family val="2"/>
        <scheme val="minor"/>
      </rPr>
      <t>DCR</t>
    </r>
    <r>
      <rPr>
        <sz val="10"/>
        <color theme="1"/>
        <rFont val="Calibri"/>
        <family val="2"/>
        <scheme val="minor"/>
      </rPr>
      <t>)</t>
    </r>
  </si>
  <si>
    <t>Mar-2020</t>
  </si>
  <si>
    <t>Version Number</t>
  </si>
  <si>
    <t>Version History</t>
  </si>
  <si>
    <t>Version</t>
  </si>
  <si>
    <t>Change List Description</t>
  </si>
  <si>
    <t>1.0.0</t>
  </si>
  <si>
    <t>Initial Release</t>
  </si>
  <si>
    <t>1.0.1</t>
  </si>
  <si>
    <t>Rev 1.0.1</t>
  </si>
  <si>
    <t>VIN_op_max_56</t>
  </si>
  <si>
    <t>Maximum BIAS pin operating voltage LM5156</t>
  </si>
  <si>
    <t>Updated Schematics</t>
  </si>
  <si>
    <t>June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</si>
</sst>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0.000"/>
    <numFmt numFmtId="166" formatCode="0.000E+00"/>
    <numFmt numFmtId="167" formatCode="0.0000"/>
    <numFmt numFmtId="168" formatCode="0.0000E+00"/>
    <numFmt numFmtId="169" formatCode="0.0"/>
    <numFmt numFmtId="170" formatCode="0.0000000E+00"/>
    <numFmt numFmtId="171" formatCode="0.00000000"/>
    <numFmt numFmtId="172" formatCode="0.0000000"/>
  </numFmts>
  <fonts count="59" x14ac:knownFonts="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0"/>
      <name val="Arial"/>
      <family val="2"/>
    </font>
    <font>
      <b/>
      <sz val="10"/>
      <name val="Arial"/>
      <family val="2"/>
    </font>
    <font>
      <b/>
      <sz val="22"/>
      <color indexed="44"/>
      <name val="Arial"/>
      <family val="2"/>
    </font>
    <font>
      <b/>
      <sz val="9"/>
      <color indexed="81"/>
      <name val="Tahoma"/>
      <family val="2"/>
    </font>
    <font>
      <sz val="9"/>
      <color indexed="81"/>
      <name val="Tahoma"/>
      <family val="2"/>
    </font>
    <font>
      <b/>
      <sz val="12"/>
      <color rgb="FF0000FF"/>
      <name val="Arial"/>
      <family val="2"/>
    </font>
    <font>
      <sz val="28"/>
      <color theme="0"/>
      <name val="Calibri"/>
      <family val="2"/>
      <scheme val="minor"/>
    </font>
    <font>
      <b/>
      <sz val="11"/>
      <color indexed="10"/>
      <name val="Tahoma"/>
      <family val="2"/>
    </font>
    <font>
      <sz val="10"/>
      <color theme="1"/>
      <name val="Calibri"/>
      <family val="2"/>
      <scheme val="minor"/>
    </font>
    <font>
      <vertAlign val="subscript"/>
      <sz val="10"/>
      <color theme="1"/>
      <name val="Calibri"/>
      <family val="2"/>
      <scheme val="minor"/>
    </font>
    <font>
      <sz val="11"/>
      <name val="Calibri"/>
      <family val="2"/>
      <scheme val="minor"/>
    </font>
    <font>
      <b/>
      <sz val="11"/>
      <color rgb="FF0070C0"/>
      <name val="Calibri"/>
      <family val="2"/>
      <scheme val="minor"/>
    </font>
    <font>
      <sz val="11"/>
      <color theme="1"/>
      <name val="Calibri"/>
      <family val="2"/>
    </font>
    <font>
      <u/>
      <sz val="11"/>
      <color theme="1"/>
      <name val="Calibri"/>
      <family val="2"/>
      <scheme val="minor"/>
    </font>
    <font>
      <vertAlign val="subscript"/>
      <sz val="11"/>
      <color theme="1"/>
      <name val="Calibri"/>
      <family val="2"/>
      <scheme val="minor"/>
    </font>
    <font>
      <b/>
      <sz val="12"/>
      <color theme="1"/>
      <name val="Calibri"/>
      <family val="2"/>
      <scheme val="minor"/>
    </font>
    <font>
      <vertAlign val="subscript"/>
      <sz val="11"/>
      <color theme="1"/>
      <name val="Calibri"/>
      <family val="2"/>
    </font>
    <font>
      <b/>
      <sz val="11"/>
      <color theme="3" tint="0.39997558519241921"/>
      <name val="Calibri"/>
      <family val="2"/>
      <scheme val="minor"/>
    </font>
    <font>
      <b/>
      <sz val="11"/>
      <color theme="1"/>
      <name val="Calibri"/>
      <family val="2"/>
      <scheme val="minor"/>
    </font>
    <font>
      <sz val="10"/>
      <name val="Calibri"/>
      <family val="2"/>
      <scheme val="minor"/>
    </font>
    <font>
      <b/>
      <sz val="12"/>
      <color rgb="FF00B0F0"/>
      <name val="Calibri"/>
      <family val="2"/>
      <scheme val="minor"/>
    </font>
    <font>
      <b/>
      <sz val="11"/>
      <color rgb="FF00B0F0"/>
      <name val="Calibri"/>
      <family val="2"/>
      <scheme val="minor"/>
    </font>
    <font>
      <b/>
      <sz val="10"/>
      <color rgb="FF00B0F0"/>
      <name val="Arial"/>
      <family val="2"/>
    </font>
    <font>
      <sz val="18"/>
      <color theme="0"/>
      <name val="Calibri"/>
      <family val="2"/>
      <scheme val="minor"/>
    </font>
    <font>
      <vertAlign val="subscript"/>
      <sz val="10"/>
      <name val="Arial"/>
      <family val="2"/>
    </font>
    <font>
      <vertAlign val="subscript"/>
      <sz val="11"/>
      <name val="Calibri"/>
      <family val="2"/>
      <scheme val="minor"/>
    </font>
    <font>
      <sz val="11"/>
      <color rgb="FFFF0000"/>
      <name val="Calibri"/>
      <family val="2"/>
      <scheme val="minor"/>
    </font>
    <font>
      <b/>
      <vertAlign val="subscript"/>
      <sz val="11"/>
      <color theme="1"/>
      <name val="Calibri"/>
      <family val="2"/>
      <scheme val="minor"/>
    </font>
    <font>
      <b/>
      <sz val="11"/>
      <name val="Calibri"/>
      <family val="2"/>
      <scheme val="minor"/>
    </font>
    <font>
      <u/>
      <sz val="10"/>
      <name val="Calibri"/>
      <family val="2"/>
      <scheme val="minor"/>
    </font>
    <font>
      <b/>
      <sz val="12"/>
      <color rgb="FF0070C0"/>
      <name val="Calibri"/>
      <family val="2"/>
      <scheme val="minor"/>
    </font>
    <font>
      <sz val="11"/>
      <color rgb="FF0070C0"/>
      <name val="Calibri"/>
      <family val="2"/>
      <scheme val="minor"/>
    </font>
    <font>
      <sz val="14"/>
      <color theme="1"/>
      <name val="Calibri"/>
      <family val="2"/>
      <scheme val="minor"/>
    </font>
    <font>
      <b/>
      <sz val="14"/>
      <color rgb="FF0070C0"/>
      <name val="Calibri"/>
      <family val="2"/>
      <scheme val="minor"/>
    </font>
    <font>
      <b/>
      <sz val="14"/>
      <color theme="4"/>
      <name val="Calibri"/>
      <family val="2"/>
      <scheme val="minor"/>
    </font>
    <font>
      <b/>
      <u/>
      <sz val="9"/>
      <color indexed="81"/>
      <name val="Tahoma"/>
      <family val="2"/>
    </font>
    <font>
      <sz val="9"/>
      <color indexed="10"/>
      <name val="Tahoma"/>
      <family val="2"/>
    </font>
    <font>
      <b/>
      <u/>
      <sz val="11"/>
      <color indexed="81"/>
      <name val="Tahoma"/>
      <family val="2"/>
    </font>
    <font>
      <sz val="10"/>
      <color indexed="81"/>
      <name val="Tahoma"/>
      <family val="2"/>
    </font>
    <font>
      <b/>
      <sz val="11"/>
      <color indexed="81"/>
      <name val="Tahoma"/>
      <family val="2"/>
    </font>
    <font>
      <sz val="10"/>
      <color indexed="10"/>
      <name val="Tahoma"/>
      <family val="2"/>
    </font>
    <font>
      <b/>
      <sz val="10"/>
      <color indexed="10"/>
      <name val="Tahoma"/>
      <family val="2"/>
    </font>
    <font>
      <b/>
      <sz val="9"/>
      <color indexed="10"/>
      <name val="Tahoma"/>
      <family val="2"/>
    </font>
    <font>
      <b/>
      <u/>
      <vertAlign val="subscript"/>
      <sz val="9"/>
      <color indexed="81"/>
      <name val="Tahoma"/>
      <family val="2"/>
    </font>
    <font>
      <vertAlign val="subscript"/>
      <sz val="9"/>
      <color indexed="81"/>
      <name val="Tahoma"/>
      <family val="2"/>
    </font>
    <font>
      <b/>
      <u/>
      <sz val="10"/>
      <color indexed="81"/>
      <name val="Tahoma"/>
      <family val="2"/>
    </font>
    <font>
      <sz val="9"/>
      <color indexed="81"/>
      <name val="Calibri"/>
      <family val="2"/>
    </font>
    <font>
      <u/>
      <sz val="11"/>
      <color theme="10"/>
      <name val="Calibri"/>
      <family val="2"/>
      <scheme val="minor"/>
    </font>
    <font>
      <sz val="11"/>
      <color rgb="FF000000"/>
      <name val="Arial"/>
      <family val="2"/>
    </font>
    <font>
      <b/>
      <sz val="10"/>
      <color rgb="FF000000"/>
      <name val="Arial"/>
      <family val="2"/>
    </font>
    <font>
      <sz val="10"/>
      <color rgb="FF000000"/>
      <name val="Arial"/>
      <family val="2"/>
    </font>
    <font>
      <b/>
      <u/>
      <sz val="10"/>
      <color rgb="FF0000FF"/>
      <name val="Arial"/>
      <family val="2"/>
    </font>
    <font>
      <b/>
      <sz val="10"/>
      <color rgb="FFFFFFFF"/>
      <name val="Arial"/>
      <family val="2"/>
    </font>
    <font>
      <b/>
      <u/>
      <sz val="11"/>
      <color rgb="FF0000FF"/>
      <name val="Arial"/>
      <family val="2"/>
    </font>
    <font>
      <b/>
      <sz val="9"/>
      <color indexed="52"/>
      <name val="Tahoma"/>
      <family val="2"/>
    </font>
  </fonts>
  <fills count="20">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52"/>
        <bgColor indexed="64"/>
      </patternFill>
    </fill>
    <fill>
      <patternFill patternType="solid">
        <fgColor indexed="5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C00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34998626667073579"/>
        <bgColor indexed="64"/>
      </patternFill>
    </fill>
    <fill>
      <patternFill patternType="solid">
        <fgColor theme="1" tint="4.9989318521683403E-2"/>
        <bgColor indexed="64"/>
      </patternFill>
    </fill>
    <fill>
      <patternFill patternType="solid">
        <fgColor theme="5" tint="0.79998168889431442"/>
        <bgColor indexed="64"/>
      </patternFill>
    </fill>
    <fill>
      <patternFill patternType="solid">
        <fgColor theme="2" tint="-0.89999084444715716"/>
        <bgColor indexed="64"/>
      </patternFill>
    </fill>
    <fill>
      <patternFill patternType="solid">
        <fgColor theme="0"/>
        <bgColor indexed="64"/>
      </patternFill>
    </fill>
    <fill>
      <patternFill patternType="solid">
        <fgColor theme="1"/>
        <bgColor indexed="64"/>
      </patternFill>
    </fill>
    <fill>
      <patternFill patternType="solid">
        <fgColor rgb="FFDE0000"/>
        <bgColor rgb="FF000000"/>
      </patternFill>
    </fill>
    <fill>
      <patternFill patternType="solid">
        <fgColor rgb="FF000000"/>
        <bgColor rgb="FF000000"/>
      </patternFill>
    </fill>
  </fills>
  <borders count="22">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64"/>
      </left>
      <right style="thin">
        <color indexed="64"/>
      </right>
      <top style="thin">
        <color indexed="64"/>
      </top>
      <bottom/>
      <diagonal/>
    </border>
  </borders>
  <cellStyleXfs count="9">
    <xf numFmtId="0" fontId="0" fillId="0" borderId="0"/>
    <xf numFmtId="0" fontId="3" fillId="0" borderId="0"/>
    <xf numFmtId="164" fontId="4" fillId="0" borderId="0" applyFont="0" applyFill="0" applyBorder="0" applyAlignment="0" applyProtection="0"/>
    <xf numFmtId="0" fontId="4" fillId="0" borderId="0"/>
    <xf numFmtId="0" fontId="1" fillId="0" borderId="0"/>
    <xf numFmtId="164" fontId="1" fillId="0" borderId="0" applyFont="0" applyFill="0" applyBorder="0" applyAlignment="0" applyProtection="0"/>
    <xf numFmtId="0" fontId="4" fillId="0" borderId="0"/>
    <xf numFmtId="0" fontId="4" fillId="0" borderId="0"/>
    <xf numFmtId="0" fontId="51" fillId="0" borderId="0" applyNumberFormat="0" applyFill="0" applyBorder="0" applyAlignment="0" applyProtection="0"/>
  </cellStyleXfs>
  <cellXfs count="243">
    <xf numFmtId="0" fontId="0" fillId="0" borderId="0" xfId="0"/>
    <xf numFmtId="0" fontId="0" fillId="9" borderId="0" xfId="0" applyFill="1"/>
    <xf numFmtId="0" fontId="16" fillId="0" borderId="0" xfId="0" applyFont="1"/>
    <xf numFmtId="0" fontId="0" fillId="10" borderId="0" xfId="0" applyFill="1"/>
    <xf numFmtId="0" fontId="4" fillId="0" borderId="0" xfId="3"/>
    <xf numFmtId="0" fontId="5" fillId="0" borderId="0" xfId="3" applyFont="1" applyAlignment="1">
      <alignment horizontal="center"/>
    </xf>
    <xf numFmtId="0" fontId="5" fillId="3" borderId="0" xfId="3" applyFont="1" applyFill="1" applyAlignment="1">
      <alignment horizontal="center"/>
    </xf>
    <xf numFmtId="0" fontId="5" fillId="5" borderId="0" xfId="3" applyFont="1" applyFill="1" applyAlignment="1">
      <alignment horizontal="center"/>
    </xf>
    <xf numFmtId="0" fontId="5" fillId="0" borderId="0" xfId="3" applyFont="1"/>
    <xf numFmtId="0" fontId="5" fillId="4" borderId="0" xfId="3" applyFont="1" applyFill="1" applyAlignment="1">
      <alignment horizontal="center"/>
    </xf>
    <xf numFmtId="0" fontId="9" fillId="0" borderId="0" xfId="3" applyFont="1"/>
    <xf numFmtId="2" fontId="0" fillId="10" borderId="0" xfId="0" applyNumberFormat="1" applyFill="1"/>
    <xf numFmtId="0" fontId="0" fillId="11" borderId="0" xfId="0" applyFill="1"/>
    <xf numFmtId="166" fontId="0" fillId="9" borderId="0" xfId="0" applyNumberFormat="1" applyFill="1"/>
    <xf numFmtId="0" fontId="5" fillId="0" borderId="0" xfId="3" applyFont="1" applyAlignment="1">
      <alignment horizontal="right"/>
    </xf>
    <xf numFmtId="0" fontId="4" fillId="0" borderId="0" xfId="3" applyAlignment="1">
      <alignment horizontal="center"/>
    </xf>
    <xf numFmtId="165" fontId="0" fillId="9" borderId="0" xfId="0" applyNumberFormat="1" applyFill="1"/>
    <xf numFmtId="2" fontId="0" fillId="9" borderId="0" xfId="0" applyNumberFormat="1" applyFill="1"/>
    <xf numFmtId="1" fontId="0" fillId="9" borderId="0" xfId="0" applyNumberFormat="1" applyFill="1"/>
    <xf numFmtId="0" fontId="15" fillId="0" borderId="0" xfId="0" applyFont="1"/>
    <xf numFmtId="165" fontId="0" fillId="0" borderId="0" xfId="0" applyNumberFormat="1"/>
    <xf numFmtId="11" fontId="14" fillId="10" borderId="0" xfId="0" applyNumberFormat="1" applyFont="1" applyFill="1"/>
    <xf numFmtId="0" fontId="17" fillId="0" borderId="0" xfId="0" applyFont="1"/>
    <xf numFmtId="168" fontId="0" fillId="9" borderId="0" xfId="0" applyNumberFormat="1" applyFill="1"/>
    <xf numFmtId="11" fontId="0" fillId="9" borderId="0" xfId="0" applyNumberFormat="1" applyFill="1"/>
    <xf numFmtId="0" fontId="5" fillId="0" borderId="0" xfId="3" applyFont="1" applyAlignment="1">
      <alignment horizontal="left"/>
    </xf>
    <xf numFmtId="167" fontId="0" fillId="9" borderId="0" xfId="0" applyNumberFormat="1" applyFill="1"/>
    <xf numFmtId="0" fontId="14" fillId="10" borderId="0" xfId="0" applyFont="1" applyFill="1"/>
    <xf numFmtId="0" fontId="19" fillId="0" borderId="0" xfId="0" applyFont="1"/>
    <xf numFmtId="0" fontId="21" fillId="0" borderId="0" xfId="0" applyFont="1"/>
    <xf numFmtId="0" fontId="0" fillId="12" borderId="0" xfId="0" applyFill="1"/>
    <xf numFmtId="1" fontId="0" fillId="0" borderId="0" xfId="0" applyNumberFormat="1"/>
    <xf numFmtId="0" fontId="22" fillId="0" borderId="0" xfId="0" applyFont="1"/>
    <xf numFmtId="0" fontId="23" fillId="0" borderId="0" xfId="0" applyFont="1"/>
    <xf numFmtId="165" fontId="4" fillId="0" borderId="0" xfId="3" applyNumberFormat="1"/>
    <xf numFmtId="2" fontId="0" fillId="0" borderId="0" xfId="0" applyNumberFormat="1"/>
    <xf numFmtId="0" fontId="24" fillId="0" borderId="0" xfId="0" applyFont="1"/>
    <xf numFmtId="2" fontId="0" fillId="0" borderId="5" xfId="0" applyNumberFormat="1" applyBorder="1"/>
    <xf numFmtId="2" fontId="0" fillId="0" borderId="7" xfId="0" applyNumberFormat="1" applyBorder="1"/>
    <xf numFmtId="0" fontId="4" fillId="0" borderId="8" xfId="3" applyBorder="1"/>
    <xf numFmtId="0" fontId="0" fillId="0" borderId="8" xfId="0" applyBorder="1"/>
    <xf numFmtId="0" fontId="4" fillId="0" borderId="9" xfId="3" applyBorder="1"/>
    <xf numFmtId="0" fontId="0" fillId="0" borderId="5" xfId="0" applyBorder="1"/>
    <xf numFmtId="0" fontId="4" fillId="0" borderId="7" xfId="3" applyBorder="1"/>
    <xf numFmtId="0" fontId="0" fillId="0" borderId="6" xfId="0" applyBorder="1"/>
    <xf numFmtId="0" fontId="0" fillId="0" borderId="7" xfId="0" applyBorder="1"/>
    <xf numFmtId="0" fontId="0" fillId="0" borderId="9" xfId="0" applyBorder="1"/>
    <xf numFmtId="165" fontId="0" fillId="0" borderId="8" xfId="0" applyNumberFormat="1" applyBorder="1"/>
    <xf numFmtId="0" fontId="4" fillId="0" borderId="5" xfId="3" applyBorder="1"/>
    <xf numFmtId="2" fontId="0" fillId="0" borderId="10" xfId="0" applyNumberFormat="1" applyBorder="1"/>
    <xf numFmtId="0" fontId="25" fillId="0" borderId="0" xfId="0" applyFont="1"/>
    <xf numFmtId="0" fontId="26" fillId="0" borderId="0" xfId="3" applyFont="1"/>
    <xf numFmtId="169" fontId="0" fillId="0" borderId="0" xfId="0" applyNumberFormat="1"/>
    <xf numFmtId="0" fontId="0" fillId="0" borderId="2" xfId="0" applyBorder="1"/>
    <xf numFmtId="165" fontId="4" fillId="0" borderId="3" xfId="3" applyNumberFormat="1" applyBorder="1"/>
    <xf numFmtId="0" fontId="4" fillId="0" borderId="3" xfId="3" applyBorder="1"/>
    <xf numFmtId="0" fontId="0" fillId="0" borderId="3" xfId="0" applyBorder="1"/>
    <xf numFmtId="0" fontId="4" fillId="0" borderId="2" xfId="3" applyBorder="1"/>
    <xf numFmtId="165" fontId="0" fillId="0" borderId="3" xfId="0" applyNumberFormat="1" applyBorder="1"/>
    <xf numFmtId="0" fontId="0" fillId="0" borderId="4" xfId="0" applyBorder="1"/>
    <xf numFmtId="165" fontId="4" fillId="0" borderId="8" xfId="3" applyNumberFormat="1" applyBorder="1"/>
    <xf numFmtId="0" fontId="4" fillId="0" borderId="6" xfId="3" applyBorder="1"/>
    <xf numFmtId="0" fontId="0" fillId="0" borderId="10" xfId="0" applyBorder="1"/>
    <xf numFmtId="0" fontId="0" fillId="0" borderId="11" xfId="0" applyBorder="1"/>
    <xf numFmtId="165" fontId="4" fillId="0" borderId="11" xfId="3" applyNumberFormat="1" applyBorder="1"/>
    <xf numFmtId="0" fontId="4" fillId="0" borderId="11" xfId="3" applyBorder="1"/>
    <xf numFmtId="0" fontId="4" fillId="0" borderId="10" xfId="3" applyBorder="1"/>
    <xf numFmtId="165" fontId="0" fillId="0" borderId="11" xfId="0" applyNumberFormat="1" applyBorder="1"/>
    <xf numFmtId="0" fontId="0" fillId="0" borderId="12" xfId="0" applyBorder="1"/>
    <xf numFmtId="1" fontId="0" fillId="0" borderId="4" xfId="0" applyNumberFormat="1" applyBorder="1"/>
    <xf numFmtId="1" fontId="0" fillId="0" borderId="6" xfId="0" applyNumberFormat="1" applyBorder="1"/>
    <xf numFmtId="1" fontId="0" fillId="0" borderId="9" xfId="0" applyNumberFormat="1" applyBorder="1"/>
    <xf numFmtId="0" fontId="0" fillId="14" borderId="0" xfId="0" applyFill="1"/>
    <xf numFmtId="0" fontId="4" fillId="0" borderId="0" xfId="3" applyAlignment="1">
      <alignment horizontal="left"/>
    </xf>
    <xf numFmtId="0" fontId="4" fillId="0" borderId="8" xfId="3" applyBorder="1" applyAlignment="1">
      <alignment horizontal="left"/>
    </xf>
    <xf numFmtId="0" fontId="0" fillId="6" borderId="0" xfId="0" applyFill="1" applyProtection="1">
      <protection hidden="1"/>
    </xf>
    <xf numFmtId="0" fontId="10" fillId="6" borderId="0" xfId="0" applyFont="1" applyFill="1" applyAlignment="1" applyProtection="1">
      <alignment horizontal="left" vertical="center"/>
      <protection hidden="1"/>
    </xf>
    <xf numFmtId="0" fontId="0" fillId="6" borderId="0" xfId="0" applyFill="1" applyAlignment="1" applyProtection="1">
      <alignment horizontal="right"/>
      <protection hidden="1"/>
    </xf>
    <xf numFmtId="0" fontId="14" fillId="8" borderId="0" xfId="0" applyFont="1" applyFill="1" applyProtection="1">
      <protection hidden="1"/>
    </xf>
    <xf numFmtId="0" fontId="0" fillId="15" borderId="0" xfId="0" applyFill="1" applyProtection="1">
      <protection hidden="1"/>
    </xf>
    <xf numFmtId="0" fontId="0" fillId="8" borderId="0" xfId="0" applyFill="1" applyProtection="1">
      <protection hidden="1"/>
    </xf>
    <xf numFmtId="0" fontId="0" fillId="8" borderId="0" xfId="0" applyFill="1" applyAlignment="1" applyProtection="1">
      <alignment horizontal="right"/>
      <protection hidden="1"/>
    </xf>
    <xf numFmtId="0" fontId="2" fillId="8" borderId="0" xfId="0" applyFont="1" applyFill="1" applyProtection="1">
      <protection hidden="1"/>
    </xf>
    <xf numFmtId="0" fontId="0" fillId="7" borderId="0" xfId="0" applyFill="1" applyProtection="1">
      <protection hidden="1"/>
    </xf>
    <xf numFmtId="0" fontId="2" fillId="8" borderId="0" xfId="0" quotePrefix="1" applyFont="1" applyFill="1" applyProtection="1">
      <protection hidden="1"/>
    </xf>
    <xf numFmtId="0" fontId="0" fillId="8" borderId="1" xfId="0" applyFill="1" applyBorder="1" applyProtection="1">
      <protection hidden="1"/>
    </xf>
    <xf numFmtId="0" fontId="0" fillId="8" borderId="1" xfId="0" applyFill="1" applyBorder="1" applyAlignment="1" applyProtection="1">
      <alignment horizontal="right"/>
      <protection hidden="1"/>
    </xf>
    <xf numFmtId="0" fontId="14" fillId="8" borderId="1" xfId="0" applyFont="1" applyFill="1" applyBorder="1" applyProtection="1">
      <protection hidden="1"/>
    </xf>
    <xf numFmtId="0" fontId="0" fillId="15" borderId="1" xfId="0" applyFill="1" applyBorder="1" applyProtection="1">
      <protection hidden="1"/>
    </xf>
    <xf numFmtId="0" fontId="0" fillId="16" borderId="0" xfId="0" applyFill="1" applyProtection="1">
      <protection hidden="1"/>
    </xf>
    <xf numFmtId="0" fontId="0" fillId="16" borderId="0" xfId="0" applyFill="1" applyAlignment="1" applyProtection="1">
      <alignment horizontal="right"/>
      <protection hidden="1"/>
    </xf>
    <xf numFmtId="49" fontId="0" fillId="16" borderId="0" xfId="0" applyNumberFormat="1" applyFill="1" applyProtection="1">
      <protection hidden="1"/>
    </xf>
    <xf numFmtId="0" fontId="0" fillId="16" borderId="2" xfId="0" applyFill="1" applyBorder="1" applyProtection="1">
      <protection hidden="1"/>
    </xf>
    <xf numFmtId="0" fontId="0" fillId="16" borderId="3" xfId="0" applyFill="1" applyBorder="1" applyProtection="1">
      <protection hidden="1"/>
    </xf>
    <xf numFmtId="0" fontId="12" fillId="16" borderId="3" xfId="3" applyFont="1" applyFill="1" applyBorder="1" applyAlignment="1" applyProtection="1">
      <alignment horizontal="right"/>
      <protection hidden="1"/>
    </xf>
    <xf numFmtId="0" fontId="0" fillId="16" borderId="4" xfId="0" applyFill="1" applyBorder="1" applyProtection="1">
      <protection hidden="1"/>
    </xf>
    <xf numFmtId="0" fontId="0" fillId="16" borderId="5" xfId="0" applyFill="1" applyBorder="1" applyProtection="1">
      <protection hidden="1"/>
    </xf>
    <xf numFmtId="0" fontId="12" fillId="16" borderId="0" xfId="3" applyFont="1" applyFill="1" applyAlignment="1" applyProtection="1">
      <alignment horizontal="right"/>
      <protection hidden="1"/>
    </xf>
    <xf numFmtId="0" fontId="0" fillId="16" borderId="6" xfId="0" applyFill="1" applyBorder="1" applyProtection="1">
      <protection hidden="1"/>
    </xf>
    <xf numFmtId="0" fontId="12" fillId="16" borderId="0" xfId="0" applyFont="1" applyFill="1" applyProtection="1">
      <protection hidden="1"/>
    </xf>
    <xf numFmtId="0" fontId="0" fillId="16" borderId="8" xfId="0" applyFill="1" applyBorder="1" applyProtection="1">
      <protection hidden="1"/>
    </xf>
    <xf numFmtId="0" fontId="0" fillId="16" borderId="9" xfId="0" applyFill="1" applyBorder="1" applyProtection="1">
      <protection hidden="1"/>
    </xf>
    <xf numFmtId="0" fontId="0" fillId="16" borderId="7" xfId="0" applyFill="1" applyBorder="1" applyProtection="1">
      <protection hidden="1"/>
    </xf>
    <xf numFmtId="0" fontId="12" fillId="16" borderId="8" xfId="3" applyFont="1" applyFill="1" applyBorder="1" applyAlignment="1" applyProtection="1">
      <alignment horizontal="right"/>
      <protection hidden="1"/>
    </xf>
    <xf numFmtId="0" fontId="16" fillId="16" borderId="6" xfId="0" applyFont="1" applyFill="1" applyBorder="1" applyProtection="1">
      <protection hidden="1"/>
    </xf>
    <xf numFmtId="0" fontId="0" fillId="16" borderId="8" xfId="0" applyFill="1" applyBorder="1" applyAlignment="1" applyProtection="1">
      <alignment horizontal="right"/>
      <protection hidden="1"/>
    </xf>
    <xf numFmtId="0" fontId="16" fillId="16" borderId="9" xfId="0" applyFont="1" applyFill="1" applyBorder="1" applyProtection="1">
      <protection hidden="1"/>
    </xf>
    <xf numFmtId="0" fontId="0" fillId="16" borderId="3" xfId="0" applyFill="1" applyBorder="1" applyAlignment="1" applyProtection="1">
      <alignment horizontal="right"/>
      <protection hidden="1"/>
    </xf>
    <xf numFmtId="0" fontId="15" fillId="16" borderId="2" xfId="0" applyFont="1" applyFill="1" applyBorder="1" applyProtection="1">
      <protection hidden="1"/>
    </xf>
    <xf numFmtId="0" fontId="14" fillId="16" borderId="3" xfId="0" applyFont="1" applyFill="1" applyBorder="1" applyAlignment="1" applyProtection="1">
      <alignment horizontal="right"/>
      <protection hidden="1"/>
    </xf>
    <xf numFmtId="0" fontId="15" fillId="16" borderId="5" xfId="0" applyFont="1" applyFill="1" applyBorder="1" applyProtection="1">
      <protection hidden="1"/>
    </xf>
    <xf numFmtId="0" fontId="22" fillId="16" borderId="0" xfId="0" applyFont="1" applyFill="1" applyAlignment="1" applyProtection="1">
      <alignment horizontal="right"/>
      <protection hidden="1"/>
    </xf>
    <xf numFmtId="0" fontId="0" fillId="16" borderId="0" xfId="0" applyFill="1" applyAlignment="1" applyProtection="1">
      <alignment horizontal="center"/>
      <protection hidden="1"/>
    </xf>
    <xf numFmtId="1" fontId="0" fillId="16" borderId="0" xfId="0" applyNumberFormat="1" applyFill="1" applyProtection="1">
      <protection hidden="1"/>
    </xf>
    <xf numFmtId="0" fontId="0" fillId="0" borderId="0" xfId="0" applyProtection="1">
      <protection hidden="1"/>
    </xf>
    <xf numFmtId="0" fontId="27" fillId="13" borderId="0" xfId="0" applyFont="1" applyFill="1" applyProtection="1">
      <protection hidden="1"/>
    </xf>
    <xf numFmtId="0" fontId="0" fillId="13" borderId="0" xfId="0" applyFill="1" applyProtection="1">
      <protection hidden="1"/>
    </xf>
    <xf numFmtId="0" fontId="0" fillId="13" borderId="0" xfId="0" applyFill="1" applyAlignment="1" applyProtection="1">
      <alignment horizontal="right"/>
      <protection hidden="1"/>
    </xf>
    <xf numFmtId="0" fontId="0" fillId="17" borderId="0" xfId="0" applyFill="1" applyProtection="1">
      <protection hidden="1"/>
    </xf>
    <xf numFmtId="0" fontId="4" fillId="16" borderId="3" xfId="3" applyFill="1" applyBorder="1" applyAlignment="1" applyProtection="1">
      <alignment horizontal="right"/>
      <protection hidden="1"/>
    </xf>
    <xf numFmtId="0" fontId="4" fillId="16" borderId="4" xfId="3" applyFill="1" applyBorder="1" applyProtection="1">
      <protection hidden="1"/>
    </xf>
    <xf numFmtId="0" fontId="4" fillId="16" borderId="0" xfId="3" applyFill="1" applyAlignment="1" applyProtection="1">
      <alignment horizontal="right"/>
      <protection hidden="1"/>
    </xf>
    <xf numFmtId="0" fontId="4" fillId="16" borderId="6" xfId="3" applyFill="1" applyBorder="1" applyProtection="1">
      <protection hidden="1"/>
    </xf>
    <xf numFmtId="0" fontId="4" fillId="16" borderId="8" xfId="3" applyFill="1" applyBorder="1" applyAlignment="1" applyProtection="1">
      <alignment horizontal="right"/>
      <protection hidden="1"/>
    </xf>
    <xf numFmtId="0" fontId="4" fillId="16" borderId="9" xfId="3" applyFill="1" applyBorder="1" applyProtection="1">
      <protection hidden="1"/>
    </xf>
    <xf numFmtId="0" fontId="0" fillId="15" borderId="0" xfId="0" applyFill="1" applyAlignment="1" applyProtection="1">
      <alignment horizontal="right"/>
      <protection hidden="1"/>
    </xf>
    <xf numFmtId="0" fontId="14" fillId="15" borderId="0" xfId="0" applyFont="1" applyFill="1" applyProtection="1">
      <protection hidden="1"/>
    </xf>
    <xf numFmtId="0" fontId="30" fillId="16" borderId="0" xfId="0" applyFont="1" applyFill="1" applyProtection="1">
      <protection hidden="1"/>
    </xf>
    <xf numFmtId="0" fontId="0" fillId="7" borderId="14" xfId="0" applyFill="1" applyBorder="1" applyProtection="1">
      <protection locked="0" hidden="1"/>
    </xf>
    <xf numFmtId="0" fontId="0" fillId="7" borderId="15" xfId="0" applyFill="1" applyBorder="1" applyProtection="1">
      <protection locked="0" hidden="1"/>
    </xf>
    <xf numFmtId="2" fontId="0" fillId="16" borderId="15" xfId="0" applyNumberFormat="1" applyFill="1" applyBorder="1" applyProtection="1">
      <protection hidden="1"/>
    </xf>
    <xf numFmtId="0" fontId="0" fillId="16" borderId="15" xfId="0" applyFill="1" applyBorder="1" applyProtection="1">
      <protection hidden="1"/>
    </xf>
    <xf numFmtId="1" fontId="0" fillId="16" borderId="15" xfId="0" applyNumberFormat="1" applyFill="1" applyBorder="1" applyProtection="1">
      <protection hidden="1"/>
    </xf>
    <xf numFmtId="2" fontId="0" fillId="16" borderId="16" xfId="0" applyNumberFormat="1" applyFill="1" applyBorder="1" applyProtection="1">
      <protection hidden="1"/>
    </xf>
    <xf numFmtId="0" fontId="0" fillId="7" borderId="16" xfId="0" applyFill="1" applyBorder="1" applyProtection="1">
      <protection locked="0" hidden="1"/>
    </xf>
    <xf numFmtId="2" fontId="0" fillId="0" borderId="15" xfId="0" applyNumberFormat="1" applyBorder="1" applyProtection="1">
      <protection hidden="1"/>
    </xf>
    <xf numFmtId="165" fontId="0" fillId="0" borderId="16" xfId="0" applyNumberFormat="1" applyBorder="1" applyProtection="1">
      <protection hidden="1"/>
    </xf>
    <xf numFmtId="2" fontId="0" fillId="0" borderId="14" xfId="0" applyNumberFormat="1" applyBorder="1" applyProtection="1">
      <protection hidden="1"/>
    </xf>
    <xf numFmtId="1" fontId="0" fillId="0" borderId="16" xfId="0" applyNumberFormat="1" applyBorder="1" applyProtection="1">
      <protection hidden="1"/>
    </xf>
    <xf numFmtId="0" fontId="0" fillId="16" borderId="15" xfId="0" applyFill="1" applyBorder="1" applyAlignment="1" applyProtection="1">
      <alignment horizontal="center"/>
      <protection hidden="1"/>
    </xf>
    <xf numFmtId="1" fontId="0" fillId="16" borderId="7" xfId="0" applyNumberFormat="1" applyFill="1" applyBorder="1" applyProtection="1">
      <protection hidden="1"/>
    </xf>
    <xf numFmtId="0" fontId="0" fillId="7" borderId="13" xfId="0" applyFill="1" applyBorder="1" applyProtection="1">
      <protection locked="0" hidden="1"/>
    </xf>
    <xf numFmtId="2" fontId="0" fillId="16" borderId="10" xfId="0" applyNumberFormat="1" applyFill="1" applyBorder="1" applyProtection="1">
      <protection hidden="1"/>
    </xf>
    <xf numFmtId="0" fontId="0" fillId="16" borderId="16" xfId="0" applyFill="1" applyBorder="1" applyProtection="1">
      <protection hidden="1"/>
    </xf>
    <xf numFmtId="2" fontId="0" fillId="11" borderId="0" xfId="0" applyNumberFormat="1" applyFill="1"/>
    <xf numFmtId="0" fontId="3" fillId="0" borderId="0" xfId="3" applyFont="1"/>
    <xf numFmtId="0" fontId="3" fillId="11" borderId="0" xfId="3" applyFont="1" applyFill="1"/>
    <xf numFmtId="0" fontId="5" fillId="9" borderId="0" xfId="3" applyFont="1" applyFill="1" applyAlignment="1">
      <alignment horizontal="center"/>
    </xf>
    <xf numFmtId="2" fontId="0" fillId="16" borderId="0" xfId="0" applyNumberFormat="1" applyFill="1" applyProtection="1">
      <protection hidden="1"/>
    </xf>
    <xf numFmtId="0" fontId="0" fillId="16" borderId="14" xfId="0" applyFill="1" applyBorder="1" applyProtection="1">
      <protection hidden="1"/>
    </xf>
    <xf numFmtId="2" fontId="30" fillId="0" borderId="0" xfId="0" applyNumberFormat="1" applyFont="1"/>
    <xf numFmtId="170" fontId="0" fillId="9" borderId="0" xfId="0" applyNumberFormat="1" applyFill="1"/>
    <xf numFmtId="0" fontId="0" fillId="6" borderId="0" xfId="0" applyFill="1"/>
    <xf numFmtId="0" fontId="30" fillId="0" borderId="0" xfId="0" applyFont="1"/>
    <xf numFmtId="0" fontId="0" fillId="16" borderId="15" xfId="0" applyFill="1" applyBorder="1" applyAlignment="1" applyProtection="1">
      <alignment vertical="top"/>
      <protection hidden="1"/>
    </xf>
    <xf numFmtId="0" fontId="0" fillId="0" borderId="15" xfId="0" applyBorder="1" applyProtection="1">
      <protection hidden="1"/>
    </xf>
    <xf numFmtId="0" fontId="16" fillId="16" borderId="10" xfId="0" applyFont="1" applyFill="1" applyBorder="1" applyAlignment="1" applyProtection="1">
      <alignment horizontal="left"/>
      <protection hidden="1"/>
    </xf>
    <xf numFmtId="0" fontId="0" fillId="16" borderId="7" xfId="0" applyFill="1" applyBorder="1" applyAlignment="1" applyProtection="1">
      <alignment horizontal="left"/>
      <protection hidden="1"/>
    </xf>
    <xf numFmtId="0" fontId="32" fillId="0" borderId="0" xfId="0" applyFont="1"/>
    <xf numFmtId="0" fontId="33" fillId="0" borderId="0" xfId="0" applyFont="1"/>
    <xf numFmtId="0" fontId="0" fillId="0" borderId="0" xfId="0" applyAlignment="1" applyProtection="1">
      <alignment horizontal="right"/>
      <protection hidden="1"/>
    </xf>
    <xf numFmtId="0" fontId="16" fillId="16" borderId="15" xfId="0" applyFont="1" applyFill="1" applyBorder="1" applyProtection="1">
      <protection hidden="1"/>
    </xf>
    <xf numFmtId="0" fontId="14" fillId="16" borderId="0" xfId="0" applyFont="1" applyFill="1" applyAlignment="1" applyProtection="1">
      <alignment horizontal="right"/>
      <protection hidden="1"/>
    </xf>
    <xf numFmtId="0" fontId="0" fillId="7" borderId="14" xfId="0" applyFill="1" applyBorder="1" applyAlignment="1" applyProtection="1">
      <alignment horizontal="right" vertical="top"/>
      <protection hidden="1"/>
    </xf>
    <xf numFmtId="171" fontId="0" fillId="10" borderId="0" xfId="0" applyNumberFormat="1" applyFill="1"/>
    <xf numFmtId="0" fontId="0" fillId="0" borderId="0" xfId="0" applyAlignment="1">
      <alignment horizontal="right"/>
    </xf>
    <xf numFmtId="0" fontId="12" fillId="16" borderId="3" xfId="0" applyFont="1" applyFill="1" applyBorder="1" applyProtection="1">
      <protection hidden="1"/>
    </xf>
    <xf numFmtId="169" fontId="0" fillId="0" borderId="15" xfId="0" applyNumberFormat="1" applyBorder="1" applyProtection="1">
      <protection hidden="1"/>
    </xf>
    <xf numFmtId="2" fontId="0" fillId="0" borderId="16" xfId="0" applyNumberFormat="1" applyBorder="1" applyProtection="1">
      <protection hidden="1"/>
    </xf>
    <xf numFmtId="0" fontId="0" fillId="16" borderId="0" xfId="0" applyFill="1"/>
    <xf numFmtId="0" fontId="0" fillId="0" borderId="0" xfId="0" applyAlignment="1">
      <alignment horizontal="center"/>
    </xf>
    <xf numFmtId="0" fontId="0" fillId="0" borderId="3" xfId="0" applyBorder="1" applyAlignment="1">
      <alignment horizontal="center"/>
    </xf>
    <xf numFmtId="172" fontId="0" fillId="10" borderId="0" xfId="0" applyNumberFormat="1" applyFill="1"/>
    <xf numFmtId="0" fontId="0" fillId="0" borderId="0" xfId="0" applyAlignment="1">
      <alignment horizontal="center" wrapText="1"/>
    </xf>
    <xf numFmtId="0" fontId="0" fillId="7" borderId="0" xfId="0" applyFill="1"/>
    <xf numFmtId="0" fontId="0" fillId="14" borderId="6" xfId="0" applyFill="1" applyBorder="1"/>
    <xf numFmtId="0" fontId="0" fillId="14" borderId="5" xfId="0" applyFill="1" applyBorder="1"/>
    <xf numFmtId="0" fontId="0" fillId="7" borderId="6" xfId="0" applyFill="1" applyBorder="1"/>
    <xf numFmtId="169" fontId="0" fillId="16" borderId="0" xfId="0" applyNumberFormat="1" applyFill="1" applyProtection="1">
      <protection hidden="1"/>
    </xf>
    <xf numFmtId="0" fontId="16" fillId="16" borderId="0" xfId="0" applyFont="1" applyFill="1" applyProtection="1">
      <protection hidden="1"/>
    </xf>
    <xf numFmtId="0" fontId="4" fillId="16" borderId="0" xfId="3" applyFill="1" applyProtection="1">
      <protection hidden="1"/>
    </xf>
    <xf numFmtId="0" fontId="12" fillId="16" borderId="0" xfId="0" applyFont="1" applyFill="1" applyAlignment="1" applyProtection="1">
      <alignment horizontal="right"/>
      <protection hidden="1"/>
    </xf>
    <xf numFmtId="0" fontId="35" fillId="16" borderId="0" xfId="0" applyFont="1" applyFill="1" applyProtection="1">
      <protection hidden="1"/>
    </xf>
    <xf numFmtId="0" fontId="35" fillId="16" borderId="0" xfId="0" applyFont="1" applyFill="1" applyAlignment="1" applyProtection="1">
      <alignment horizontal="center"/>
      <protection hidden="1"/>
    </xf>
    <xf numFmtId="0" fontId="12" fillId="16" borderId="2" xfId="0" applyFont="1" applyFill="1" applyBorder="1" applyProtection="1">
      <protection hidden="1"/>
    </xf>
    <xf numFmtId="0" fontId="34" fillId="16" borderId="0" xfId="0" applyFont="1" applyFill="1" applyAlignment="1" applyProtection="1">
      <alignment horizontal="right"/>
      <protection hidden="1"/>
    </xf>
    <xf numFmtId="0" fontId="0" fillId="0" borderId="17" xfId="0" applyBorder="1"/>
    <xf numFmtId="0" fontId="0" fillId="16" borderId="18" xfId="0" applyFill="1" applyBorder="1" applyProtection="1">
      <protection hidden="1"/>
    </xf>
    <xf numFmtId="0" fontId="15" fillId="16" borderId="0" xfId="0" applyFont="1" applyFill="1" applyAlignment="1" applyProtection="1">
      <alignment horizontal="right"/>
      <protection hidden="1"/>
    </xf>
    <xf numFmtId="0" fontId="36" fillId="0" borderId="0" xfId="0" applyFont="1"/>
    <xf numFmtId="0" fontId="0" fillId="0" borderId="19" xfId="0" applyBorder="1"/>
    <xf numFmtId="0" fontId="0" fillId="0" borderId="20" xfId="0" applyBorder="1"/>
    <xf numFmtId="0" fontId="0" fillId="0" borderId="21" xfId="0" applyBorder="1"/>
    <xf numFmtId="0" fontId="35" fillId="16" borderId="2" xfId="0" applyFont="1" applyFill="1" applyBorder="1" applyProtection="1">
      <protection hidden="1"/>
    </xf>
    <xf numFmtId="0" fontId="3" fillId="0" borderId="0" xfId="3" applyFont="1" applyAlignment="1">
      <alignment horizontal="left"/>
    </xf>
    <xf numFmtId="49" fontId="0" fillId="16" borderId="0" xfId="0" applyNumberFormat="1" applyFill="1" applyAlignment="1" applyProtection="1">
      <alignment horizontal="right"/>
      <protection hidden="1"/>
    </xf>
    <xf numFmtId="0" fontId="37" fillId="16" borderId="0" xfId="0" applyFont="1" applyFill="1" applyProtection="1">
      <protection hidden="1"/>
    </xf>
    <xf numFmtId="0" fontId="38" fillId="16" borderId="0" xfId="0" applyFont="1" applyFill="1" applyAlignment="1" applyProtection="1">
      <alignment horizontal="left"/>
      <protection hidden="1"/>
    </xf>
    <xf numFmtId="0" fontId="16" fillId="16" borderId="16" xfId="0" applyFont="1" applyFill="1" applyBorder="1" applyProtection="1">
      <protection hidden="1"/>
    </xf>
    <xf numFmtId="0" fontId="0" fillId="0" borderId="14" xfId="0" applyBorder="1" applyProtection="1">
      <protection hidden="1"/>
    </xf>
    <xf numFmtId="2" fontId="0" fillId="16" borderId="14" xfId="0" applyNumberFormat="1" applyFill="1" applyBorder="1" applyProtection="1">
      <protection hidden="1"/>
    </xf>
    <xf numFmtId="0" fontId="1" fillId="16" borderId="3" xfId="3" applyFont="1" applyFill="1" applyBorder="1" applyAlignment="1" applyProtection="1">
      <alignment horizontal="right"/>
      <protection hidden="1"/>
    </xf>
    <xf numFmtId="0" fontId="16" fillId="16" borderId="14" xfId="0" applyFont="1" applyFill="1" applyBorder="1" applyProtection="1">
      <protection hidden="1"/>
    </xf>
    <xf numFmtId="0" fontId="52" fillId="0" borderId="0" xfId="0" applyFont="1"/>
    <xf numFmtId="0" fontId="53" fillId="0" borderId="0" xfId="0" applyFont="1" applyAlignment="1">
      <alignment horizontal="center"/>
    </xf>
    <xf numFmtId="49" fontId="53" fillId="0" borderId="0" xfId="0" applyNumberFormat="1" applyFont="1" applyAlignment="1">
      <alignment horizontal="left"/>
    </xf>
    <xf numFmtId="0" fontId="54" fillId="0" borderId="0" xfId="0" applyFont="1"/>
    <xf numFmtId="0" fontId="55" fillId="0" borderId="0" xfId="8" applyFont="1" applyFill="1" applyBorder="1" applyAlignment="1">
      <alignment vertical="center"/>
    </xf>
    <xf numFmtId="0" fontId="55" fillId="0" borderId="0" xfId="8" applyFont="1" applyFill="1" applyBorder="1" applyAlignment="1">
      <alignment horizontal="right" vertical="center"/>
    </xf>
    <xf numFmtId="0" fontId="53" fillId="0" borderId="0" xfId="0" applyFont="1" applyAlignment="1">
      <alignment horizontal="left"/>
    </xf>
    <xf numFmtId="0" fontId="52" fillId="0" borderId="0" xfId="0" applyFont="1" applyAlignment="1">
      <alignment horizontal="center"/>
    </xf>
    <xf numFmtId="0" fontId="52" fillId="0" borderId="0" xfId="0" applyFont="1" applyAlignment="1">
      <alignment horizontal="left"/>
    </xf>
    <xf numFmtId="0" fontId="54" fillId="0" borderId="0" xfId="0" applyFont="1" applyAlignment="1">
      <alignment horizontal="center"/>
    </xf>
    <xf numFmtId="0" fontId="3" fillId="0" borderId="0" xfId="0" applyFont="1"/>
    <xf numFmtId="0" fontId="56" fillId="19" borderId="0" xfId="0" applyFont="1" applyFill="1" applyAlignment="1">
      <alignment horizontal="center"/>
    </xf>
    <xf numFmtId="49" fontId="54" fillId="0" borderId="0" xfId="0" applyNumberFormat="1" applyFont="1" applyAlignment="1">
      <alignment horizontal="center"/>
    </xf>
    <xf numFmtId="0" fontId="54" fillId="0" borderId="0" xfId="0" applyFont="1" applyAlignment="1">
      <alignment wrapText="1"/>
    </xf>
    <xf numFmtId="0" fontId="57" fillId="0" borderId="0" xfId="8" applyFont="1" applyFill="1" applyBorder="1" applyAlignment="1">
      <alignment vertical="center"/>
    </xf>
    <xf numFmtId="17" fontId="0" fillId="16" borderId="0" xfId="0" quotePrefix="1" applyNumberFormat="1" applyFill="1" applyProtection="1">
      <protection hidden="1"/>
    </xf>
    <xf numFmtId="0" fontId="51" fillId="8" borderId="0" xfId="8" applyFill="1" applyBorder="1" applyAlignment="1" applyProtection="1">
      <alignment horizontal="center"/>
      <protection locked="0" hidden="1"/>
    </xf>
    <xf numFmtId="0" fontId="52" fillId="0" borderId="0" xfId="0" applyFont="1" applyAlignment="1">
      <alignment horizontal="center"/>
    </xf>
    <xf numFmtId="0" fontId="52" fillId="18" borderId="0" xfId="0" applyFont="1" applyFill="1" applyAlignment="1">
      <alignment horizontal="center"/>
    </xf>
    <xf numFmtId="0" fontId="56" fillId="19" borderId="0" xfId="0" applyFont="1" applyFill="1" applyAlignment="1">
      <alignment horizontal="left"/>
    </xf>
    <xf numFmtId="0" fontId="54" fillId="0" borderId="0" xfId="0" applyFont="1" applyAlignment="1">
      <alignment horizontal="left"/>
    </xf>
    <xf numFmtId="0" fontId="54" fillId="0" borderId="0" xfId="0" applyFont="1" applyAlignment="1">
      <alignment wrapText="1"/>
    </xf>
    <xf numFmtId="0" fontId="6" fillId="2" borderId="0" xfId="3" applyFont="1" applyFill="1" applyAlignment="1">
      <alignment horizontal="center"/>
    </xf>
    <xf numFmtId="0" fontId="5" fillId="0" borderId="0" xfId="3" applyFont="1" applyAlignment="1">
      <alignment horizontal="center"/>
    </xf>
    <xf numFmtId="0" fontId="22" fillId="0" borderId="10" xfId="0" applyFont="1" applyBorder="1" applyAlignment="1">
      <alignment horizontal="center"/>
    </xf>
    <xf numFmtId="0" fontId="22" fillId="0" borderId="11" xfId="0" applyFont="1" applyBorder="1" applyAlignment="1">
      <alignment horizontal="center"/>
    </xf>
    <xf numFmtId="0" fontId="22" fillId="0" borderId="12" xfId="0" applyFont="1" applyBorder="1" applyAlignment="1">
      <alignment horizontal="center"/>
    </xf>
    <xf numFmtId="0" fontId="4" fillId="0" borderId="0" xfId="3"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0" fillId="0" borderId="5" xfId="0" applyBorder="1" applyAlignment="1">
      <alignment horizontal="center" wrapText="1"/>
    </xf>
    <xf numFmtId="0" fontId="0" fillId="0" borderId="0" xfId="0" applyAlignment="1">
      <alignment horizontal="center" wrapText="1"/>
    </xf>
    <xf numFmtId="0" fontId="0" fillId="0" borderId="6" xfId="0" applyBorder="1" applyAlignment="1">
      <alignment horizontal="center" wrapText="1"/>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cellXfs>
  <cellStyles count="9">
    <cellStyle name="Comma 2" xfId="5" xr:uid="{00000000-0005-0000-0000-000000000000}"/>
    <cellStyle name="Comma 3" xfId="2" xr:uid="{00000000-0005-0000-0000-000001000000}"/>
    <cellStyle name="Lien hypertexte" xfId="8" builtinId="8"/>
    <cellStyle name="Normal" xfId="0" builtinId="0"/>
    <cellStyle name="Normal 2" xfId="3" xr:uid="{00000000-0005-0000-0000-000003000000}"/>
    <cellStyle name="Normal 3" xfId="4" xr:uid="{00000000-0005-0000-0000-000004000000}"/>
    <cellStyle name="Normal 4" xfId="1" xr:uid="{00000000-0005-0000-0000-000005000000}"/>
    <cellStyle name="Normal 4 2" xfId="7" xr:uid="{00000000-0005-0000-0000-000006000000}"/>
    <cellStyle name="Normal 4 3" xfId="6" xr:uid="{00000000-0005-0000-0000-000007000000}"/>
  </cellStyles>
  <dxfs count="23">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font>
      <fill>
        <patternFill>
          <bgColor theme="0" tint="-0.24994659260841701"/>
        </patternFill>
      </fill>
    </dxf>
    <dxf>
      <font>
        <strike/>
      </font>
      <fill>
        <patternFill>
          <bgColor theme="0" tint="-0.24994659260841701"/>
        </patternFill>
      </fill>
    </dxf>
    <dxf>
      <font>
        <strike/>
      </font>
      <fill>
        <patternFill>
          <bgColor theme="0" tint="-0.24994659260841701"/>
        </patternFill>
      </fill>
    </dxf>
    <dxf>
      <font>
        <strike/>
      </font>
      <fill>
        <patternFill>
          <bgColor theme="0" tint="-0.24994659260841701"/>
        </patternFill>
      </fill>
    </dxf>
    <dxf>
      <fill>
        <patternFill>
          <bgColor rgb="FFFF0000"/>
        </patternFill>
      </fill>
    </dxf>
    <dxf>
      <fill>
        <patternFill>
          <bgColor rgb="FFFF0000"/>
        </patternFill>
      </fill>
    </dxf>
    <dxf>
      <font>
        <strike/>
      </font>
      <fill>
        <patternFill>
          <bgColor theme="0" tint="-0.24994659260841701"/>
        </patternFill>
      </fill>
    </dxf>
    <dxf>
      <font>
        <color rgb="FFFF0000"/>
      </font>
    </dxf>
    <dxf>
      <font>
        <color rgb="FFFF0000"/>
      </font>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ont>
        <color auto="1"/>
      </font>
      <fill>
        <patternFill>
          <bgColor rgb="FFFFC000"/>
        </patternFill>
      </fill>
    </dxf>
    <dxf>
      <fill>
        <patternFill>
          <bgColor rgb="FFFF0000"/>
        </patternFill>
      </fill>
    </dxf>
    <dxf>
      <font>
        <color theme="0"/>
      </font>
      <fill>
        <patternFill>
          <bgColor theme="0"/>
        </patternFill>
      </fill>
      <border>
        <left style="hair">
          <color theme="0"/>
        </left>
        <right style="hair">
          <color theme="0"/>
        </right>
        <top style="hair">
          <color theme="0"/>
        </top>
        <bottom style="hair">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border>
        <left/>
        <right/>
        <top/>
        <bottom/>
        <vertical/>
        <horizontal/>
      </border>
    </dxf>
  </dxfs>
  <tableStyles count="0" defaultTableStyle="TableStyleMedium2" defaultPivotStyle="PivotStyleLight16"/>
  <colors>
    <mruColors>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Plant Transfer</a:t>
            </a:r>
            <a:r>
              <a:rPr lang="en-US" baseline="0"/>
              <a:t> Function</a:t>
            </a:r>
            <a:endParaRPr lang="en-US"/>
          </a:p>
        </c:rich>
      </c:tx>
      <c:overlay val="0"/>
    </c:title>
    <c:autoTitleDeleted val="0"/>
    <c:plotArea>
      <c:layout/>
      <c:scatterChart>
        <c:scatterStyle val="smoothMarker"/>
        <c:varyColors val="0"/>
        <c:ser>
          <c:idx val="0"/>
          <c:order val="0"/>
          <c:tx>
            <c:v>Gain(dB)</c:v>
          </c:tx>
          <c:marker>
            <c:symbol val="none"/>
          </c:marker>
          <c:xVal>
            <c:numRef>
              <c:f>CCM_Loop_Modeling_Isolated!$O$19:$O$560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CCM_Loop_Modeling_Isolated!$AD$19:$AD$560</c:f>
              <c:numCache>
                <c:formatCode>0.000</c:formatCode>
                <c:ptCount val="542"/>
                <c:pt idx="0">
                  <c:v>45.229677581699676</c:v>
                </c:pt>
                <c:pt idx="1">
                  <c:v>45.091983186428649</c:v>
                </c:pt>
                <c:pt idx="2">
                  <c:v>44.952330786927718</c:v>
                </c:pt>
                <c:pt idx="3">
                  <c:v>44.810755805230833</c:v>
                </c:pt>
                <c:pt idx="4">
                  <c:v>44.667294693017439</c:v>
                </c:pt>
                <c:pt idx="5">
                  <c:v>44.521984817182627</c:v>
                </c:pt>
                <c:pt idx="6">
                  <c:v>44.374864346337084</c:v>
                </c:pt>
                <c:pt idx="7">
                  <c:v>44.225972138849571</c:v>
                </c:pt>
                <c:pt idx="8">
                  <c:v>44.075347632993029</c:v>
                </c:pt>
                <c:pt idx="9">
                  <c:v>43.923030739711237</c:v>
                </c:pt>
                <c:pt idx="10">
                  <c:v>43.769061738468551</c:v>
                </c:pt>
                <c:pt idx="11">
                  <c:v>43.613481176593794</c:v>
                </c:pt>
                <c:pt idx="12">
                  <c:v>43.456329772475712</c:v>
                </c:pt>
                <c:pt idx="13">
                  <c:v>43.297648322916089</c:v>
                </c:pt>
                <c:pt idx="14">
                  <c:v>43.137477614892205</c:v>
                </c:pt>
                <c:pt idx="15">
                  <c:v>42.975858341932707</c:v>
                </c:pt>
                <c:pt idx="16">
                  <c:v>42.812831025259911</c:v>
                </c:pt>
                <c:pt idx="17">
                  <c:v>42.648435939808422</c:v>
                </c:pt>
                <c:pt idx="18">
                  <c:v>42.482713045183722</c:v>
                </c:pt>
                <c:pt idx="19">
                  <c:v>42.315701921586651</c:v>
                </c:pt>
                <c:pt idx="20">
                  <c:v>42.147441710692199</c:v>
                </c:pt>
                <c:pt idx="21">
                  <c:v>41.977971061435937</c:v>
                </c:pt>
                <c:pt idx="22">
                  <c:v>41.807328080634022</c:v>
                </c:pt>
                <c:pt idx="23">
                  <c:v>41.635550288333611</c:v>
                </c:pt>
                <c:pt idx="24">
                  <c:v>41.462674577768475</c:v>
                </c:pt>
                <c:pt idx="25">
                  <c:v>41.288737179773911</c:v>
                </c:pt>
                <c:pt idx="26">
                  <c:v>41.11377363149937</c:v>
                </c:pt>
                <c:pt idx="27">
                  <c:v>40.937818749241693</c:v>
                </c:pt>
                <c:pt idx="28">
                  <c:v>40.760906605211595</c:v>
                </c:pt>
                <c:pt idx="29">
                  <c:v>40.583070508039413</c:v>
                </c:pt>
                <c:pt idx="30">
                  <c:v>40.404342986816161</c:v>
                </c:pt>
                <c:pt idx="31">
                  <c:v>40.224755778466907</c:v>
                </c:pt>
                <c:pt idx="32">
                  <c:v>40.044339818249014</c:v>
                </c:pt>
                <c:pt idx="33">
                  <c:v>39.86312523316785</c:v>
                </c:pt>
                <c:pt idx="34">
                  <c:v>39.681141338106436</c:v>
                </c:pt>
                <c:pt idx="35">
                  <c:v>39.498416634466246</c:v>
                </c:pt>
                <c:pt idx="36">
                  <c:v>39.314978811122721</c:v>
                </c:pt>
                <c:pt idx="37">
                  <c:v>39.130854747502681</c:v>
                </c:pt>
                <c:pt idx="38">
                  <c:v>38.946070518598766</c:v>
                </c:pt>
                <c:pt idx="39">
                  <c:v>38.760651401741235</c:v>
                </c:pt>
                <c:pt idx="40">
                  <c:v>38.574621884956898</c:v>
                </c:pt>
                <c:pt idx="41">
                  <c:v>38.388005676750161</c:v>
                </c:pt>
                <c:pt idx="42">
                  <c:v>38.200825717152441</c:v>
                </c:pt>
                <c:pt idx="43">
                  <c:v>38.013104189892189</c:v>
                </c:pt>
                <c:pt idx="44">
                  <c:v>37.82486253554675</c:v>
                </c:pt>
                <c:pt idx="45">
                  <c:v>37.636121465546637</c:v>
                </c:pt>
                <c:pt idx="46">
                  <c:v>37.446900976910008</c:v>
                </c:pt>
                <c:pt idx="47">
                  <c:v>37.257220367594158</c:v>
                </c:pt>
                <c:pt idx="48">
                  <c:v>37.067098252358292</c:v>
                </c:pt>
                <c:pt idx="49">
                  <c:v>36.876552579040464</c:v>
                </c:pt>
                <c:pt idx="50">
                  <c:v>36.685600645158139</c:v>
                </c:pt>
                <c:pt idx="51">
                  <c:v>36.494259114750214</c:v>
                </c:pt>
                <c:pt idx="52">
                  <c:v>36.302544035384599</c:v>
                </c:pt>
                <c:pt idx="53">
                  <c:v>36.110470855261859</c:v>
                </c:pt>
                <c:pt idx="54">
                  <c:v>35.91805444035338</c:v>
                </c:pt>
                <c:pt idx="55">
                  <c:v>35.72530909151596</c:v>
                </c:pt>
                <c:pt idx="56">
                  <c:v>35.532248561532874</c:v>
                </c:pt>
                <c:pt idx="57">
                  <c:v>35.338886072035088</c:v>
                </c:pt>
                <c:pt idx="58">
                  <c:v>35.145234330261928</c:v>
                </c:pt>
                <c:pt idx="59">
                  <c:v>34.951305545625601</c:v>
                </c:pt>
                <c:pt idx="60">
                  <c:v>34.757111446046814</c:v>
                </c:pt>
                <c:pt idx="61">
                  <c:v>34.562663294034834</c:v>
                </c:pt>
                <c:pt idx="62">
                  <c:v>34.367971902487355</c:v>
                </c:pt>
                <c:pt idx="63">
                  <c:v>34.173047650189304</c:v>
                </c:pt>
                <c:pt idx="64">
                  <c:v>33.97790049699384</c:v>
                </c:pt>
                <c:pt idx="65">
                  <c:v>33.782539998670927</c:v>
                </c:pt>
                <c:pt idx="66">
                  <c:v>33.586975321410705</c:v>
                </c:pt>
                <c:pt idx="67">
                  <c:v>33.391215255973286</c:v>
                </c:pt>
                <c:pt idx="68">
                  <c:v>33.195268231477428</c:v>
                </c:pt>
                <c:pt idx="69">
                  <c:v>32.999142328822309</c:v>
                </c:pt>
                <c:pt idx="70">
                  <c:v>32.802845293739352</c:v>
                </c:pt>
                <c:pt idx="71">
                  <c:v>32.606384549472615</c:v>
                </c:pt>
                <c:pt idx="72">
                  <c:v>32.409767209086588</c:v>
                </c:pt>
                <c:pt idx="73">
                  <c:v>32.21300008740269</c:v>
                </c:pt>
                <c:pt idx="74">
                  <c:v>32.016089712566838</c:v>
                </c:pt>
                <c:pt idx="75">
                  <c:v>31.819042337250657</c:v>
                </c:pt>
                <c:pt idx="76">
                  <c:v>31.621863949490386</c:v>
                </c:pt>
                <c:pt idx="77">
                  <c:v>31.424560283168891</c:v>
                </c:pt>
                <c:pt idx="78">
                  <c:v>31.227136828145227</c:v>
                </c:pt>
                <c:pt idx="79">
                  <c:v>31.029598840038602</c:v>
                </c:pt>
                <c:pt idx="80">
                  <c:v>30.831951349672956</c:v>
                </c:pt>
                <c:pt idx="81">
                  <c:v>30.634199172189014</c:v>
                </c:pt>
                <c:pt idx="82">
                  <c:v>30.436346915831436</c:v>
                </c:pt>
                <c:pt idx="83">
                  <c:v>30.23839899041829</c:v>
                </c:pt>
                <c:pt idx="84">
                  <c:v>30.040359615501004</c:v>
                </c:pt>
                <c:pt idx="85">
                  <c:v>29.842232828222329</c:v>
                </c:pt>
                <c:pt idx="86">
                  <c:v>29.644022490881188</c:v>
                </c:pt>
                <c:pt idx="87">
                  <c:v>29.445732298211706</c:v>
                </c:pt>
                <c:pt idx="88">
                  <c:v>29.247365784384698</c:v>
                </c:pt>
                <c:pt idx="89">
                  <c:v>29.048926329741633</c:v>
                </c:pt>
                <c:pt idx="90">
                  <c:v>28.850417167266109</c:v>
                </c:pt>
                <c:pt idx="91">
                  <c:v>28.651841388803561</c:v>
                </c:pt>
                <c:pt idx="92">
                  <c:v>28.45320195103713</c:v>
                </c:pt>
                <c:pt idx="93">
                  <c:v>28.254501681225719</c:v>
                </c:pt>
                <c:pt idx="94">
                  <c:v>28.055743282714513</c:v>
                </c:pt>
                <c:pt idx="95">
                  <c:v>27.856929340224092</c:v>
                </c:pt>
                <c:pt idx="96">
                  <c:v>27.658062324926863</c:v>
                </c:pt>
                <c:pt idx="97">
                  <c:v>27.459144599317131</c:v>
                </c:pt>
                <c:pt idx="98">
                  <c:v>27.260178421883403</c:v>
                </c:pt>
                <c:pt idx="99">
                  <c:v>27.061165951589075</c:v>
                </c:pt>
                <c:pt idx="100">
                  <c:v>26.862109252168924</c:v>
                </c:pt>
                <c:pt idx="101">
                  <c:v>26.663010296248117</c:v>
                </c:pt>
                <c:pt idx="102">
                  <c:v>26.463870969290511</c:v>
                </c:pt>
                <c:pt idx="103">
                  <c:v>26.264693073382553</c:v>
                </c:pt>
                <c:pt idx="104">
                  <c:v>26.065478330858799</c:v>
                </c:pt>
                <c:pt idx="105">
                  <c:v>25.866228387775585</c:v>
                </c:pt>
                <c:pt idx="106">
                  <c:v>25.666944817238765</c:v>
                </c:pt>
                <c:pt idx="107">
                  <c:v>25.467629122590147</c:v>
                </c:pt>
                <c:pt idx="108">
                  <c:v>25.268282740460211</c:v>
                </c:pt>
                <c:pt idx="109">
                  <c:v>25.068907043690231</c:v>
                </c:pt>
                <c:pt idx="110">
                  <c:v>24.869503344130006</c:v>
                </c:pt>
                <c:pt idx="111">
                  <c:v>24.670072895317297</c:v>
                </c:pt>
                <c:pt idx="112">
                  <c:v>24.47061689504093</c:v>
                </c:pt>
                <c:pt idx="113">
                  <c:v>24.271136487795467</c:v>
                </c:pt>
                <c:pt idx="114">
                  <c:v>24.071632767129284</c:v>
                </c:pt>
                <c:pt idx="115">
                  <c:v>23.872106777892203</c:v>
                </c:pt>
                <c:pt idx="116">
                  <c:v>23.672559518385988</c:v>
                </c:pt>
                <c:pt idx="117">
                  <c:v>23.472991942421309</c:v>
                </c:pt>
                <c:pt idx="118">
                  <c:v>23.273404961286523</c:v>
                </c:pt>
                <c:pt idx="119">
                  <c:v>23.073799445630172</c:v>
                </c:pt>
                <c:pt idx="120">
                  <c:v>22.874176227262623</c:v>
                </c:pt>
                <c:pt idx="121">
                  <c:v>22.674536100877841</c:v>
                </c:pt>
                <c:pt idx="122">
                  <c:v>22.474879825701976</c:v>
                </c:pt>
                <c:pt idx="123">
                  <c:v>22.275208127068346</c:v>
                </c:pt>
                <c:pt idx="124">
                  <c:v>22.075521697924625</c:v>
                </c:pt>
                <c:pt idx="125">
                  <c:v>21.875821200274022</c:v>
                </c:pt>
                <c:pt idx="126">
                  <c:v>21.676107266552243</c:v>
                </c:pt>
                <c:pt idx="127">
                  <c:v>21.476380500945798</c:v>
                </c:pt>
                <c:pt idx="128">
                  <c:v>21.276641480651364</c:v>
                </c:pt>
                <c:pt idx="129">
                  <c:v>21.076890757079823</c:v>
                </c:pt>
                <c:pt idx="130">
                  <c:v>20.877128857007705</c:v>
                </c:pt>
                <c:pt idx="131">
                  <c:v>20.67735628367803</c:v>
                </c:pt>
                <c:pt idx="132">
                  <c:v>20.477573517852463</c:v>
                </c:pt>
                <c:pt idx="133">
                  <c:v>20.277781018817244</c:v>
                </c:pt>
                <c:pt idx="134">
                  <c:v>20.077979225344432</c:v>
                </c:pt>
                <c:pt idx="135">
                  <c:v>19.878168556611556</c:v>
                </c:pt>
                <c:pt idx="136">
                  <c:v>19.678349413079946</c:v>
                </c:pt>
                <c:pt idx="137">
                  <c:v>19.478522177334256</c:v>
                </c:pt>
                <c:pt idx="138">
                  <c:v>19.278687214885931</c:v>
                </c:pt>
                <c:pt idx="139">
                  <c:v>19.078844874939719</c:v>
                </c:pt>
                <c:pt idx="140">
                  <c:v>18.878995491127792</c:v>
                </c:pt>
                <c:pt idx="141">
                  <c:v>18.679139382210142</c:v>
                </c:pt>
                <c:pt idx="142">
                  <c:v>18.479276852745073</c:v>
                </c:pt>
                <c:pt idx="143">
                  <c:v>18.279408193729555</c:v>
                </c:pt>
                <c:pt idx="144">
                  <c:v>18.079533683211352</c:v>
                </c:pt>
                <c:pt idx="145">
                  <c:v>17.879653586874181</c:v>
                </c:pt>
                <c:pt idx="146">
                  <c:v>17.679768158597184</c:v>
                </c:pt>
                <c:pt idx="147">
                  <c:v>17.479877640989546</c:v>
                </c:pt>
                <c:pt idx="148">
                  <c:v>17.279982265901431</c:v>
                </c:pt>
                <c:pt idx="149">
                  <c:v>17.080082254912931</c:v>
                </c:pt>
                <c:pt idx="150">
                  <c:v>16.880177819800842</c:v>
                </c:pt>
                <c:pt idx="151">
                  <c:v>16.680269162985283</c:v>
                </c:pt>
                <c:pt idx="152">
                  <c:v>16.480356477956924</c:v>
                </c:pt>
                <c:pt idx="153">
                  <c:v>16.280439949684617</c:v>
                </c:pt>
                <c:pt idx="154">
                  <c:v>16.080519755006321</c:v>
                </c:pt>
                <c:pt idx="155">
                  <c:v>15.880596063001954</c:v>
                </c:pt>
                <c:pt idx="156">
                  <c:v>15.68066903535062</c:v>
                </c:pt>
                <c:pt idx="157">
                  <c:v>15.48073882667186</c:v>
                </c:pt>
                <c:pt idx="158">
                  <c:v>15.280805584852232</c:v>
                </c:pt>
                <c:pt idx="159">
                  <c:v>15.080869451357817</c:v>
                </c:pt>
                <c:pt idx="160">
                  <c:v>14.88093056153299</c:v>
                </c:pt>
                <c:pt idx="161">
                  <c:v>14.680989044886664</c:v>
                </c:pt>
                <c:pt idx="162">
                  <c:v>14.481045025365773</c:v>
                </c:pt>
                <c:pt idx="163">
                  <c:v>14.281098621617536</c:v>
                </c:pt>
                <c:pt idx="164">
                  <c:v>14.081149947240036</c:v>
                </c:pt>
                <c:pt idx="165">
                  <c:v>13.881199111022791</c:v>
                </c:pt>
                <c:pt idx="166">
                  <c:v>13.681246217176504</c:v>
                </c:pt>
                <c:pt idx="167">
                  <c:v>13.481291365553691</c:v>
                </c:pt>
                <c:pt idx="168">
                  <c:v>13.281334651859931</c:v>
                </c:pt>
                <c:pt idx="169">
                  <c:v>13.081376167856247</c:v>
                </c:pt>
                <c:pt idx="170">
                  <c:v>12.881416001553351</c:v>
                </c:pt>
                <c:pt idx="171">
                  <c:v>12.681454237397872</c:v>
                </c:pt>
                <c:pt idx="172">
                  <c:v>12.48149095645115</c:v>
                </c:pt>
                <c:pt idx="173">
                  <c:v>12.281526236560707</c:v>
                </c:pt>
                <c:pt idx="174">
                  <c:v>12.081560152525155</c:v>
                </c:pt>
                <c:pt idx="175">
                  <c:v>11.881592776252525</c:v>
                </c:pt>
                <c:pt idx="176">
                  <c:v>11.681624176912415</c:v>
                </c:pt>
                <c:pt idx="177">
                  <c:v>11.481654421082666</c:v>
                </c:pt>
                <c:pt idx="178">
                  <c:v>11.281683572890147</c:v>
                </c:pt>
                <c:pt idx="179">
                  <c:v>11.081711694146641</c:v>
                </c:pt>
                <c:pt idx="180">
                  <c:v>10.881738844479909</c:v>
                </c:pt>
                <c:pt idx="181">
                  <c:v>10.681765081459639</c:v>
                </c:pt>
                <c:pt idx="182">
                  <c:v>10.481790460719733</c:v>
                </c:pt>
                <c:pt idx="183">
                  <c:v>10.281815036076019</c:v>
                </c:pt>
                <c:pt idx="184">
                  <c:v>10.081838859640264</c:v>
                </c:pt>
                <c:pt idx="185">
                  <c:v>9.8818619819304363</c:v>
                </c:pt>
                <c:pt idx="186">
                  <c:v>9.6818844519781422</c:v>
                </c:pt>
                <c:pt idx="187">
                  <c:v>9.4819063174320544</c:v>
                </c:pt>
                <c:pt idx="188">
                  <c:v>9.2819276246589162</c:v>
                </c:pt>
                <c:pt idx="189">
                  <c:v>9.0819484188423818</c:v>
                </c:pt>
                <c:pt idx="190">
                  <c:v>8.8819687440778576</c:v>
                </c:pt>
                <c:pt idx="191">
                  <c:v>8.6819886434664166</c:v>
                </c:pt>
                <c:pt idx="192">
                  <c:v>8.4820081592064867</c:v>
                </c:pt>
                <c:pt idx="193">
                  <c:v>8.2820273326822615</c:v>
                </c:pt>
                <c:pt idx="194">
                  <c:v>8.0820462045524923</c:v>
                </c:pt>
                <c:pt idx="195">
                  <c:v>7.8820648148358829</c:v>
                </c:pt>
                <c:pt idx="196">
                  <c:v>7.6820832029961439</c:v>
                </c:pt>
                <c:pt idx="197">
                  <c:v>7.4821014080256232</c:v>
                </c:pt>
                <c:pt idx="198">
                  <c:v>7.2821194685279718</c:v>
                </c:pt>
                <c:pt idx="199">
                  <c:v>7.0821374227996534</c:v>
                </c:pt>
                <c:pt idx="200">
                  <c:v>6.8821553089113987</c:v>
                </c:pt>
                <c:pt idx="201">
                  <c:v>6.682173164788729</c:v>
                </c:pt>
                <c:pt idx="202">
                  <c:v>6.4821910282922524</c:v>
                </c:pt>
                <c:pt idx="203">
                  <c:v>6.2822089372977485</c:v>
                </c:pt>
                <c:pt idx="204">
                  <c:v>6.0822269297766525</c:v>
                </c:pt>
                <c:pt idx="205">
                  <c:v>5.8822450438762806</c:v>
                </c:pt>
                <c:pt idx="206">
                  <c:v>5.6822633180006168</c:v>
                </c:pt>
                <c:pt idx="207">
                  <c:v>5.4822817908915766</c:v>
                </c:pt>
                <c:pt idx="208">
                  <c:v>5.2823005017111937</c:v>
                </c:pt>
                <c:pt idx="209">
                  <c:v>5.0823194901242292</c:v>
                </c:pt>
                <c:pt idx="210">
                  <c:v>4.8823387963824718</c:v>
                </c:pt>
                <c:pt idx="211">
                  <c:v>4.6823584614094651</c:v>
                </c:pt>
                <c:pt idx="212">
                  <c:v>4.4823785268873655</c:v>
                </c:pt>
                <c:pt idx="213">
                  <c:v>4.2823990353452226</c:v>
                </c:pt>
                <c:pt idx="214">
                  <c:v>4.0824200302485476</c:v>
                </c:pt>
                <c:pt idx="215">
                  <c:v>3.8824415560913565</c:v>
                </c:pt>
                <c:pt idx="216">
                  <c:v>3.6824636584903518</c:v>
                </c:pt>
                <c:pt idx="217">
                  <c:v>3.4824863842811964</c:v>
                </c:pt>
                <c:pt idx="218">
                  <c:v>3.2825097816176281</c:v>
                </c:pt>
                <c:pt idx="219">
                  <c:v>3.0825339000726615</c:v>
                </c:pt>
                <c:pt idx="220">
                  <c:v>2.882558790744048</c:v>
                </c:pt>
                <c:pt idx="221">
                  <c:v>2.6825845063614451</c:v>
                </c:pt>
                <c:pt idx="222">
                  <c:v>2.4826111013981227</c:v>
                </c:pt>
                <c:pt idx="223">
                  <c:v>2.2826386321857211</c:v>
                </c:pt>
                <c:pt idx="224">
                  <c:v>2.0826671570329953</c:v>
                </c:pt>
                <c:pt idx="225">
                  <c:v>1.8826967363491836</c:v>
                </c:pt>
                <c:pt idx="226">
                  <c:v>1.6827274327704813</c:v>
                </c:pt>
                <c:pt idx="227">
                  <c:v>1.482759311292817</c:v>
                </c:pt>
                <c:pt idx="228">
                  <c:v>1.2827924394084944</c:v>
                </c:pt>
                <c:pt idx="229">
                  <c:v>1.0828268872482076</c:v>
                </c:pt>
                <c:pt idx="230">
                  <c:v>0.88286272772844154</c:v>
                </c:pt>
                <c:pt idx="231">
                  <c:v>0.68290003670521626</c:v>
                </c:pt>
                <c:pt idx="232">
                  <c:v>0.48293889313347832</c:v>
                </c:pt>
                <c:pt idx="233">
                  <c:v>0.28297937923290506</c:v>
                </c:pt>
                <c:pt idx="234">
                  <c:v>8.3021580660543159E-2</c:v>
                </c:pt>
                <c:pt idx="235">
                  <c:v>-0.11693441330902851</c:v>
                </c:pt>
                <c:pt idx="236">
                  <c:v>-0.31688850959666537</c:v>
                </c:pt>
                <c:pt idx="237">
                  <c:v>-0.51684061112334734</c:v>
                </c:pt>
                <c:pt idx="238">
                  <c:v>-0.71679061660674259</c:v>
                </c:pt>
                <c:pt idx="239">
                  <c:v>-0.91673842034908826</c:v>
                </c:pt>
                <c:pt idx="240">
                  <c:v>-1.1166839120156937</c:v>
                </c:pt>
                <c:pt idx="241">
                  <c:v>-1.3166269764044622</c:v>
                </c:pt>
                <c:pt idx="242">
                  <c:v>-1.5165674932049311</c:v>
                </c:pt>
                <c:pt idx="243">
                  <c:v>-1.7165053367468137</c:v>
                </c:pt>
                <c:pt idx="244">
                  <c:v>-1.9164403757378048</c:v>
                </c:pt>
                <c:pt idx="245">
                  <c:v>-2.116372472989891</c:v>
                </c:pt>
                <c:pt idx="246">
                  <c:v>-2.316301485133105</c:v>
                </c:pt>
                <c:pt idx="247">
                  <c:v>-2.5162272623172526</c:v>
                </c:pt>
                <c:pt idx="248">
                  <c:v>-2.7161496479001697</c:v>
                </c:pt>
                <c:pt idx="249">
                  <c:v>-2.9160684781221109</c:v>
                </c:pt>
                <c:pt idx="250">
                  <c:v>-3.1159835817658035</c:v>
                </c:pt>
                <c:pt idx="251">
                  <c:v>-3.3158947798013068</c:v>
                </c:pt>
                <c:pt idx="252">
                  <c:v>-3.515801885015037</c:v>
                </c:pt>
                <c:pt idx="253">
                  <c:v>-3.7157047016224594</c:v>
                </c:pt>
                <c:pt idx="254">
                  <c:v>-3.9156030248633327</c:v>
                </c:pt>
                <c:pt idx="255">
                  <c:v>-4.1154966405792548</c:v>
                </c:pt>
                <c:pt idx="256">
                  <c:v>-4.3153853247717491</c:v>
                </c:pt>
                <c:pt idx="257">
                  <c:v>-4.5152688431414214</c:v>
                </c:pt>
                <c:pt idx="258">
                  <c:v>-4.7151469506062309</c:v>
                </c:pt>
                <c:pt idx="259">
                  <c:v>-4.9150193907983111</c:v>
                </c:pt>
                <c:pt idx="260">
                  <c:v>-5.1148858955387588</c:v>
                </c:pt>
                <c:pt idx="261">
                  <c:v>-5.3147461842887287</c:v>
                </c:pt>
                <c:pt idx="262">
                  <c:v>-5.5145999635766145</c:v>
                </c:pt>
                <c:pt idx="263">
                  <c:v>-5.7144469263996278</c:v>
                </c:pt>
                <c:pt idx="264">
                  <c:v>-5.9142867515993345</c:v>
                </c:pt>
                <c:pt idx="265">
                  <c:v>-6.1141191032092141</c:v>
                </c:pt>
                <c:pt idx="266">
                  <c:v>-6.3139436297739584</c:v>
                </c:pt>
                <c:pt idx="267">
                  <c:v>-6.5137599636388996</c:v>
                </c:pt>
                <c:pt idx="268">
                  <c:v>-6.7135677202083368</c:v>
                </c:pt>
                <c:pt idx="269">
                  <c:v>-6.9133664971715705</c:v>
                </c:pt>
                <c:pt idx="270">
                  <c:v>-7.1131558736952885</c:v>
                </c:pt>
                <c:pt idx="271">
                  <c:v>-7.3129354095814536</c:v>
                </c:pt>
                <c:pt idx="272">
                  <c:v>-7.51270464438816</c:v>
                </c:pt>
                <c:pt idx="273">
                  <c:v>-7.7124630965135132</c:v>
                </c:pt>
                <c:pt idx="274">
                  <c:v>-7.9122102622398831</c:v>
                </c:pt>
                <c:pt idx="275">
                  <c:v>-8.1119456147377473</c:v>
                </c:pt>
                <c:pt idx="276">
                  <c:v>-8.3116686030274103</c:v>
                </c:pt>
                <c:pt idx="277">
                  <c:v>-8.511378650896809</c:v>
                </c:pt>
                <c:pt idx="278">
                  <c:v>-8.7110751557741644</c:v>
                </c:pt>
                <c:pt idx="279">
                  <c:v>-8.9107574875537825</c:v>
                </c:pt>
                <c:pt idx="280">
                  <c:v>-9.1104249873732748</c:v>
                </c:pt>
                <c:pt idx="281">
                  <c:v>-9.3100769663401515</c:v>
                </c:pt>
                <c:pt idx="282">
                  <c:v>-9.5097127042074057</c:v>
                </c:pt>
                <c:pt idx="283">
                  <c:v>-9.7093314479944652</c:v>
                </c:pt>
                <c:pt idx="284">
                  <c:v>-9.9089324105535077</c:v>
                </c:pt>
                <c:pt idx="285">
                  <c:v>-10.108514769078351</c:v>
                </c:pt>
                <c:pt idx="286">
                  <c:v>-10.308077663554705</c:v>
                </c:pt>
                <c:pt idx="287">
                  <c:v>-10.507620195149832</c:v>
                </c:pt>
                <c:pt idx="288">
                  <c:v>-10.70714142454028</c:v>
                </c:pt>
                <c:pt idx="289">
                  <c:v>-10.906640370175122</c:v>
                </c:pt>
                <c:pt idx="290">
                  <c:v>-11.106116006474076</c:v>
                </c:pt>
                <c:pt idx="291">
                  <c:v>-11.30556726195881</c:v>
                </c:pt>
                <c:pt idx="292">
                  <c:v>-11.504993017314618</c:v>
                </c:pt>
                <c:pt idx="293">
                  <c:v>-11.704392103382821</c:v>
                </c:pt>
                <c:pt idx="294">
                  <c:v>-11.903763299081289</c:v>
                </c:pt>
                <c:pt idx="295">
                  <c:v>-12.103105329251918</c:v>
                </c:pt>
                <c:pt idx="296">
                  <c:v>-12.3024168624344</c:v>
                </c:pt>
                <c:pt idx="297">
                  <c:v>-12.501696508565264</c:v>
                </c:pt>
                <c:pt idx="298">
                  <c:v>-12.700942816600204</c:v>
                </c:pt>
                <c:pt idx="299">
                  <c:v>-12.900154272060862</c:v>
                </c:pt>
                <c:pt idx="300">
                  <c:v>-13.099329294504059</c:v>
                </c:pt>
                <c:pt idx="301">
                  <c:v>-13.298466234914297</c:v>
                </c:pt>
                <c:pt idx="302">
                  <c:v>-13.497563373018897</c:v>
                </c:pt>
                <c:pt idx="303">
                  <c:v>-13.696618914527086</c:v>
                </c:pt>
                <c:pt idx="304">
                  <c:v>-13.895630988292439</c:v>
                </c:pt>
                <c:pt idx="305">
                  <c:v>-14.094597643401549</c:v>
                </c:pt>
                <c:pt idx="306">
                  <c:v>-14.293516846189402</c:v>
                </c:pt>
                <c:pt idx="307">
                  <c:v>-14.492386477183533</c:v>
                </c:pt>
                <c:pt idx="308">
                  <c:v>-14.691204327980534</c:v>
                </c:pt>
                <c:pt idx="309">
                  <c:v>-14.889968098057269</c:v>
                </c:pt>
                <c:pt idx="310">
                  <c:v>-15.088675391521512</c:v>
                </c:pt>
                <c:pt idx="311">
                  <c:v>-15.287323713805483</c:v>
                </c:pt>
                <c:pt idx="312">
                  <c:v>-15.485910468309971</c:v>
                </c:pt>
                <c:pt idx="313">
                  <c:v>-15.684432953002485</c:v>
                </c:pt>
                <c:pt idx="314">
                  <c:v>-15.882888356979477</c:v>
                </c:pt>
                <c:pt idx="315">
                  <c:v>-16.08127375699943</c:v>
                </c:pt>
                <c:pt idx="316">
                  <c:v>-16.279586113996711</c:v>
                </c:pt>
                <c:pt idx="317">
                  <c:v>-16.477822269586685</c:v>
                </c:pt>
                <c:pt idx="318">
                  <c:v>-16.675978942575171</c:v>
                </c:pt>
                <c:pt idx="319">
                  <c:v>-16.874052725483967</c:v>
                </c:pt>
                <c:pt idx="320">
                  <c:v>-17.072040081109421</c:v>
                </c:pt>
                <c:pt idx="321">
                  <c:v>-17.269937339128699</c:v>
                </c:pt>
                <c:pt idx="322">
                  <c:v>-17.467740692773756</c:v>
                </c:pt>
                <c:pt idx="323">
                  <c:v>-17.665446195592637</c:v>
                </c:pt>
                <c:pt idx="324">
                  <c:v>-17.863049758320017</c:v>
                </c:pt>
                <c:pt idx="325">
                  <c:v>-18.060547145882282</c:v>
                </c:pt>
                <c:pt idx="326">
                  <c:v>-18.257933974561912</c:v>
                </c:pt>
                <c:pt idx="327">
                  <c:v>-18.455205709352668</c:v>
                </c:pt>
                <c:pt idx="328">
                  <c:v>-18.652357661533738</c:v>
                </c:pt>
                <c:pt idx="329">
                  <c:v>-18.849384986500279</c:v>
                </c:pt>
                <c:pt idx="330">
                  <c:v>-19.046282681882744</c:v>
                </c:pt>
                <c:pt idx="331">
                  <c:v>-19.243045585997788</c:v>
                </c:pt>
                <c:pt idx="332">
                  <c:v>-19.439668376670273</c:v>
                </c:pt>
                <c:pt idx="333">
                  <c:v>-19.636145570472362</c:v>
                </c:pt>
                <c:pt idx="334">
                  <c:v>-19.832471522426939</c:v>
                </c:pt>
                <c:pt idx="335">
                  <c:v>-20.028640426225792</c:v>
                </c:pt>
                <c:pt idx="336">
                  <c:v>-20.224646315015541</c:v>
                </c:pt>
                <c:pt idx="337">
                  <c:v>-20.420483062808657</c:v>
                </c:pt>
                <c:pt idx="338">
                  <c:v>-20.616144386577172</c:v>
                </c:pt>
                <c:pt idx="339">
                  <c:v>-20.81162384909053</c:v>
                </c:pt>
                <c:pt idx="340">
                  <c:v>-21.006914862562166</c:v>
                </c:pt>
                <c:pt idx="341">
                  <c:v>-21.202010693170191</c:v>
                </c:pt>
                <c:pt idx="342">
                  <c:v>-21.396904466519658</c:v>
                </c:pt>
                <c:pt idx="343">
                  <c:v>-21.59158917411597</c:v>
                </c:pt>
                <c:pt idx="344">
                  <c:v>-21.786057680919377</c:v>
                </c:pt>
                <c:pt idx="345">
                  <c:v>-21.980302734051257</c:v>
                </c:pt>
                <c:pt idx="346">
                  <c:v>-22.174316972723048</c:v>
                </c:pt>
                <c:pt idx="347">
                  <c:v>-22.368092939455853</c:v>
                </c:pt>
                <c:pt idx="348">
                  <c:v>-22.56162309266136</c:v>
                </c:pt>
                <c:pt idx="349">
                  <c:v>-22.754899820646784</c:v>
                </c:pt>
                <c:pt idx="350">
                  <c:v>-22.947915457106895</c:v>
                </c:pt>
                <c:pt idx="351">
                  <c:v>-23.140662298160084</c:v>
                </c:pt>
                <c:pt idx="352">
                  <c:v>-23.333132620979079</c:v>
                </c:pt>
                <c:pt idx="353">
                  <c:v>-23.525318704059739</c:v>
                </c:pt>
                <c:pt idx="354">
                  <c:v>-23.717212849163975</c:v>
                </c:pt>
                <c:pt idx="355">
                  <c:v>-23.908807404959838</c:v>
                </c:pt>
                <c:pt idx="356">
                  <c:v>-24.100094792372406</c:v>
                </c:pt>
                <c:pt idx="357">
                  <c:v>-24.291067531644018</c:v>
                </c:pt>
                <c:pt idx="358">
                  <c:v>-24.481718271087626</c:v>
                </c:pt>
                <c:pt idx="359">
                  <c:v>-24.672039817499165</c:v>
                </c:pt>
                <c:pt idx="360">
                  <c:v>-24.862025168176896</c:v>
                </c:pt>
                <c:pt idx="361">
                  <c:v>-25.051667544473851</c:v>
                </c:pt>
                <c:pt idx="362">
                  <c:v>-25.240960426787382</c:v>
                </c:pt>
                <c:pt idx="363">
                  <c:v>-25.429897590866794</c:v>
                </c:pt>
                <c:pt idx="364">
                  <c:v>-25.618473145292363</c:v>
                </c:pt>
                <c:pt idx="365">
                  <c:v>-25.806681569953817</c:v>
                </c:pt>
                <c:pt idx="366">
                  <c:v>-25.994517755329124</c:v>
                </c:pt>
                <c:pt idx="367">
                  <c:v>-26.181977042333301</c:v>
                </c:pt>
                <c:pt idx="368">
                  <c:v>-26.369055262480817</c:v>
                </c:pt>
                <c:pt idx="369">
                  <c:v>-26.555748778074712</c:v>
                </c:pt>
                <c:pt idx="370">
                  <c:v>-26.742054522107431</c:v>
                </c:pt>
                <c:pt idx="371">
                  <c:v>-26.927970037531392</c:v>
                </c:pt>
                <c:pt idx="372">
                  <c:v>-27.113493515531353</c:v>
                </c:pt>
                <c:pt idx="373">
                  <c:v>-27.298623832406591</c:v>
                </c:pt>
                <c:pt idx="374">
                  <c:v>-27.483360584651347</c:v>
                </c:pt>
                <c:pt idx="375">
                  <c:v>-27.667704121803567</c:v>
                </c:pt>
                <c:pt idx="376">
                  <c:v>-27.85165557661934</c:v>
                </c:pt>
                <c:pt idx="377">
                  <c:v>-28.035216892122683</c:v>
                </c:pt>
                <c:pt idx="378">
                  <c:v>-28.218390845076375</c:v>
                </c:pt>
                <c:pt idx="379">
                  <c:v>-28.401181065424133</c:v>
                </c:pt>
                <c:pt idx="380">
                  <c:v>-28.583592051262393</c:v>
                </c:pt>
                <c:pt idx="381">
                  <c:v>-28.765629178917958</c:v>
                </c:pt>
                <c:pt idx="382">
                  <c:v>-28.947298707731409</c:v>
                </c:pt>
                <c:pt idx="383">
                  <c:v>-29.128607779176754</c:v>
                </c:pt>
                <c:pt idx="384">
                  <c:v>-29.30956440998736</c:v>
                </c:pt>
                <c:pt idx="385">
                  <c:v>-29.490177479003719</c:v>
                </c:pt>
                <c:pt idx="386">
                  <c:v>-29.670456707512621</c:v>
                </c:pt>
                <c:pt idx="387">
                  <c:v>-29.850412632906504</c:v>
                </c:pt>
                <c:pt idx="388">
                  <c:v>-30.030056575557062</c:v>
                </c:pt>
                <c:pt idx="389">
                  <c:v>-30.209400598869482</c:v>
                </c:pt>
                <c:pt idx="390">
                  <c:v>-30.38845746255689</c:v>
                </c:pt>
                <c:pt idx="391">
                  <c:v>-30.567240569254658</c:v>
                </c:pt>
                <c:pt idx="392">
                  <c:v>-30.745763904669854</c:v>
                </c:pt>
                <c:pt idx="393">
                  <c:v>-30.924041971547254</c:v>
                </c:pt>
                <c:pt idx="394">
                  <c:v>-31.102089717804276</c:v>
                </c:pt>
                <c:pt idx="395">
                  <c:v>-31.279922459269827</c:v>
                </c:pt>
                <c:pt idx="396">
                  <c:v>-31.457555797529224</c:v>
                </c:pt>
                <c:pt idx="397">
                  <c:v>-31.635005533445074</c:v>
                </c:pt>
                <c:pt idx="398">
                  <c:v>-31.812287576982389</c:v>
                </c:pt>
                <c:pt idx="399">
                  <c:v>-31.989417854017361</c:v>
                </c:pt>
                <c:pt idx="400">
                  <c:v>-32.166412210848968</c:v>
                </c:pt>
                <c:pt idx="401">
                  <c:v>-32.343286317163702</c:v>
                </c:pt>
                <c:pt idx="402">
                  <c:v>-32.520055568224393</c:v>
                </c:pt>
                <c:pt idx="403">
                  <c:v>-32.696734987061703</c:v>
                </c:pt>
                <c:pt idx="404">
                  <c:v>-32.873339127442293</c:v>
                </c:pt>
                <c:pt idx="405">
                  <c:v>-33.049881978375588</c:v>
                </c:pt>
                <c:pt idx="406">
                  <c:v>-33.226376870893162</c:v>
                </c:pt>
                <c:pt idx="407">
                  <c:v>-33.402836387798651</c:v>
                </c:pt>
                <c:pt idx="408">
                  <c:v>-33.579272277041255</c:v>
                </c:pt>
                <c:pt idx="409">
                  <c:v>-33.755695369310665</c:v>
                </c:pt>
                <c:pt idx="410">
                  <c:v>-33.932115500388221</c:v>
                </c:pt>
                <c:pt idx="411">
                  <c:v>-34.108541438724274</c:v>
                </c:pt>
                <c:pt idx="412">
                  <c:v>-34.284980818636733</c:v>
                </c:pt>
                <c:pt idx="413">
                  <c:v>-34.461440079451378</c:v>
                </c:pt>
                <c:pt idx="414">
                  <c:v>-34.637924410828212</c:v>
                </c:pt>
                <c:pt idx="415">
                  <c:v>-34.814437704441417</c:v>
                </c:pt>
                <c:pt idx="416">
                  <c:v>-34.990982512104296</c:v>
                </c:pt>
                <c:pt idx="417">
                  <c:v>-35.167560010360795</c:v>
                </c:pt>
                <c:pt idx="418">
                  <c:v>-35.344169971492995</c:v>
                </c:pt>
                <c:pt idx="419">
                  <c:v>-35.520810740835472</c:v>
                </c:pt>
                <c:pt idx="420">
                  <c:v>-35.697479220226413</c:v>
                </c:pt>
                <c:pt idx="421">
                  <c:v>-35.874170857378246</c:v>
                </c:pt>
                <c:pt idx="422">
                  <c:v>-36.050879640903801</c:v>
                </c:pt>
                <c:pt idx="423">
                  <c:v>-36.227598100703112</c:v>
                </c:pt>
                <c:pt idx="424">
                  <c:v>-36.404317313383274</c:v>
                </c:pt>
                <c:pt idx="425">
                  <c:v>-36.581026912368571</c:v>
                </c:pt>
                <c:pt idx="426">
                  <c:v>-36.757715102342786</c:v>
                </c:pt>
                <c:pt idx="427">
                  <c:v>-36.934368677660594</c:v>
                </c:pt>
                <c:pt idx="428">
                  <c:v>-37.110973044369729</c:v>
                </c:pt>
                <c:pt idx="429">
                  <c:v>-37.287512245491541</c:v>
                </c:pt>
                <c:pt idx="430">
                  <c:v>-37.463968989221513</c:v>
                </c:pt>
                <c:pt idx="431">
                  <c:v>-37.640324679734718</c:v>
                </c:pt>
                <c:pt idx="432">
                  <c:v>-37.816559450299827</c:v>
                </c:pt>
                <c:pt idx="433">
                  <c:v>-37.992652198438265</c:v>
                </c:pt>
                <c:pt idx="434">
                  <c:v>-38.168580622892698</c:v>
                </c:pt>
                <c:pt idx="435">
                  <c:v>-38.34432126220463</c:v>
                </c:pt>
                <c:pt idx="436">
                  <c:v>-38.519849534735087</c:v>
                </c:pt>
                <c:pt idx="437">
                  <c:v>-38.695139779999224</c:v>
                </c:pt>
                <c:pt idx="438">
                  <c:v>-38.870165301222464</c:v>
                </c:pt>
                <c:pt idx="439">
                  <c:v>-39.044898409062093</c:v>
                </c:pt>
                <c:pt idx="440">
                  <c:v>-39.219310466474425</c:v>
                </c:pt>
                <c:pt idx="441">
                  <c:v>-39.393371934743584</c:v>
                </c:pt>
                <c:pt idx="442">
                  <c:v>-39.567052420718476</c:v>
                </c:pt>
                <c:pt idx="443">
                  <c:v>-39.740320725338613</c:v>
                </c:pt>
                <c:pt idx="444">
                  <c:v>-39.913144893556037</c:v>
                </c:pt>
                <c:pt idx="445">
                  <c:v>-40.085492265788332</c:v>
                </c:pt>
                <c:pt idx="446">
                  <c:v>-40.257329531057621</c:v>
                </c:pt>
                <c:pt idx="447">
                  <c:v>-40.428622781993809</c:v>
                </c:pt>
                <c:pt idx="448">
                  <c:v>-40.599337571892576</c:v>
                </c:pt>
                <c:pt idx="449">
                  <c:v>-40.76943897403234</c:v>
                </c:pt>
                <c:pt idx="450">
                  <c:v>-40.938891643463187</c:v>
                </c:pt>
                <c:pt idx="451">
                  <c:v>-41.107659881481389</c:v>
                </c:pt>
                <c:pt idx="452">
                  <c:v>-41.275707703006134</c:v>
                </c:pt>
                <c:pt idx="453">
                  <c:v>-41.442998907067704</c:v>
                </c:pt>
                <c:pt idx="454">
                  <c:v>-41.609497150606487</c:v>
                </c:pt>
                <c:pt idx="455">
                  <c:v>-41.775166025770041</c:v>
                </c:pt>
                <c:pt idx="456">
                  <c:v>-41.939969140872215</c:v>
                </c:pt>
                <c:pt idx="457">
                  <c:v>-42.103870205159559</c:v>
                </c:pt>
                <c:pt idx="458">
                  <c:v>-42.266833117497846</c:v>
                </c:pt>
                <c:pt idx="459">
                  <c:v>-42.428822059059073</c:v>
                </c:pt>
                <c:pt idx="460">
                  <c:v>-42.589801590053618</c:v>
                </c:pt>
                <c:pt idx="461">
                  <c:v>-42.749736750508362</c:v>
                </c:pt>
                <c:pt idx="462">
                  <c:v>-42.908593165046028</c:v>
                </c:pt>
                <c:pt idx="463">
                  <c:v>-43.06633715157232</c:v>
                </c:pt>
                <c:pt idx="464">
                  <c:v>-43.222935833723241</c:v>
                </c:pt>
                <c:pt idx="465">
                  <c:v>-43.378357256869492</c:v>
                </c:pt>
                <c:pt idx="466">
                  <c:v>-43.532570507417951</c:v>
                </c:pt>
                <c:pt idx="467">
                  <c:v>-43.685545835087787</c:v>
                </c:pt>
                <c:pt idx="468">
                  <c:v>-43.837254777780117</c:v>
                </c:pt>
                <c:pt idx="469">
                  <c:v>-43.987670288597904</c:v>
                </c:pt>
                <c:pt idx="470">
                  <c:v>-44.13676686451241</c:v>
                </c:pt>
                <c:pt idx="471">
                  <c:v>-44.284520676112791</c:v>
                </c:pt>
                <c:pt idx="472">
                  <c:v>-44.430909697819239</c:v>
                </c:pt>
                <c:pt idx="473">
                  <c:v>-44.575913837885537</c:v>
                </c:pt>
                <c:pt idx="474">
                  <c:v>-44.719515067468485</c:v>
                </c:pt>
                <c:pt idx="475">
                  <c:v>-44.861697547996123</c:v>
                </c:pt>
                <c:pt idx="476">
                  <c:v>-45.00244775602971</c:v>
                </c:pt>
                <c:pt idx="477">
                  <c:v>-45.141754604781255</c:v>
                </c:pt>
                <c:pt idx="478">
                  <c:v>-45.279609561427762</c:v>
                </c:pt>
                <c:pt idx="479">
                  <c:v>-45.416006759344057</c:v>
                </c:pt>
                <c:pt idx="480">
                  <c:v>-45.550943104374319</c:v>
                </c:pt>
                <c:pt idx="481">
                  <c:v>-45.684418374261796</c:v>
                </c:pt>
                <c:pt idx="482">
                  <c:v>-45.816435310371666</c:v>
                </c:pt>
                <c:pt idx="483">
                  <c:v>-45.946999700863827</c:v>
                </c:pt>
                <c:pt idx="484">
                  <c:v>-46.076120454505592</c:v>
                </c:pt>
                <c:pt idx="485">
                  <c:v>-46.203809664356243</c:v>
                </c:pt>
                <c:pt idx="486">
                  <c:v>-46.330082660607026</c:v>
                </c:pt>
                <c:pt idx="487">
                  <c:v>-46.454958051922041</c:v>
                </c:pt>
                <c:pt idx="488">
                  <c:v>-46.578457754690803</c:v>
                </c:pt>
                <c:pt idx="489">
                  <c:v>-46.700607009682436</c:v>
                </c:pt>
                <c:pt idx="490">
                  <c:v>-46.821434385670706</c:v>
                </c:pt>
                <c:pt idx="491">
                  <c:v>-46.940971769686399</c:v>
                </c:pt>
                <c:pt idx="492">
                  <c:v>-47.0592543436452</c:v>
                </c:pt>
                <c:pt idx="493">
                  <c:v>-47.17632054719143</c:v>
                </c:pt>
                <c:pt idx="494">
                  <c:v>-47.292212026694173</c:v>
                </c:pt>
                <c:pt idx="495">
                  <c:v>-47.406973570425734</c:v>
                </c:pt>
                <c:pt idx="496">
                  <c:v>-47.520653030049274</c:v>
                </c:pt>
                <c:pt idx="497">
                  <c:v>-47.63330122863276</c:v>
                </c:pt>
                <c:pt idx="498">
                  <c:v>-47.744971855496004</c:v>
                </c:pt>
                <c:pt idx="499">
                  <c:v>-47.85572134828427</c:v>
                </c:pt>
                <c:pt idx="500">
                  <c:v>-47.965608762742903</c:v>
                </c:pt>
                <c:pt idx="501">
                  <c:v>-48.074695630740621</c:v>
                </c:pt>
                <c:pt idx="502">
                  <c:v>-48.183045807163495</c:v>
                </c:pt>
                <c:pt idx="503">
                  <c:v>-48.290725306362788</c:v>
                </c:pt>
                <c:pt idx="504">
                  <c:v>-48.397802128898213</c:v>
                </c:pt>
                <c:pt idx="505">
                  <c:v>-48.504346079372738</c:v>
                </c:pt>
                <c:pt idx="506">
                  <c:v>-48.610428576196242</c:v>
                </c:pt>
                <c:pt idx="507">
                  <c:v>-48.716122454160725</c:v>
                </c:pt>
                <c:pt idx="508">
                  <c:v>-48.821501760738776</c:v>
                </c:pt>
                <c:pt idx="509">
                  <c:v>-48.926641547050153</c:v>
                </c:pt>
                <c:pt idx="510">
                  <c:v>-49.031617654461037</c:v>
                </c:pt>
                <c:pt idx="511">
                  <c:v>-49.136506497802451</c:v>
                </c:pt>
                <c:pt idx="512">
                  <c:v>-49.241384846207083</c:v>
                </c:pt>
                <c:pt idx="513">
                  <c:v>-49.34632960257278</c:v>
                </c:pt>
                <c:pt idx="514">
                  <c:v>-49.45141758266837</c:v>
                </c:pt>
                <c:pt idx="515">
                  <c:v>-49.556725294898072</c:v>
                </c:pt>
                <c:pt idx="516">
                  <c:v>-49.66232872173839</c:v>
                </c:pt>
                <c:pt idx="517">
                  <c:v>-49.768303103855224</c:v>
                </c:pt>
                <c:pt idx="518">
                  <c:v>-49.874722727897407</c:v>
                </c:pt>
                <c:pt idx="519">
                  <c:v>-49.981660718949868</c:v>
                </c:pt>
                <c:pt idx="520">
                  <c:v>-50.089188838606056</c:v>
                </c:pt>
                <c:pt idx="521">
                  <c:v>-50.197377289600041</c:v>
                </c:pt>
                <c:pt idx="522">
                  <c:v>-50.306294527903439</c:v>
                </c:pt>
                <c:pt idx="523">
                  <c:v>-50.41600708315994</c:v>
                </c:pt>
                <c:pt idx="524">
                  <c:v>-50.52657938829023</c:v>
                </c:pt>
                <c:pt idx="525">
                  <c:v>-50.638073619048583</c:v>
                </c:pt>
                <c:pt idx="526">
                  <c:v>-50.750549544264061</c:v>
                </c:pt>
                <c:pt idx="527">
                  <c:v>-50.864064387435945</c:v>
                </c:pt>
                <c:pt idx="528">
                  <c:v>-50.978672700290275</c:v>
                </c:pt>
                <c:pt idx="529">
                  <c:v>-51.094426248830622</c:v>
                </c:pt>
                <c:pt idx="530">
                  <c:v>-51.211373912339411</c:v>
                </c:pt>
                <c:pt idx="531">
                  <c:v>-51.329561595705975</c:v>
                </c:pt>
                <c:pt idx="532">
                  <c:v>-51.449032155366901</c:v>
                </c:pt>
                <c:pt idx="533">
                  <c:v>-51.569825339056464</c:v>
                </c:pt>
                <c:pt idx="534">
                  <c:v>-51.691977739471596</c:v>
                </c:pt>
                <c:pt idx="535">
                  <c:v>-51.815522761857615</c:v>
                </c:pt>
                <c:pt idx="536">
                  <c:v>-51.94049060542806</c:v>
                </c:pt>
                <c:pt idx="537">
                  <c:v>-52.066908258435227</c:v>
                </c:pt>
                <c:pt idx="538">
                  <c:v>-52.194799506612917</c:v>
                </c:pt>
                <c:pt idx="539">
                  <c:v>-52.32418495462332</c:v>
                </c:pt>
                <c:pt idx="540">
                  <c:v>-52.455082060051062</c:v>
                </c:pt>
                <c:pt idx="541">
                  <c:v>-52.587505179408268</c:v>
                </c:pt>
              </c:numCache>
            </c:numRef>
          </c:yVal>
          <c:smooth val="1"/>
          <c:extLst>
            <c:ext xmlns:c16="http://schemas.microsoft.com/office/drawing/2014/chart" uri="{C3380CC4-5D6E-409C-BE32-E72D297353CC}">
              <c16:uniqueId val="{00000000-D13D-4F31-A1F4-F359C82058E5}"/>
            </c:ext>
          </c:extLst>
        </c:ser>
        <c:dLbls>
          <c:showLegendKey val="0"/>
          <c:showVal val="0"/>
          <c:showCatName val="0"/>
          <c:showSerName val="0"/>
          <c:showPercent val="0"/>
          <c:showBubbleSize val="0"/>
        </c:dLbls>
        <c:axId val="331786112"/>
        <c:axId val="331788288"/>
      </c:scatterChart>
      <c:scatterChart>
        <c:scatterStyle val="smoothMarker"/>
        <c:varyColors val="0"/>
        <c:ser>
          <c:idx val="1"/>
          <c:order val="1"/>
          <c:tx>
            <c:v>Phase (deg)</c:v>
          </c:tx>
          <c:marker>
            <c:symbol val="none"/>
          </c:marker>
          <c:xVal>
            <c:numRef>
              <c:f>CCM_Loop_Modeling_Isolated!$O$19:$O$560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CCM_Loop_Modeling_Isolated!$AE$19:$AE$560</c:f>
              <c:numCache>
                <c:formatCode>General</c:formatCode>
                <c:ptCount val="542"/>
                <c:pt idx="0">
                  <c:v>-55.777692346158688</c:v>
                </c:pt>
                <c:pt idx="1">
                  <c:v>-56.388922635760387</c:v>
                </c:pt>
                <c:pt idx="2">
                  <c:v>-56.994742299886781</c:v>
                </c:pt>
                <c:pt idx="3">
                  <c:v>-57.59493141119296</c:v>
                </c:pt>
                <c:pt idx="4">
                  <c:v>-58.189282022737864</c:v>
                </c:pt>
                <c:pt idx="5">
                  <c:v>-58.777598316293926</c:v>
                </c:pt>
                <c:pt idx="6">
                  <c:v>-59.359696697546191</c:v>
                </c:pt>
                <c:pt idx="7">
                  <c:v>-59.935405840096507</c:v>
                </c:pt>
                <c:pt idx="8">
                  <c:v>-60.504566680498584</c:v>
                </c:pt>
                <c:pt idx="9">
                  <c:v>-61.067032366806657</c:v>
                </c:pt>
                <c:pt idx="10">
                  <c:v>-61.622668163338368</c:v>
                </c:pt>
                <c:pt idx="11">
                  <c:v>-62.171351314534519</c:v>
                </c:pt>
                <c:pt idx="12">
                  <c:v>-62.712970870918625</c:v>
                </c:pt>
                <c:pt idx="13">
                  <c:v>-63.247427480265259</c:v>
                </c:pt>
                <c:pt idx="14">
                  <c:v>-63.774633147132349</c:v>
                </c:pt>
                <c:pt idx="15">
                  <c:v>-64.294510963935053</c:v>
                </c:pt>
                <c:pt idx="16">
                  <c:v>-64.806994816720149</c:v>
                </c:pt>
                <c:pt idx="17">
                  <c:v>-65.312029068766279</c:v>
                </c:pt>
                <c:pt idx="18">
                  <c:v>-65.809568225053027</c:v>
                </c:pt>
                <c:pt idx="19">
                  <c:v>-66.299576580559958</c:v>
                </c:pt>
                <c:pt idx="20">
                  <c:v>-66.782027855236308</c:v>
                </c:pt>
                <c:pt idx="21">
                  <c:v>-67.256904818358038</c:v>
                </c:pt>
                <c:pt idx="22">
                  <c:v>-67.724198904842822</c:v>
                </c:pt>
                <c:pt idx="23">
                  <c:v>-68.183909825945719</c:v>
                </c:pt>
                <c:pt idx="24">
                  <c:v>-68.636045176589036</c:v>
                </c:pt>
                <c:pt idx="25">
                  <c:v>-69.080620041430521</c:v>
                </c:pt>
                <c:pt idx="26">
                  <c:v>-69.517656601584321</c:v>
                </c:pt>
                <c:pt idx="27">
                  <c:v>-69.947183743766203</c:v>
                </c:pt>
                <c:pt idx="28">
                  <c:v>-70.369236673444732</c:v>
                </c:pt>
                <c:pt idx="29">
                  <c:v>-70.783856533433948</c:v>
                </c:pt>
                <c:pt idx="30">
                  <c:v>-71.191090029193532</c:v>
                </c:pt>
                <c:pt idx="31">
                  <c:v>-71.59098906195554</c:v>
                </c:pt>
                <c:pt idx="32">
                  <c:v>-71.983610370643589</c:v>
                </c:pt>
                <c:pt idx="33">
                  <c:v>-72.369015183418483</c:v>
                </c:pt>
                <c:pt idx="34">
                  <c:v>-72.747268879545999</c:v>
                </c:pt>
                <c:pt idx="35">
                  <c:v>-73.118440662163195</c:v>
                </c:pt>
                <c:pt idx="36">
                  <c:v>-73.482603242402973</c:v>
                </c:pt>
                <c:pt idx="37">
                  <c:v>-73.839832535231906</c:v>
                </c:pt>
                <c:pt idx="38">
                  <c:v>-74.190207367257173</c:v>
                </c:pt>
                <c:pt idx="39">
                  <c:v>-74.533809196670632</c:v>
                </c:pt>
                <c:pt idx="40">
                  <c:v>-74.870721845416966</c:v>
                </c:pt>
                <c:pt idx="41">
                  <c:v>-75.201031243599559</c:v>
                </c:pt>
                <c:pt idx="42">
                  <c:v>-75.524825186075006</c:v>
                </c:pt>
                <c:pt idx="43">
                  <c:v>-75.84219310112438</c:v>
                </c:pt>
                <c:pt idx="44">
                  <c:v>-76.153225831047052</c:v>
                </c:pt>
                <c:pt idx="45">
                  <c:v>-76.458015424470076</c:v>
                </c:pt>
                <c:pt idx="46">
                  <c:v>-76.756654940134482</c:v>
                </c:pt>
                <c:pt idx="47">
                  <c:v>-77.049238261884341</c:v>
                </c:pt>
                <c:pt idx="48">
                  <c:v>-77.335859924559415</c:v>
                </c:pt>
                <c:pt idx="49">
                  <c:v>-77.616614950468062</c:v>
                </c:pt>
                <c:pt idx="50">
                  <c:v>-77.891598696102903</c:v>
                </c:pt>
                <c:pt idx="51">
                  <c:v>-78.160906708742473</c:v>
                </c:pt>
                <c:pt idx="52">
                  <c:v>-78.42463459257857</c:v>
                </c:pt>
                <c:pt idx="53">
                  <c:v>-78.682877883997364</c:v>
                </c:pt>
                <c:pt idx="54">
                  <c:v>-78.935731935640433</c:v>
                </c:pt>
                <c:pt idx="55">
                  <c:v>-79.18329180887082</c:v>
                </c:pt>
                <c:pt idx="56">
                  <c:v>-79.42565217426872</c:v>
                </c:pt>
                <c:pt idx="57">
                  <c:v>-79.662907219786348</c:v>
                </c:pt>
                <c:pt idx="58">
                  <c:v>-79.895150566194957</c:v>
                </c:pt>
                <c:pt idx="59">
                  <c:v>-80.122475189462307</c:v>
                </c:pt>
                <c:pt idx="60">
                  <c:v>-80.344973349708951</c:v>
                </c:pt>
                <c:pt idx="61">
                  <c:v>-80.562736526397131</c:v>
                </c:pt>
                <c:pt idx="62">
                  <c:v>-80.775855359417136</c:v>
                </c:pt>
                <c:pt idx="63">
                  <c:v>-80.984419595745919</c:v>
                </c:pt>
                <c:pt idx="64">
                  <c:v>-81.188518041362101</c:v>
                </c:pt>
                <c:pt idx="65">
                  <c:v>-81.388238518113596</c:v>
                </c:pt>
                <c:pt idx="66">
                  <c:v>-81.583667825245158</c:v>
                </c:pt>
                <c:pt idx="67">
                  <c:v>-81.774891705303773</c:v>
                </c:pt>
                <c:pt idx="68">
                  <c:v>-81.961994814151922</c:v>
                </c:pt>
                <c:pt idx="69">
                  <c:v>-82.145060694830576</c:v>
                </c:pt>
                <c:pt idx="70">
                  <c:v>-82.324171755024295</c:v>
                </c:pt>
                <c:pt idx="71">
                  <c:v>-82.499409247892785</c:v>
                </c:pt>
                <c:pt idx="72">
                  <c:v>-82.670853256044367</c:v>
                </c:pt>
                <c:pt idx="73">
                  <c:v>-82.83858267843776</c:v>
                </c:pt>
                <c:pt idx="74">
                  <c:v>-83.002675220008555</c:v>
                </c:pt>
                <c:pt idx="75">
                  <c:v>-83.163207383828961</c:v>
                </c:pt>
                <c:pt idx="76">
                  <c:v>-83.320254465616898</c:v>
                </c:pt>
                <c:pt idx="77">
                  <c:v>-83.473890550423334</c:v>
                </c:pt>
                <c:pt idx="78">
                  <c:v>-83.624188511333102</c:v>
                </c:pt>
                <c:pt idx="79">
                  <c:v>-83.771220010026781</c:v>
                </c:pt>
                <c:pt idx="80">
                  <c:v>-83.915055499056692</c:v>
                </c:pt>
                <c:pt idx="81">
                  <c:v>-84.055764225701523</c:v>
                </c:pt>
                <c:pt idx="82">
                  <c:v>-84.193414237269934</c:v>
                </c:pt>
                <c:pt idx="83">
                  <c:v>-84.328072387732519</c:v>
                </c:pt>
                <c:pt idx="84">
                  <c:v>-84.459804345568074</c:v>
                </c:pt>
                <c:pt idx="85">
                  <c:v>-84.588674602717731</c:v>
                </c:pt>
                <c:pt idx="86">
                  <c:v>-84.714746484546964</c:v>
                </c:pt>
                <c:pt idx="87">
                  <c:v>-84.83808216072164</c:v>
                </c:pt>
                <c:pt idx="88">
                  <c:v>-84.958742656910999</c:v>
                </c:pt>
                <c:pt idx="89">
                  <c:v>-85.076787867234628</c:v>
                </c:pt>
                <c:pt idx="90">
                  <c:v>-85.19227656737884</c:v>
                </c:pt>
                <c:pt idx="91">
                  <c:v>-85.305266428309281</c:v>
                </c:pt>
                <c:pt idx="92">
                  <c:v>-85.415814030514298</c:v>
                </c:pt>
                <c:pt idx="93">
                  <c:v>-85.523974878717596</c:v>
                </c:pt>
                <c:pt idx="94">
                  <c:v>-85.629803417001639</c:v>
                </c:pt>
                <c:pt idx="95">
                  <c:v>-85.733353044289572</c:v>
                </c:pt>
                <c:pt idx="96">
                  <c:v>-85.834676130135009</c:v>
                </c:pt>
                <c:pt idx="97">
                  <c:v>-85.933824030774787</c:v>
                </c:pt>
                <c:pt idx="98">
                  <c:v>-86.030847105401392</c:v>
                </c:pt>
                <c:pt idx="99">
                  <c:v>-86.125794732616427</c:v>
                </c:pt>
                <c:pt idx="100">
                  <c:v>-86.218715327028193</c:v>
                </c:pt>
                <c:pt idx="101">
                  <c:v>-86.309656355960527</c:v>
                </c:pt>
                <c:pt idx="102">
                  <c:v>-86.398664356241781</c:v>
                </c:pt>
                <c:pt idx="103">
                  <c:v>-86.485784951045559</c:v>
                </c:pt>
                <c:pt idx="104">
                  <c:v>-86.571062866757742</c:v>
                </c:pt>
                <c:pt idx="105">
                  <c:v>-86.654541949845381</c:v>
                </c:pt>
                <c:pt idx="106">
                  <c:v>-86.736265183706124</c:v>
                </c:pt>
                <c:pt idx="107">
                  <c:v>-86.816274705478236</c:v>
                </c:pt>
                <c:pt idx="108">
                  <c:v>-86.894611822793166</c:v>
                </c:pt>
                <c:pt idx="109">
                  <c:v>-86.971317030454202</c:v>
                </c:pt>
                <c:pt idx="110">
                  <c:v>-87.046430027026616</c:v>
                </c:pt>
                <c:pt idx="111">
                  <c:v>-87.119989731325575</c:v>
                </c:pt>
                <c:pt idx="112">
                  <c:v>-87.192034298790119</c:v>
                </c:pt>
                <c:pt idx="113">
                  <c:v>-87.262601137732389</c:v>
                </c:pt>
                <c:pt idx="114">
                  <c:v>-87.331726925452216</c:v>
                </c:pt>
                <c:pt idx="115">
                  <c:v>-87.399447624209046</c:v>
                </c:pt>
                <c:pt idx="116">
                  <c:v>-87.46579849704338</c:v>
                </c:pt>
                <c:pt idx="117">
                  <c:v>-87.530814123441189</c:v>
                </c:pt>
                <c:pt idx="118">
                  <c:v>-87.594528414836049</c:v>
                </c:pt>
                <c:pt idx="119">
                  <c:v>-87.656974629943505</c:v>
                </c:pt>
                <c:pt idx="120">
                  <c:v>-87.718185389924159</c:v>
                </c:pt>
                <c:pt idx="121">
                  <c:v>-87.778192693371651</c:v>
                </c:pt>
                <c:pt idx="122">
                  <c:v>-87.837027931123174</c:v>
                </c:pt>
                <c:pt idx="123">
                  <c:v>-87.894721900890048</c:v>
                </c:pt>
                <c:pt idx="124">
                  <c:v>-87.951304821706756</c:v>
                </c:pt>
                <c:pt idx="125">
                  <c:v>-88.006806348197856</c:v>
                </c:pt>
                <c:pt idx="126">
                  <c:v>-88.06125558466141</c:v>
                </c:pt>
                <c:pt idx="127">
                  <c:v>-88.114681098969314</c:v>
                </c:pt>
                <c:pt idx="128">
                  <c:v>-88.167110936284416</c:v>
                </c:pt>
                <c:pt idx="129">
                  <c:v>-88.218572632595411</c:v>
                </c:pt>
                <c:pt idx="130">
                  <c:v>-88.269093228069821</c:v>
                </c:pt>
                <c:pt idx="131">
                  <c:v>-88.318699280227207</c:v>
                </c:pt>
                <c:pt idx="132">
                  <c:v>-88.367416876932936</c:v>
                </c:pt>
                <c:pt idx="133">
                  <c:v>-88.415271649215569</c:v>
                </c:pt>
                <c:pt idx="134">
                  <c:v>-88.462288783908988</c:v>
                </c:pt>
                <c:pt idx="135">
                  <c:v>-88.508493036121919</c:v>
                </c:pt>
                <c:pt idx="136">
                  <c:v>-88.553908741537157</c:v>
                </c:pt>
                <c:pt idx="137">
                  <c:v>-88.59855982854333</c:v>
                </c:pt>
                <c:pt idx="138">
                  <c:v>-88.642469830201634</c:v>
                </c:pt>
                <c:pt idx="139">
                  <c:v>-88.685661896050931</c:v>
                </c:pt>
                <c:pt idx="140">
                  <c:v>-88.728158803753942</c:v>
                </c:pt>
                <c:pt idx="141">
                  <c:v>-88.769982970587989</c:v>
                </c:pt>
                <c:pt idx="142">
                  <c:v>-88.811156464783451</c:v>
                </c:pt>
                <c:pt idx="143">
                  <c:v>-88.85170101671342</c:v>
                </c:pt>
                <c:pt idx="144">
                  <c:v>-88.891638029938164</c:v>
                </c:pt>
                <c:pt idx="145">
                  <c:v>-88.930988592107795</c:v>
                </c:pt>
                <c:pt idx="146">
                  <c:v>-88.969773485727075</c:v>
                </c:pt>
                <c:pt idx="147">
                  <c:v>-89.008013198785804</c:v>
                </c:pt>
                <c:pt idx="148">
                  <c:v>-89.045727935258881</c:v>
                </c:pt>
                <c:pt idx="149">
                  <c:v>-89.082937625479687</c:v>
                </c:pt>
                <c:pt idx="150">
                  <c:v>-89.119661936390713</c:v>
                </c:pt>
                <c:pt idx="151">
                  <c:v>-89.155920281675478</c:v>
                </c:pt>
                <c:pt idx="152">
                  <c:v>-89.191731831775584</c:v>
                </c:pt>
                <c:pt idx="153">
                  <c:v>-89.227115523796968</c:v>
                </c:pt>
                <c:pt idx="154">
                  <c:v>-89.262090071309359</c:v>
                </c:pt>
                <c:pt idx="155">
                  <c:v>-89.296673974043046</c:v>
                </c:pt>
                <c:pt idx="156">
                  <c:v>-89.330885527486856</c:v>
                </c:pt>
                <c:pt idx="157">
                  <c:v>-89.364742832391784</c:v>
                </c:pt>
                <c:pt idx="158">
                  <c:v>-89.39826380418387</c:v>
                </c:pt>
                <c:pt idx="159">
                  <c:v>-89.431466182290976</c:v>
                </c:pt>
                <c:pt idx="160">
                  <c:v>-89.464367539387197</c:v>
                </c:pt>
                <c:pt idx="161">
                  <c:v>-89.496985290559195</c:v>
                </c:pt>
                <c:pt idx="162">
                  <c:v>-89.529336702398581</c:v>
                </c:pt>
                <c:pt idx="163">
                  <c:v>-89.561438902024591</c:v>
                </c:pt>
                <c:pt idx="164">
                  <c:v>-89.593308886040973</c:v>
                </c:pt>
                <c:pt idx="165">
                  <c:v>-89.624963529431454</c:v>
                </c:pt>
                <c:pt idx="166">
                  <c:v>-89.656419594397974</c:v>
                </c:pt>
                <c:pt idx="167">
                  <c:v>-89.68769373914553</c:v>
                </c:pt>
                <c:pt idx="168">
                  <c:v>-89.718802526618333</c:v>
                </c:pt>
                <c:pt idx="169">
                  <c:v>-89.749762433190881</c:v>
                </c:pt>
                <c:pt idx="170">
                  <c:v>-89.780589857318574</c:v>
                </c:pt>
                <c:pt idx="171">
                  <c:v>-89.811301128151825</c:v>
                </c:pt>
                <c:pt idx="172">
                  <c:v>-89.841912514117837</c:v>
                </c:pt>
                <c:pt idx="173">
                  <c:v>-89.872440231474371</c:v>
                </c:pt>
                <c:pt idx="174">
                  <c:v>-89.902900452839575</c:v>
                </c:pt>
                <c:pt idx="175">
                  <c:v>-89.933309315702189</c:v>
                </c:pt>
                <c:pt idx="176">
                  <c:v>-89.963682930916121</c:v>
                </c:pt>
                <c:pt idx="177">
                  <c:v>-89.994037391183952</c:v>
                </c:pt>
                <c:pt idx="178">
                  <c:v>-90.024388779533069</c:v>
                </c:pt>
                <c:pt idx="179">
                  <c:v>-90.054753177789394</c:v>
                </c:pt>
                <c:pt idx="180">
                  <c:v>-90.08514667505203</c:v>
                </c:pt>
                <c:pt idx="181">
                  <c:v>-90.115585376173925</c:v>
                </c:pt>
                <c:pt idx="182">
                  <c:v>-90.146085410252255</c:v>
                </c:pt>
                <c:pt idx="183">
                  <c:v>-90.176662939133053</c:v>
                </c:pt>
                <c:pt idx="184">
                  <c:v>-90.207334165934185</c:v>
                </c:pt>
                <c:pt idx="185">
                  <c:v>-90.238115343591332</c:v>
                </c:pt>
                <c:pt idx="186">
                  <c:v>-90.269022783430643</c:v>
                </c:pt>
                <c:pt idx="187">
                  <c:v>-90.300072863773238</c:v>
                </c:pt>
                <c:pt idx="188">
                  <c:v>-90.331282038575139</c:v>
                </c:pt>
                <c:pt idx="189">
                  <c:v>-90.36266684610743</c:v>
                </c:pt>
                <c:pt idx="190">
                  <c:v>-90.39424391768101</c:v>
                </c:pt>
                <c:pt idx="191">
                  <c:v>-90.426029986420161</c:v>
                </c:pt>
                <c:pt idx="192">
                  <c:v>-90.458041896089583</c:v>
                </c:pt>
                <c:pt idx="193">
                  <c:v>-90.490296609979183</c:v>
                </c:pt>
                <c:pt idx="194">
                  <c:v>-90.522811219851292</c:v>
                </c:pt>
                <c:pt idx="195">
                  <c:v>-90.555602954954637</c:v>
                </c:pt>
                <c:pt idx="196">
                  <c:v>-90.58868919110985</c:v>
                </c:pt>
                <c:pt idx="197">
                  <c:v>-90.622087459870698</c:v>
                </c:pt>
                <c:pt idx="198">
                  <c:v>-90.655815457766252</c:v>
                </c:pt>
                <c:pt idx="199">
                  <c:v>-90.689891055628038</c:v>
                </c:pt>
                <c:pt idx="200">
                  <c:v>-90.724332308007106</c:v>
                </c:pt>
                <c:pt idx="201">
                  <c:v>-90.759157462685948</c:v>
                </c:pt>
                <c:pt idx="202">
                  <c:v>-90.794384970289585</c:v>
                </c:pt>
                <c:pt idx="203">
                  <c:v>-90.830033494000887</c:v>
                </c:pt>
                <c:pt idx="204">
                  <c:v>-90.866121919384952</c:v>
                </c:pt>
                <c:pt idx="205">
                  <c:v>-90.902669364327323</c:v>
                </c:pt>
                <c:pt idx="206">
                  <c:v>-90.939695189090997</c:v>
                </c:pt>
                <c:pt idx="207">
                  <c:v>-90.977219006497137</c:v>
                </c:pt>
                <c:pt idx="208">
                  <c:v>-91.015260692234591</c:v>
                </c:pt>
                <c:pt idx="209">
                  <c:v>-91.053840395303155</c:v>
                </c:pt>
                <c:pt idx="210">
                  <c:v>-91.092978548595667</c:v>
                </c:pt>
                <c:pt idx="211">
                  <c:v>-91.132695879624109</c:v>
                </c:pt>
                <c:pt idx="212">
                  <c:v>-91.17301342139497</c:v>
                </c:pt>
                <c:pt idx="213">
                  <c:v>-91.213952523438749</c:v>
                </c:pt>
                <c:pt idx="214">
                  <c:v>-91.255534862999383</c:v>
                </c:pt>
                <c:pt idx="215">
                  <c:v>-91.297782456388518</c:v>
                </c:pt>
                <c:pt idx="216">
                  <c:v>-91.340717670510017</c:v>
                </c:pt>
                <c:pt idx="217">
                  <c:v>-91.384363234560297</c:v>
                </c:pt>
                <c:pt idx="218">
                  <c:v>-91.428742251909839</c:v>
                </c:pt>
                <c:pt idx="219">
                  <c:v>-91.473878212171286</c:v>
                </c:pt>
                <c:pt idx="220">
                  <c:v>-91.519795003459762</c:v>
                </c:pt>
                <c:pt idx="221">
                  <c:v>-91.566516924851044</c:v>
                </c:pt>
                <c:pt idx="222">
                  <c:v>-91.614068699042946</c:v>
                </c:pt>
                <c:pt idx="223">
                  <c:v>-91.662475485225926</c:v>
                </c:pt>
                <c:pt idx="224">
                  <c:v>-91.71176289216838</c:v>
                </c:pt>
                <c:pt idx="225">
                  <c:v>-91.761956991522226</c:v>
                </c:pt>
                <c:pt idx="226">
                  <c:v>-91.813084331355142</c:v>
                </c:pt>
                <c:pt idx="227">
                  <c:v>-91.86517194991437</c:v>
                </c:pt>
                <c:pt idx="228">
                  <c:v>-91.918247389628519</c:v>
                </c:pt>
                <c:pt idx="229">
                  <c:v>-91.972338711353189</c:v>
                </c:pt>
                <c:pt idx="230">
                  <c:v>-92.02747450886595</c:v>
                </c:pt>
                <c:pt idx="231">
                  <c:v>-92.083683923616704</c:v>
                </c:pt>
                <c:pt idx="232">
                  <c:v>-92.140996659739358</c:v>
                </c:pt>
                <c:pt idx="233">
                  <c:v>-92.19944299933077</c:v>
                </c:pt>
                <c:pt idx="234">
                  <c:v>-92.259053818002471</c:v>
                </c:pt>
                <c:pt idx="235">
                  <c:v>-92.319860600711337</c:v>
                </c:pt>
                <c:pt idx="236">
                  <c:v>-92.381895457875089</c:v>
                </c:pt>
                <c:pt idx="237">
                  <c:v>-92.445191141778096</c:v>
                </c:pt>
                <c:pt idx="238">
                  <c:v>-92.509781063273635</c:v>
                </c:pt>
                <c:pt idx="239">
                  <c:v>-92.575699308787961</c:v>
                </c:pt>
                <c:pt idx="240">
                  <c:v>-92.642980657632137</c:v>
                </c:pt>
                <c:pt idx="241">
                  <c:v>-92.711660599627066</c:v>
                </c:pt>
                <c:pt idx="242">
                  <c:v>-92.78177535304718</c:v>
                </c:pt>
                <c:pt idx="243">
                  <c:v>-92.853361882888265</c:v>
                </c:pt>
                <c:pt idx="244">
                  <c:v>-92.92645791946461</c:v>
                </c:pt>
                <c:pt idx="245">
                  <c:v>-93.001101977340696</c:v>
                </c:pt>
                <c:pt idx="246">
                  <c:v>-93.077333374602276</c:v>
                </c:pt>
                <c:pt idx="247">
                  <c:v>-93.155192252471778</c:v>
                </c:pt>
                <c:pt idx="248">
                  <c:v>-93.234719595272509</c:v>
                </c:pt>
                <c:pt idx="249">
                  <c:v>-93.315957250746109</c:v>
                </c:pt>
                <c:pt idx="250">
                  <c:v>-93.398947950727447</c:v>
                </c:pt>
                <c:pt idx="251">
                  <c:v>-93.483735332180416</c:v>
                </c:pt>
                <c:pt idx="252">
                  <c:v>-93.570363958598733</c:v>
                </c:pt>
                <c:pt idx="253">
                  <c:v>-93.658879341774622</c:v>
                </c:pt>
                <c:pt idx="254">
                  <c:v>-93.749327963938129</c:v>
                </c:pt>
                <c:pt idx="255">
                  <c:v>-93.841757300269478</c:v>
                </c:pt>
                <c:pt idx="256">
                  <c:v>-93.936215841786705</c:v>
                </c:pt>
                <c:pt idx="257">
                  <c:v>-94.032753118609719</c:v>
                </c:pt>
                <c:pt idx="258">
                  <c:v>-94.131419723601638</c:v>
                </c:pt>
                <c:pt idx="259">
                  <c:v>-94.232267336387977</c:v>
                </c:pt>
                <c:pt idx="260">
                  <c:v>-94.335348747753073</c:v>
                </c:pt>
                <c:pt idx="261">
                  <c:v>-94.440717884412678</c:v>
                </c:pt>
                <c:pt idx="262">
                  <c:v>-94.548429834161141</c:v>
                </c:pt>
                <c:pt idx="263">
                  <c:v>-94.658540871390059</c:v>
                </c:pt>
                <c:pt idx="264">
                  <c:v>-94.771108482975208</c:v>
                </c:pt>
                <c:pt idx="265">
                  <c:v>-94.886191394526676</c:v>
                </c:pt>
                <c:pt idx="266">
                  <c:v>-95.003849596997071</c:v>
                </c:pt>
                <c:pt idx="267">
                  <c:v>-95.124144373640348</c:v>
                </c:pt>
                <c:pt idx="268">
                  <c:v>-95.247138327313692</c:v>
                </c:pt>
                <c:pt idx="269">
                  <c:v>-95.372895408112498</c:v>
                </c:pt>
                <c:pt idx="270">
                  <c:v>-95.501480941327841</c:v>
                </c:pt>
                <c:pt idx="271">
                  <c:v>-95.632961655713842</c:v>
                </c:pt>
                <c:pt idx="272">
                  <c:v>-95.76740571205022</c:v>
                </c:pt>
                <c:pt idx="273">
                  <c:v>-95.904882731984898</c:v>
                </c:pt>
                <c:pt idx="274">
                  <c:v>-96.045463827137354</c:v>
                </c:pt>
                <c:pt idx="275">
                  <c:v>-96.189221628443576</c:v>
                </c:pt>
                <c:pt idx="276">
                  <c:v>-96.336230315719547</c:v>
                </c:pt>
                <c:pt idx="277">
                  <c:v>-96.486565647418175</c:v>
                </c:pt>
                <c:pt idx="278">
                  <c:v>-96.64030499055248</c:v>
                </c:pt>
                <c:pt idx="279">
                  <c:v>-96.797527350754336</c:v>
                </c:pt>
                <c:pt idx="280">
                  <c:v>-96.958313402435124</c:v>
                </c:pt>
                <c:pt idx="281">
                  <c:v>-97.122745519011488</c:v>
                </c:pt>
                <c:pt idx="282">
                  <c:v>-97.290907803156728</c:v>
                </c:pt>
                <c:pt idx="283">
                  <c:v>-97.462886117032483</c:v>
                </c:pt>
                <c:pt idx="284">
                  <c:v>-97.638768112453803</c:v>
                </c:pt>
                <c:pt idx="285">
                  <c:v>-97.81864326093492</c:v>
                </c:pt>
                <c:pt idx="286">
                  <c:v>-98.002602883558851</c:v>
                </c:pt>
                <c:pt idx="287">
                  <c:v>-98.190740180609566</c:v>
                </c:pt>
                <c:pt idx="288">
                  <c:v>-98.383150260899143</c:v>
                </c:pt>
                <c:pt idx="289">
                  <c:v>-98.579930170718242</c:v>
                </c:pt>
                <c:pt idx="290">
                  <c:v>-98.781178922331264</c:v>
                </c:pt>
                <c:pt idx="291">
                  <c:v>-98.986997521931613</c:v>
                </c:pt>
                <c:pt idx="292">
                  <c:v>-99.197488996966257</c:v>
                </c:pt>
                <c:pt idx="293">
                  <c:v>-99.412758422730775</c:v>
                </c:pt>
                <c:pt idx="294">
                  <c:v>-99.632912948129729</c:v>
                </c:pt>
                <c:pt idx="295">
                  <c:v>-99.85806182048816</c:v>
                </c:pt>
                <c:pt idx="296">
                  <c:v>-100.08831640929223</c:v>
                </c:pt>
                <c:pt idx="297">
                  <c:v>-100.32379022872784</c:v>
                </c:pt>
                <c:pt idx="298">
                  <c:v>-100.56459895887727</c:v>
                </c:pt>
                <c:pt idx="299">
                  <c:v>-100.81086046542184</c:v>
                </c:pt>
                <c:pt idx="300">
                  <c:v>-101.06269481769138</c:v>
                </c:pt>
                <c:pt idx="301">
                  <c:v>-101.32022430488681</c:v>
                </c:pt>
                <c:pt idx="302">
                  <c:v>-101.58357345029266</c:v>
                </c:pt>
                <c:pt idx="303">
                  <c:v>-101.85286902328289</c:v>
                </c:pt>
                <c:pt idx="304">
                  <c:v>-102.12824004891161</c:v>
                </c:pt>
                <c:pt idx="305">
                  <c:v>-102.40981781486416</c:v>
                </c:pt>
                <c:pt idx="306">
                  <c:v>-102.69773587553409</c:v>
                </c:pt>
                <c:pt idx="307">
                  <c:v>-102.99213005297156</c:v>
                </c:pt>
                <c:pt idx="308">
                  <c:v>-103.29313843443742</c:v>
                </c:pt>
                <c:pt idx="309">
                  <c:v>-103.60090136627824</c:v>
                </c:pt>
                <c:pt idx="310">
                  <c:v>-103.91556144382253</c:v>
                </c:pt>
                <c:pt idx="311">
                  <c:v>-104.23726349697901</c:v>
                </c:pt>
                <c:pt idx="312">
                  <c:v>-104.56615457120186</c:v>
                </c:pt>
                <c:pt idx="313">
                  <c:v>-104.9023839034667</c:v>
                </c:pt>
                <c:pt idx="314">
                  <c:v>-105.24610289288363</c:v>
                </c:pt>
                <c:pt idx="315">
                  <c:v>-105.59746506555246</c:v>
                </c:pt>
                <c:pt idx="316">
                  <c:v>-105.95662603324568</c:v>
                </c:pt>
                <c:pt idx="317">
                  <c:v>-106.32374344548364</c:v>
                </c:pt>
                <c:pt idx="318">
                  <c:v>-106.69897693454539</c:v>
                </c:pt>
                <c:pt idx="319">
                  <c:v>-107.0824880529351</c:v>
                </c:pt>
                <c:pt idx="320">
                  <c:v>-107.47444020280794</c:v>
                </c:pt>
                <c:pt idx="321">
                  <c:v>-107.87499855682914</c:v>
                </c:pt>
                <c:pt idx="322">
                  <c:v>-108.28432996992717</c:v>
                </c:pt>
                <c:pt idx="323">
                  <c:v>-108.70260288137395</c:v>
                </c:pt>
                <c:pt idx="324">
                  <c:v>-109.12998720660886</c:v>
                </c:pt>
                <c:pt idx="325">
                  <c:v>-109.56665421819824</c:v>
                </c:pt>
                <c:pt idx="326">
                  <c:v>-110.01277641530631</c:v>
                </c:pt>
                <c:pt idx="327">
                  <c:v>-110.46852738103776</c:v>
                </c:pt>
                <c:pt idx="328">
                  <c:v>-110.93408162698412</c:v>
                </c:pt>
                <c:pt idx="329">
                  <c:v>-111.40961442430871</c:v>
                </c:pt>
                <c:pt idx="330">
                  <c:v>-111.89530162067135</c:v>
                </c:pt>
                <c:pt idx="331">
                  <c:v>-112.39131944230327</c:v>
                </c:pt>
                <c:pt idx="332">
                  <c:v>-112.89784428052013</c:v>
                </c:pt>
                <c:pt idx="333">
                  <c:v>-113.41505246196627</c:v>
                </c:pt>
                <c:pt idx="334">
                  <c:v>-113.94312000187617</c:v>
                </c:pt>
                <c:pt idx="335">
                  <c:v>-114.48222233965078</c:v>
                </c:pt>
                <c:pt idx="336">
                  <c:v>-115.03253405604531</c:v>
                </c:pt>
                <c:pt idx="337">
                  <c:v>-115.59422857129388</c:v>
                </c:pt>
                <c:pt idx="338">
                  <c:v>-116.16747782350149</c:v>
                </c:pt>
                <c:pt idx="339">
                  <c:v>-116.75245192667427</c:v>
                </c:pt>
                <c:pt idx="340">
                  <c:v>-117.34931880778866</c:v>
                </c:pt>
                <c:pt idx="341">
                  <c:v>-117.95824382234655</c:v>
                </c:pt>
                <c:pt idx="342">
                  <c:v>-118.57938934791358</c:v>
                </c:pt>
                <c:pt idx="343">
                  <c:v>-119.2129143552052</c:v>
                </c:pt>
                <c:pt idx="344">
                  <c:v>-119.85897395635547</c:v>
                </c:pt>
                <c:pt idx="345">
                  <c:v>-120.51771893009131</c:v>
                </c:pt>
                <c:pt idx="346">
                  <c:v>-121.18929522362987</c:v>
                </c:pt>
                <c:pt idx="347">
                  <c:v>-121.87384343122937</c:v>
                </c:pt>
                <c:pt idx="348">
                  <c:v>-122.57149824944696</c:v>
                </c:pt>
                <c:pt idx="349">
                  <c:v>-123.28238790929541</c:v>
                </c:pt>
                <c:pt idx="350">
                  <c:v>-124.00663358564333</c:v>
                </c:pt>
                <c:pt idx="351">
                  <c:v>-124.74434878436813</c:v>
                </c:pt>
                <c:pt idx="352">
                  <c:v>-125.49563870796398</c:v>
                </c:pt>
                <c:pt idx="353">
                  <c:v>-126.2605996004896</c:v>
                </c:pt>
                <c:pt idx="354">
                  <c:v>-127.03931807297361</c:v>
                </c:pt>
                <c:pt idx="355">
                  <c:v>-127.83187041060498</c:v>
                </c:pt>
                <c:pt idx="356">
                  <c:v>-128.63832186329387</c:v>
                </c:pt>
                <c:pt idx="357">
                  <c:v>-129.45872592143903</c:v>
                </c:pt>
                <c:pt idx="358">
                  <c:v>-130.29312357900386</c:v>
                </c:pt>
                <c:pt idx="359">
                  <c:v>-131.14154258629156</c:v>
                </c:pt>
                <c:pt idx="360">
                  <c:v>-132.00399669509295</c:v>
                </c:pt>
                <c:pt idx="361">
                  <c:v>-132.88048489917716</c:v>
                </c:pt>
                <c:pt idx="362">
                  <c:v>-133.77099067340058</c:v>
                </c:pt>
                <c:pt idx="363">
                  <c:v>-134.67548121500778</c:v>
                </c:pt>
                <c:pt idx="364">
                  <c:v>-135.59390669099875</c:v>
                </c:pt>
                <c:pt idx="365">
                  <c:v>-136.5261994957313</c:v>
                </c:pt>
                <c:pt idx="366">
                  <c:v>-137.47227352321823</c:v>
                </c:pt>
                <c:pt idx="367">
                  <c:v>-138.43202345883452</c:v>
                </c:pt>
                <c:pt idx="368">
                  <c:v>-139.40532409541879</c:v>
                </c:pt>
                <c:pt idx="369">
                  <c:v>-140.39202967896722</c:v>
                </c:pt>
                <c:pt idx="370">
                  <c:v>-141.3919732893161</c:v>
                </c:pt>
                <c:pt idx="371">
                  <c:v>-142.40496626138022</c:v>
                </c:pt>
                <c:pt idx="372">
                  <c:v>-143.4307976526224</c:v>
                </c:pt>
                <c:pt idx="373">
                  <c:v>-144.46923376251203</c:v>
                </c:pt>
                <c:pt idx="374">
                  <c:v>-145.52001770975514</c:v>
                </c:pt>
                <c:pt idx="375">
                  <c:v>-146.58286907303605</c:v>
                </c:pt>
                <c:pt idx="376">
                  <c:v>-147.65748360092758</c:v>
                </c:pt>
                <c:pt idx="377">
                  <c:v>-148.74353299646035</c:v>
                </c:pt>
                <c:pt idx="378">
                  <c:v>-149.8406647816127</c:v>
                </c:pt>
                <c:pt idx="379">
                  <c:v>-150.94850224669142</c:v>
                </c:pt>
                <c:pt idx="380">
                  <c:v>-152.06664448919076</c:v>
                </c:pt>
                <c:pt idx="381">
                  <c:v>-153.19466654628465</c:v>
                </c:pt>
                <c:pt idx="382">
                  <c:v>-154.33211962458026</c:v>
                </c:pt>
                <c:pt idx="383">
                  <c:v>-155.47853143018116</c:v>
                </c:pt>
                <c:pt idx="384">
                  <c:v>-156.63340660145039</c:v>
                </c:pt>
                <c:pt idx="385">
                  <c:v>-157.79622724614853</c:v>
                </c:pt>
                <c:pt idx="386">
                  <c:v>-158.96645358385405</c:v>
                </c:pt>
                <c:pt idx="387">
                  <c:v>-160.14352469374992</c:v>
                </c:pt>
                <c:pt idx="388">
                  <c:v>-161.32685936699923</c:v>
                </c:pt>
                <c:pt idx="389">
                  <c:v>-162.51585706204835</c:v>
                </c:pt>
                <c:pt idx="390">
                  <c:v>-163.70989896028726</c:v>
                </c:pt>
                <c:pt idx="391">
                  <c:v>-164.90834911858093</c:v>
                </c:pt>
                <c:pt idx="392">
                  <c:v>-166.11055571428216</c:v>
                </c:pt>
                <c:pt idx="393">
                  <c:v>-167.31585237744395</c:v>
                </c:pt>
                <c:pt idx="394">
                  <c:v>-168.52355960409821</c:v>
                </c:pt>
                <c:pt idx="395">
                  <c:v>-169.73298624365844</c:v>
                </c:pt>
                <c:pt idx="396">
                  <c:v>-170.94343105274601</c:v>
                </c:pt>
                <c:pt idx="397">
                  <c:v>-172.15418430707467</c:v>
                </c:pt>
                <c:pt idx="398">
                  <c:v>-173.3645294624157</c:v>
                </c:pt>
                <c:pt idx="399">
                  <c:v>-174.57374485517039</c:v>
                </c:pt>
                <c:pt idx="400">
                  <c:v>-175.78110543266953</c:v>
                </c:pt>
                <c:pt idx="401">
                  <c:v>-176.98588450302805</c:v>
                </c:pt>
                <c:pt idx="402">
                  <c:v>-178.18735549419318</c:v>
                </c:pt>
                <c:pt idx="403">
                  <c:v>-179.38479371176655</c:v>
                </c:pt>
                <c:pt idx="404">
                  <c:v>179.42252191477007</c:v>
                </c:pt>
                <c:pt idx="405">
                  <c:v>178.23530710762756</c:v>
                </c:pt>
                <c:pt idx="406">
                  <c:v>177.05427054799625</c:v>
                </c:pt>
                <c:pt idx="407">
                  <c:v>175.88011222457143</c:v>
                </c:pt>
                <c:pt idx="408">
                  <c:v>174.71352183234129</c:v>
                </c:pt>
                <c:pt idx="409">
                  <c:v>173.55517723007634</c:v>
                </c:pt>
                <c:pt idx="410">
                  <c:v>172.40574296427812</c:v>
                </c:pt>
                <c:pt idx="411">
                  <c:v>171.26586886659737</c:v>
                </c:pt>
                <c:pt idx="412">
                  <c:v>170.13618873091707</c:v>
                </c:pt>
                <c:pt idx="413">
                  <c:v>169.01731907544351</c:v>
                </c:pt>
                <c:pt idx="414">
                  <c:v>167.90985799424041</c:v>
                </c:pt>
                <c:pt idx="415">
                  <c:v>166.81438410173268</c:v>
                </c:pt>
                <c:pt idx="416">
                  <c:v>165.73145557277181</c:v>
                </c:pt>
                <c:pt idx="417">
                  <c:v>164.66160927993559</c:v>
                </c:pt>
                <c:pt idx="418">
                  <c:v>163.60536002882563</c:v>
                </c:pt>
                <c:pt idx="419">
                  <c:v>162.56319989124751</c:v>
                </c:pt>
                <c:pt idx="420">
                  <c:v>161.53559763531297</c:v>
                </c:pt>
                <c:pt idx="421">
                  <c:v>160.52299825071438</c:v>
                </c:pt>
                <c:pt idx="422">
                  <c:v>159.52582256668649</c:v>
                </c:pt>
                <c:pt idx="423">
                  <c:v>158.54446695948141</c:v>
                </c:pt>
                <c:pt idx="424">
                  <c:v>157.57930314559511</c:v>
                </c:pt>
                <c:pt idx="425">
                  <c:v>156.63067805642908</c:v>
                </c:pt>
                <c:pt idx="426">
                  <c:v>155.69891378962001</c:v>
                </c:pt>
                <c:pt idx="427">
                  <c:v>154.78430763188859</c:v>
                </c:pt>
                <c:pt idx="428">
                  <c:v>153.88713214793998</c:v>
                </c:pt>
                <c:pt idx="429">
                  <c:v>153.00763532971607</c:v>
                </c:pt>
                <c:pt idx="430">
                  <c:v>152.14604080015803</c:v>
                </c:pt>
                <c:pt idx="431">
                  <c:v>151.30254806551767</c:v>
                </c:pt>
                <c:pt idx="432">
                  <c:v>150.4773328102649</c:v>
                </c:pt>
                <c:pt idx="433">
                  <c:v>149.67054722865544</c:v>
                </c:pt>
                <c:pt idx="434">
                  <c:v>148.88232038714625</c:v>
                </c:pt>
                <c:pt idx="435">
                  <c:v>148.11275861197959</c:v>
                </c:pt>
                <c:pt idx="436">
                  <c:v>147.36194589647337</c:v>
                </c:pt>
                <c:pt idx="437">
                  <c:v>146.62994432280081</c:v>
                </c:pt>
                <c:pt idx="438">
                  <c:v>145.91679449332361</c:v>
                </c:pt>
                <c:pt idx="439">
                  <c:v>145.22251596686951</c:v>
                </c:pt>
                <c:pt idx="440">
                  <c:v>144.5471076956895</c:v>
                </c:pt>
                <c:pt idx="441">
                  <c:v>143.89054845920523</c:v>
                </c:pt>
                <c:pt idx="442">
                  <c:v>143.25279729105108</c:v>
                </c:pt>
                <c:pt idx="443">
                  <c:v>142.63379389632433</c:v>
                </c:pt>
                <c:pt idx="444">
                  <c:v>142.0334590563761</c:v>
                </c:pt>
                <c:pt idx="445">
                  <c:v>141.45169501890777</c:v>
                </c:pt>
                <c:pt idx="446">
                  <c:v>140.88838587157298</c:v>
                </c:pt>
                <c:pt idx="447">
                  <c:v>140.34339789771798</c:v>
                </c:pt>
                <c:pt idx="448">
                  <c:v>139.81657991333449</c:v>
                </c:pt>
                <c:pt idx="449">
                  <c:v>139.30776358472818</c:v>
                </c:pt>
                <c:pt idx="450">
                  <c:v>138.81676372683486</c:v>
                </c:pt>
                <c:pt idx="451">
                  <c:v>138.3433785825371</c:v>
                </c:pt>
                <c:pt idx="452">
                  <c:v>137.88739008373736</c:v>
                </c:pt>
                <c:pt idx="453">
                  <c:v>137.44856409534631</c:v>
                </c:pt>
                <c:pt idx="454">
                  <c:v>137.02665064372377</c:v>
                </c:pt>
                <c:pt idx="455">
                  <c:v>136.62138413147335</c:v>
                </c:pt>
                <c:pt idx="456">
                  <c:v>136.23248354083654</c:v>
                </c:pt>
                <c:pt idx="457">
                  <c:v>135.85965262826068</c:v>
                </c:pt>
                <c:pt idx="458">
                  <c:v>135.50258011300824</c:v>
                </c:pt>
                <c:pt idx="459">
                  <c:v>135.16093986295161</c:v>
                </c:pt>
                <c:pt idx="460">
                  <c:v>134.83439108093921</c:v>
                </c:pt>
                <c:pt idx="461">
                  <c:v>134.52257849533373</c:v>
                </c:pt>
                <c:pt idx="462">
                  <c:v>134.22513255849285</c:v>
                </c:pt>
                <c:pt idx="463">
                  <c:v>133.94166965711207</c:v>
                </c:pt>
                <c:pt idx="464">
                  <c:v>133.67179233843848</c:v>
                </c:pt>
                <c:pt idx="465">
                  <c:v>133.41508955642831</c:v>
                </c:pt>
                <c:pt idx="466">
                  <c:v>133.17113694192352</c:v>
                </c:pt>
                <c:pt idx="467">
                  <c:v>132.93949710090075</c:v>
                </c:pt>
                <c:pt idx="468">
                  <c:v>132.71971994474154</c:v>
                </c:pt>
                <c:pt idx="469">
                  <c:v>132.51134305635256</c:v>
                </c:pt>
                <c:pt idx="470">
                  <c:v>132.31389209576764</c:v>
                </c:pt>
                <c:pt idx="471">
                  <c:v>132.12688124863223</c:v>
                </c:pt>
                <c:pt idx="472">
                  <c:v>131.9498137206686</c:v>
                </c:pt>
                <c:pt idx="473">
                  <c:v>131.78218228089389</c:v>
                </c:pt>
                <c:pt idx="474">
                  <c:v>131.62346985596031</c:v>
                </c:pt>
                <c:pt idx="475">
                  <c:v>131.47315017756407</c:v>
                </c:pt>
                <c:pt idx="476">
                  <c:v>131.33068848438413</c:v>
                </c:pt>
                <c:pt idx="477">
                  <c:v>131.19554227950161</c:v>
                </c:pt>
                <c:pt idx="478">
                  <c:v>131.06716214370914</c:v>
                </c:pt>
                <c:pt idx="479">
                  <c:v>130.94499260453847</c:v>
                </c:pt>
                <c:pt idx="480">
                  <c:v>130.82847306024959</c:v>
                </c:pt>
                <c:pt idx="481">
                  <c:v>130.7170387574219</c:v>
                </c:pt>
                <c:pt idx="482">
                  <c:v>130.61012182017592</c:v>
                </c:pt>
                <c:pt idx="483">
                  <c:v>130.50715232845513</c:v>
                </c:pt>
                <c:pt idx="484">
                  <c:v>130.4075594422041</c:v>
                </c:pt>
                <c:pt idx="485">
                  <c:v>130.31077256770925</c:v>
                </c:pt>
                <c:pt idx="486">
                  <c:v>130.21622256182775</c:v>
                </c:pt>
                <c:pt idx="487">
                  <c:v>130.12334296931994</c:v>
                </c:pt>
                <c:pt idx="488">
                  <c:v>130.03157128804628</c:v>
                </c:pt>
                <c:pt idx="489">
                  <c:v>129.94035025636495</c:v>
                </c:pt>
                <c:pt idx="490">
                  <c:v>129.8491291567218</c:v>
                </c:pt>
                <c:pt idx="491">
                  <c:v>129.75736512911118</c:v>
                </c:pt>
                <c:pt idx="492">
                  <c:v>129.66452448786458</c:v>
                </c:pt>
                <c:pt idx="493">
                  <c:v>129.57008403503687</c:v>
                </c:pt>
                <c:pt idx="494">
                  <c:v>129.47353236356773</c:v>
                </c:pt>
                <c:pt idx="495">
                  <c:v>129.37437114334435</c:v>
                </c:pt>
                <c:pt idx="496">
                  <c:v>129.2721163833202</c:v>
                </c:pt>
                <c:pt idx="497">
                  <c:v>129.1662996629284</c:v>
                </c:pt>
                <c:pt idx="498">
                  <c:v>129.05646932616358</c:v>
                </c:pt>
                <c:pt idx="499">
                  <c:v>128.94219163191423</c:v>
                </c:pt>
                <c:pt idx="500">
                  <c:v>128.82305185435942</c:v>
                </c:pt>
                <c:pt idx="501">
                  <c:v>128.69865532754019</c:v>
                </c:pt>
                <c:pt idx="502">
                  <c:v>128.56862842854167</c:v>
                </c:pt>
                <c:pt idx="503">
                  <c:v>128.43261949407591</c:v>
                </c:pt>
                <c:pt idx="504">
                  <c:v>128.29029966564948</c:v>
                </c:pt>
                <c:pt idx="505">
                  <c:v>128.1413636589059</c:v>
                </c:pt>
                <c:pt idx="506">
                  <c:v>127.98553045315329</c:v>
                </c:pt>
                <c:pt idx="507">
                  <c:v>127.82254389753594</c:v>
                </c:pt>
                <c:pt idx="508">
                  <c:v>127.65217323074909</c:v>
                </c:pt>
                <c:pt idx="509">
                  <c:v>127.47421351165583</c:v>
                </c:pt>
                <c:pt idx="510">
                  <c:v>127.28848595861965</c:v>
                </c:pt>
                <c:pt idx="511">
                  <c:v>127.09483819582765</c:v>
                </c:pt>
                <c:pt idx="512">
                  <c:v>126.89314440534848</c:v>
                </c:pt>
                <c:pt idx="513">
                  <c:v>126.6833053841134</c:v>
                </c:pt>
                <c:pt idx="514">
                  <c:v>126.46524850549791</c:v>
                </c:pt>
                <c:pt idx="515">
                  <c:v>126.2389275856153</c:v>
                </c:pt>
                <c:pt idx="516">
                  <c:v>126.00432265492083</c:v>
                </c:pt>
                <c:pt idx="517">
                  <c:v>125.76143963617537</c:v>
                </c:pt>
                <c:pt idx="518">
                  <c:v>125.51030993028083</c:v>
                </c:pt>
                <c:pt idx="519">
                  <c:v>125.25098991197959</c:v>
                </c:pt>
                <c:pt idx="520">
                  <c:v>124.98356033785149</c:v>
                </c:pt>
                <c:pt idx="521">
                  <c:v>124.70812566952462</c:v>
                </c:pt>
                <c:pt idx="522">
                  <c:v>124.42481331546318</c:v>
                </c:pt>
                <c:pt idx="523">
                  <c:v>124.13377279515329</c:v>
                </c:pt>
                <c:pt idx="524">
                  <c:v>123.83517482995101</c:v>
                </c:pt>
                <c:pt idx="525">
                  <c:v>123.52921036528814</c:v>
                </c:pt>
                <c:pt idx="526">
                  <c:v>123.21608952934164</c:v>
                </c:pt>
                <c:pt idx="527">
                  <c:v>122.89604053367209</c:v>
                </c:pt>
                <c:pt idx="528">
                  <c:v>122.56930852169445</c:v>
                </c:pt>
                <c:pt idx="529">
                  <c:v>122.23615437117306</c:v>
                </c:pt>
                <c:pt idx="530">
                  <c:v>121.89685345724125</c:v>
                </c:pt>
                <c:pt idx="531">
                  <c:v>121.55169438267602</c:v>
                </c:pt>
                <c:pt idx="532">
                  <c:v>121.20097768237464</c:v>
                </c:pt>
                <c:pt idx="533">
                  <c:v>120.84501450911449</c:v>
                </c:pt>
                <c:pt idx="534">
                  <c:v>120.48412530777857</c:v>
                </c:pt>
                <c:pt idx="535">
                  <c:v>120.11863848524911</c:v>
                </c:pt>
                <c:pt idx="536">
                  <c:v>119.74888908313457</c:v>
                </c:pt>
                <c:pt idx="537">
                  <c:v>119.37521746040699</c:v>
                </c:pt>
                <c:pt idx="538">
                  <c:v>118.99796799284775</c:v>
                </c:pt>
                <c:pt idx="539">
                  <c:v>118.61748779598038</c:v>
                </c:pt>
                <c:pt idx="540">
                  <c:v>118.23412547787885</c:v>
                </c:pt>
                <c:pt idx="541">
                  <c:v>117.8482299278869</c:v>
                </c:pt>
              </c:numCache>
            </c:numRef>
          </c:yVal>
          <c:smooth val="1"/>
          <c:extLst>
            <c:ext xmlns:c16="http://schemas.microsoft.com/office/drawing/2014/chart" uri="{C3380CC4-5D6E-409C-BE32-E72D297353CC}">
              <c16:uniqueId val="{00000001-D13D-4F31-A1F4-F359C82058E5}"/>
            </c:ext>
          </c:extLst>
        </c:ser>
        <c:dLbls>
          <c:showLegendKey val="0"/>
          <c:showVal val="0"/>
          <c:showCatName val="0"/>
          <c:showSerName val="0"/>
          <c:showPercent val="0"/>
          <c:showBubbleSize val="0"/>
        </c:dLbls>
        <c:axId val="331791744"/>
        <c:axId val="331790208"/>
      </c:scatterChart>
      <c:valAx>
        <c:axId val="331786112"/>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331788288"/>
        <c:crosses val="autoZero"/>
        <c:crossBetween val="midCat"/>
      </c:valAx>
      <c:valAx>
        <c:axId val="331788288"/>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331786112"/>
        <c:crosses val="autoZero"/>
        <c:crossBetween val="midCat"/>
        <c:majorUnit val="20"/>
        <c:minorUnit val="10"/>
      </c:valAx>
      <c:valAx>
        <c:axId val="331790208"/>
        <c:scaling>
          <c:orientation val="minMax"/>
          <c:max val="180"/>
          <c:min val="-180"/>
        </c:scaling>
        <c:delete val="0"/>
        <c:axPos val="r"/>
        <c:numFmt formatCode="General" sourceLinked="1"/>
        <c:majorTickMark val="out"/>
        <c:minorTickMark val="none"/>
        <c:tickLblPos val="nextTo"/>
        <c:crossAx val="331791744"/>
        <c:crosses val="max"/>
        <c:crossBetween val="midCat"/>
        <c:majorUnit val="90"/>
        <c:minorUnit val="45"/>
      </c:valAx>
      <c:valAx>
        <c:axId val="331791744"/>
        <c:scaling>
          <c:logBase val="10"/>
          <c:orientation val="minMax"/>
        </c:scaling>
        <c:delete val="1"/>
        <c:axPos val="b"/>
        <c:numFmt formatCode="0.00" sourceLinked="1"/>
        <c:majorTickMark val="out"/>
        <c:minorTickMark val="none"/>
        <c:tickLblPos val="nextTo"/>
        <c:crossAx val="331790208"/>
        <c:crosses val="autoZero"/>
        <c:crossBetween val="midCat"/>
      </c:valAx>
    </c:plotArea>
    <c:legend>
      <c:legendPos val="r"/>
      <c:layout>
        <c:manualLayout>
          <c:xMode val="edge"/>
          <c:yMode val="edge"/>
          <c:x val="0.79880558209512509"/>
          <c:y val="0.14321997959862004"/>
          <c:w val="0.13459449276057311"/>
          <c:h val="0.10691609861199437"/>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Eff_vs_IOUT!$BZ$7:$BZ$157</c:f>
              <c:numCache>
                <c:formatCode>General</c:formatCode>
                <c:ptCount val="151"/>
                <c:pt idx="0">
                  <c:v>0</c:v>
                </c:pt>
                <c:pt idx="1">
                  <c:v>10.899254978714383</c:v>
                </c:pt>
                <c:pt idx="2">
                  <c:v>19.441150108439537</c:v>
                </c:pt>
                <c:pt idx="3">
                  <c:v>26.353383851720828</c:v>
                </c:pt>
                <c:pt idx="4">
                  <c:v>32.072755098680396</c:v>
                </c:pt>
                <c:pt idx="5">
                  <c:v>36.888877277750787</c:v>
                </c:pt>
                <c:pt idx="6">
                  <c:v>41.003140217307433</c:v>
                </c:pt>
                <c:pt idx="7">
                  <c:v>44.560492826501367</c:v>
                </c:pt>
                <c:pt idx="8">
                  <c:v>47.668153183287401</c:v>
                </c:pt>
                <c:pt idx="9">
                  <c:v>50.40724619300213</c:v>
                </c:pt>
                <c:pt idx="10">
                  <c:v>52.840344763069361</c:v>
                </c:pt>
                <c:pt idx="11">
                  <c:v>55.016519707648904</c:v>
                </c:pt>
                <c:pt idx="12">
                  <c:v>56.974815497025318</c:v>
                </c:pt>
                <c:pt idx="13">
                  <c:v>58.746699436603002</c:v>
                </c:pt>
                <c:pt idx="14">
                  <c:v>60.357823156448845</c:v>
                </c:pt>
                <c:pt idx="15">
                  <c:v>61.829312568280024</c:v>
                </c:pt>
                <c:pt idx="16">
                  <c:v>63.178727810125388</c:v>
                </c:pt>
                <c:pt idx="17">
                  <c:v>64.420787977469487</c:v>
                </c:pt>
                <c:pt idx="18">
                  <c:v>65.532474639671605</c:v>
                </c:pt>
                <c:pt idx="19">
                  <c:v>66.546739035199934</c:v>
                </c:pt>
                <c:pt idx="20">
                  <c:v>67.486630042115436</c:v>
                </c:pt>
                <c:pt idx="21">
                  <c:v>68.360015013227553</c:v>
                </c:pt>
                <c:pt idx="22">
                  <c:v>69.173689467421923</c:v>
                </c:pt>
                <c:pt idx="23">
                  <c:v>69.9335536084062</c:v>
                </c:pt>
                <c:pt idx="24">
                  <c:v>70.644755071105834</c:v>
                </c:pt>
                <c:pt idx="25">
                  <c:v>71.311805201146811</c:v>
                </c:pt>
                <c:pt idx="26">
                  <c:v>71.938674420977179</c:v>
                </c:pt>
                <c:pt idx="27">
                  <c:v>72.528870943164847</c:v>
                </c:pt>
                <c:pt idx="28">
                  <c:v>73.08550612749616</c:v>
                </c:pt>
                <c:pt idx="29">
                  <c:v>73.611349053176212</c:v>
                </c:pt>
                <c:pt idx="30">
                  <c:v>74.108872326837627</c:v>
                </c:pt>
                <c:pt idx="31">
                  <c:v>74.580290725648467</c:v>
                </c:pt>
                <c:pt idx="32">
                  <c:v>75.027593949753765</c:v>
                </c:pt>
                <c:pt idx="33">
                  <c:v>75.452574505713528</c:v>
                </c:pt>
                <c:pt idx="34">
                  <c:v>75.85685154498816</c:v>
                </c:pt>
                <c:pt idx="35">
                  <c:v>76.241891325895111</c:v>
                </c:pt>
                <c:pt idx="36">
                  <c:v>76.609024844136485</c:v>
                </c:pt>
                <c:pt idx="37">
                  <c:v>76.959463078692764</c:v>
                </c:pt>
                <c:pt idx="38">
                  <c:v>77.2943102210794</c:v>
                </c:pt>
                <c:pt idx="39">
                  <c:v>77.614575192460194</c:v>
                </c:pt>
                <c:pt idx="40">
                  <c:v>77.921181701677568</c:v>
                </c:pt>
                <c:pt idx="41">
                  <c:v>78.214977055396943</c:v>
                </c:pt>
                <c:pt idx="42">
                  <c:v>78.496739897333597</c:v>
                </c:pt>
                <c:pt idx="43">
                  <c:v>78.7671870254174</c:v>
                </c:pt>
                <c:pt idx="44">
                  <c:v>79.02697941256497</c:v>
                </c:pt>
                <c:pt idx="45">
                  <c:v>79.27672753752843</c:v>
                </c:pt>
                <c:pt idx="46">
                  <c:v>79.516996116327292</c:v>
                </c:pt>
                <c:pt idx="47">
                  <c:v>79.748308311450344</c:v>
                </c:pt>
                <c:pt idx="48">
                  <c:v>79.971149484860931</c:v>
                </c:pt>
                <c:pt idx="49">
                  <c:v>80.185970551465289</c:v>
                </c:pt>
                <c:pt idx="50">
                  <c:v>80.393190981801823</c:v>
                </c:pt>
                <c:pt idx="51">
                  <c:v>80.593201496025273</c:v>
                </c:pt>
                <c:pt idx="52">
                  <c:v>80.786366485589468</c:v>
                </c:pt>
                <c:pt idx="53">
                  <c:v>80.973026194207549</c:v>
                </c:pt>
                <c:pt idx="54">
                  <c:v>81.153498685551213</c:v>
                </c:pt>
                <c:pt idx="55">
                  <c:v>81.328081621627859</c:v>
                </c:pt>
                <c:pt idx="56">
                  <c:v>81.497053872751778</c:v>
                </c:pt>
                <c:pt idx="57">
                  <c:v>81.66067697742541</c:v>
                </c:pt>
                <c:pt idx="58">
                  <c:v>81.819196468205462</c:v>
                </c:pt>
                <c:pt idx="59">
                  <c:v>81.972843077690158</c:v>
                </c:pt>
                <c:pt idx="60">
                  <c:v>82.121833837085418</c:v>
                </c:pt>
                <c:pt idx="61">
                  <c:v>82.266373078349559</c:v>
                </c:pt>
                <c:pt idx="62">
                  <c:v>82.406653349647996</c:v>
                </c:pt>
                <c:pt idx="63">
                  <c:v>82.542856252741814</c:v>
                </c:pt>
                <c:pt idx="64">
                  <c:v>82.675153209968869</c:v>
                </c:pt>
                <c:pt idx="65">
                  <c:v>82.803706167627851</c:v>
                </c:pt>
                <c:pt idx="66">
                  <c:v>82.928668241834032</c:v>
                </c:pt>
                <c:pt idx="67">
                  <c:v>83.050184312261919</c:v>
                </c:pt>
                <c:pt idx="68">
                  <c:v>83.168391568615974</c:v>
                </c:pt>
                <c:pt idx="69">
                  <c:v>83.283420014162047</c:v>
                </c:pt>
                <c:pt idx="70">
                  <c:v>83.39539293020573</c:v>
                </c:pt>
                <c:pt idx="71">
                  <c:v>83.504427305005677</c:v>
                </c:pt>
                <c:pt idx="72">
                  <c:v>83.610634230259322</c:v>
                </c:pt>
                <c:pt idx="73">
                  <c:v>83.714119267985282</c:v>
                </c:pt>
                <c:pt idx="74">
                  <c:v>83.814982790349873</c:v>
                </c:pt>
                <c:pt idx="75">
                  <c:v>83.913320294736977</c:v>
                </c:pt>
                <c:pt idx="76">
                  <c:v>84.009222696140128</c:v>
                </c:pt>
                <c:pt idx="77">
                  <c:v>84.102776598758823</c:v>
                </c:pt>
                <c:pt idx="78">
                  <c:v>84.194064548504215</c:v>
                </c:pt>
                <c:pt idx="79">
                  <c:v>84.283165267961508</c:v>
                </c:pt>
                <c:pt idx="80">
                  <c:v>84.370153875215081</c:v>
                </c:pt>
                <c:pt idx="81">
                  <c:v>84.455102087814453</c:v>
                </c:pt>
                <c:pt idx="82">
                  <c:v>84.538078413045127</c:v>
                </c:pt>
                <c:pt idx="83">
                  <c:v>84.619148325565504</c:v>
                </c:pt>
                <c:pt idx="84">
                  <c:v>84.698374433377381</c:v>
                </c:pt>
                <c:pt idx="85">
                  <c:v>84.775816633014813</c:v>
                </c:pt>
                <c:pt idx="86">
                  <c:v>84.851532254759121</c:v>
                </c:pt>
                <c:pt idx="87">
                  <c:v>84.925576198620618</c:v>
                </c:pt>
                <c:pt idx="88">
                  <c:v>84.998001061764143</c:v>
                </c:pt>
                <c:pt idx="89">
                  <c:v>85.068857258000392</c:v>
                </c:pt>
                <c:pt idx="90">
                  <c:v>85.138193129913518</c:v>
                </c:pt>
                <c:pt idx="91">
                  <c:v>85.206055054148749</c:v>
                </c:pt>
                <c:pt idx="92">
                  <c:v>85.272487540342112</c:v>
                </c:pt>
                <c:pt idx="93">
                  <c:v>85.337533324135805</c:v>
                </c:pt>
                <c:pt idx="94">
                  <c:v>85.401233454687357</c:v>
                </c:pt>
                <c:pt idx="95">
                  <c:v>85.463627377049562</c:v>
                </c:pt>
                <c:pt idx="96">
                  <c:v>85.524753009767977</c:v>
                </c:pt>
                <c:pt idx="97">
                  <c:v>85.58464681801749</c:v>
                </c:pt>
                <c:pt idx="98">
                  <c:v>85.643343882573561</c:v>
                </c:pt>
                <c:pt idx="99">
                  <c:v>85.700877964893024</c:v>
                </c:pt>
                <c:pt idx="100">
                  <c:v>85.757281568557403</c:v>
                </c:pt>
                <c:pt idx="101">
                  <c:v>85.812585997314301</c:v>
                </c:pt>
                <c:pt idx="102">
                  <c:v>85.866821409934374</c:v>
                </c:pt>
                <c:pt idx="103">
                  <c:v>85.92001687208564</c:v>
                </c:pt>
                <c:pt idx="104">
                  <c:v>85.972200405413162</c:v>
                </c:pt>
                <c:pt idx="105">
                  <c:v>86.023399033997634</c:v>
                </c:pt>
                <c:pt idx="106">
                  <c:v>86.073638828355172</c:v>
                </c:pt>
                <c:pt idx="107">
                  <c:v>86.122944947128474</c:v>
                </c:pt>
                <c:pt idx="108">
                  <c:v>86.171341676609671</c:v>
                </c:pt>
                <c:pt idx="109">
                  <c:v>86.218852468225265</c:v>
                </c:pt>
                <c:pt idx="110">
                  <c:v>86.265499974104443</c:v>
                </c:pt>
                <c:pt idx="111">
                  <c:v>86.311306080844687</c:v>
                </c:pt>
                <c:pt idx="112">
                  <c:v>86.356291941579713</c:v>
                </c:pt>
                <c:pt idx="113">
                  <c:v>86.400478006449106</c:v>
                </c:pt>
                <c:pt idx="114">
                  <c:v>86.443884051561241</c:v>
                </c:pt>
                <c:pt idx="115">
                  <c:v>86.486529206536318</c:v>
                </c:pt>
                <c:pt idx="116">
                  <c:v>86.528431980709541</c:v>
                </c:pt>
                <c:pt idx="117">
                  <c:v>86.569610288070081</c:v>
                </c:pt>
                <c:pt idx="118">
                  <c:v>86.610081471006609</c:v>
                </c:pt>
                <c:pt idx="119">
                  <c:v>86.649862322925003</c:v>
                </c:pt>
                <c:pt idx="120">
                  <c:v>86.688969109800794</c:v>
                </c:pt>
                <c:pt idx="121">
                  <c:v>86.727417590724102</c:v>
                </c:pt>
                <c:pt idx="122">
                  <c:v>86.765223037491523</c:v>
                </c:pt>
                <c:pt idx="123">
                  <c:v>86.802400253296511</c:v>
                </c:pt>
                <c:pt idx="124">
                  <c:v>86.838963590565783</c:v>
                </c:pt>
                <c:pt idx="125">
                  <c:v>86.874926967987463</c:v>
                </c:pt>
                <c:pt idx="126">
                  <c:v>86.910303886772951</c:v>
                </c:pt>
                <c:pt idx="127">
                  <c:v>86.945107446192566</c:v>
                </c:pt>
                <c:pt idx="128">
                  <c:v>86.979350358422678</c:v>
                </c:pt>
                <c:pt idx="129">
                  <c:v>87.013044962739556</c:v>
                </c:pt>
                <c:pt idx="130">
                  <c:v>87.046203239093046</c:v>
                </c:pt>
                <c:pt idx="131">
                  <c:v>87.07883682109177</c:v>
                </c:pt>
                <c:pt idx="132">
                  <c:v>87.11095700842931</c:v>
                </c:pt>
                <c:pt idx="133">
                  <c:v>87.142574778778993</c:v>
                </c:pt>
                <c:pt idx="134">
                  <c:v>87.17370079918409</c:v>
                </c:pt>
                <c:pt idx="135">
                  <c:v>87.204345436967657</c:v>
                </c:pt>
                <c:pt idx="136">
                  <c:v>87.234518770186057</c:v>
                </c:pt>
                <c:pt idx="137">
                  <c:v>87.264230597647796</c:v>
                </c:pt>
                <c:pt idx="138">
                  <c:v>87.293490448518895</c:v>
                </c:pt>
                <c:pt idx="139">
                  <c:v>87.322307591534482</c:v>
                </c:pt>
                <c:pt idx="140">
                  <c:v>87.350691043835397</c:v>
                </c:pt>
                <c:pt idx="141">
                  <c:v>87.378649579447213</c:v>
                </c:pt>
                <c:pt idx="142">
                  <c:v>87.406191737418936</c:v>
                </c:pt>
                <c:pt idx="143">
                  <c:v>87.433325829636701</c:v>
                </c:pt>
                <c:pt idx="144">
                  <c:v>87.460059948327824</c:v>
                </c:pt>
                <c:pt idx="145">
                  <c:v>87.486401973269324</c:v>
                </c:pt>
                <c:pt idx="146">
                  <c:v>87.512359578714481</c:v>
                </c:pt>
                <c:pt idx="147">
                  <c:v>87.537940240050048</c:v>
                </c:pt>
                <c:pt idx="148">
                  <c:v>87.563151240196461</c:v>
                </c:pt>
                <c:pt idx="149">
                  <c:v>87.587999675762362</c:v>
                </c:pt>
                <c:pt idx="150">
                  <c:v>87.612492462964596</c:v>
                </c:pt>
              </c:numCache>
            </c:numRef>
          </c:yVal>
          <c:smooth val="0"/>
          <c:extLst>
            <c:ext xmlns:c16="http://schemas.microsoft.com/office/drawing/2014/chart" uri="{C3380CC4-5D6E-409C-BE32-E72D297353CC}">
              <c16:uniqueId val="{00000000-2D92-4CB2-A641-52AD34A639BE}"/>
            </c:ext>
          </c:extLst>
        </c:ser>
        <c:dLbls>
          <c:showLegendKey val="0"/>
          <c:showVal val="0"/>
          <c:showCatName val="0"/>
          <c:showSerName val="0"/>
          <c:showPercent val="0"/>
          <c:showBubbleSize val="0"/>
        </c:dLbls>
        <c:axId val="586594176"/>
        <c:axId val="586595712"/>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Eff_vs_IOUT!$AJ$7:$AJ$157</c:f>
              <c:numCache>
                <c:formatCode>General</c:formatCode>
                <c:ptCount val="151"/>
                <c:pt idx="0">
                  <c:v>0</c:v>
                </c:pt>
                <c:pt idx="1">
                  <c:v>9.0474538071438404E-2</c:v>
                </c:pt>
                <c:pt idx="2">
                  <c:v>0.12795031879006907</c:v>
                </c:pt>
                <c:pt idx="3">
                  <c:v>0.15670649673105599</c:v>
                </c:pt>
                <c:pt idx="4">
                  <c:v>0.18094907614287681</c:v>
                </c:pt>
                <c:pt idx="5">
                  <c:v>0.20230721736062895</c:v>
                </c:pt>
                <c:pt idx="6">
                  <c:v>0.22161645298903454</c:v>
                </c:pt>
                <c:pt idx="7">
                  <c:v>0.23937312772047134</c:v>
                </c:pt>
                <c:pt idx="8">
                  <c:v>0.25590063758013815</c:v>
                </c:pt>
                <c:pt idx="9">
                  <c:v>0.27142361421431516</c:v>
                </c:pt>
                <c:pt idx="10">
                  <c:v>0.28610561055736311</c:v>
                </c:pt>
                <c:pt idx="11">
                  <c:v>0.30007009586368605</c:v>
                </c:pt>
                <c:pt idx="12">
                  <c:v>0.31341299346211199</c:v>
                </c:pt>
                <c:pt idx="13">
                  <c:v>0.32621058614048987</c:v>
                </c:pt>
                <c:pt idx="14">
                  <c:v>0.33852472368995773</c:v>
                </c:pt>
                <c:pt idx="15">
                  <c:v>0.35040637920648987</c:v>
                </c:pt>
                <c:pt idx="16">
                  <c:v>0.36189815228575362</c:v>
                </c:pt>
                <c:pt idx="17">
                  <c:v>0.37303607689750684</c:v>
                </c:pt>
                <c:pt idx="18">
                  <c:v>0.39176624182763992</c:v>
                </c:pt>
                <c:pt idx="19">
                  <c:v>0.4135310330402866</c:v>
                </c:pt>
                <c:pt idx="20">
                  <c:v>0.43529582425293323</c:v>
                </c:pt>
                <c:pt idx="21">
                  <c:v>0.45706061546557991</c:v>
                </c:pt>
                <c:pt idx="22">
                  <c:v>0.47882540667822654</c:v>
                </c:pt>
                <c:pt idx="23">
                  <c:v>0.50059019789087322</c:v>
                </c:pt>
                <c:pt idx="24">
                  <c:v>0.52235498910351996</c:v>
                </c:pt>
                <c:pt idx="25">
                  <c:v>0.5441197803161667</c:v>
                </c:pt>
                <c:pt idx="26">
                  <c:v>0.56588457152881322</c:v>
                </c:pt>
                <c:pt idx="27">
                  <c:v>0.58764936274145996</c:v>
                </c:pt>
                <c:pt idx="28">
                  <c:v>0.60941415395410659</c:v>
                </c:pt>
                <c:pt idx="29">
                  <c:v>0.63117894516675332</c:v>
                </c:pt>
                <c:pt idx="30">
                  <c:v>0.65294373637939995</c:v>
                </c:pt>
                <c:pt idx="31">
                  <c:v>0.67470852759204647</c:v>
                </c:pt>
                <c:pt idx="32">
                  <c:v>0.69647331880469332</c:v>
                </c:pt>
                <c:pt idx="33">
                  <c:v>0.71823811001733995</c:v>
                </c:pt>
                <c:pt idx="34">
                  <c:v>0.74000290122998647</c:v>
                </c:pt>
                <c:pt idx="35">
                  <c:v>0.76176769244263332</c:v>
                </c:pt>
                <c:pt idx="36">
                  <c:v>0.78353248365527983</c:v>
                </c:pt>
                <c:pt idx="37">
                  <c:v>0.80529727486792657</c:v>
                </c:pt>
                <c:pt idx="38">
                  <c:v>0.8270620660805732</c:v>
                </c:pt>
                <c:pt idx="39">
                  <c:v>0.84882685729321994</c:v>
                </c:pt>
                <c:pt idx="40">
                  <c:v>0.87059164850586646</c:v>
                </c:pt>
                <c:pt idx="41">
                  <c:v>0.89235643971851342</c:v>
                </c:pt>
                <c:pt idx="42">
                  <c:v>0.91412123093115982</c:v>
                </c:pt>
                <c:pt idx="43">
                  <c:v>0.93588602214380656</c:v>
                </c:pt>
                <c:pt idx="44">
                  <c:v>0.95765081335645308</c:v>
                </c:pt>
                <c:pt idx="45">
                  <c:v>0.97941560456909993</c:v>
                </c:pt>
                <c:pt idx="46">
                  <c:v>1.0011803957817464</c:v>
                </c:pt>
                <c:pt idx="47">
                  <c:v>1.0229451869943933</c:v>
                </c:pt>
                <c:pt idx="48">
                  <c:v>1.0447099782070399</c:v>
                </c:pt>
                <c:pt idx="49">
                  <c:v>1.0664747694196866</c:v>
                </c:pt>
                <c:pt idx="50">
                  <c:v>1.0882395606323334</c:v>
                </c:pt>
                <c:pt idx="51">
                  <c:v>1.1100043518449798</c:v>
                </c:pt>
                <c:pt idx="52">
                  <c:v>1.1317691430576264</c:v>
                </c:pt>
                <c:pt idx="53">
                  <c:v>1.1535339342702731</c:v>
                </c:pt>
                <c:pt idx="54">
                  <c:v>1.1752987254829199</c:v>
                </c:pt>
                <c:pt idx="55">
                  <c:v>1.1970635166955663</c:v>
                </c:pt>
                <c:pt idx="56">
                  <c:v>1.2188283079082132</c:v>
                </c:pt>
                <c:pt idx="57">
                  <c:v>1.2405930991208598</c:v>
                </c:pt>
                <c:pt idx="58">
                  <c:v>1.2623578903335066</c:v>
                </c:pt>
                <c:pt idx="59">
                  <c:v>1.2841226815461531</c:v>
                </c:pt>
                <c:pt idx="60">
                  <c:v>1.3058874727587999</c:v>
                </c:pt>
                <c:pt idx="61">
                  <c:v>1.3276522639714468</c:v>
                </c:pt>
                <c:pt idx="62">
                  <c:v>1.3494170551840929</c:v>
                </c:pt>
                <c:pt idx="63">
                  <c:v>1.3711818463967398</c:v>
                </c:pt>
                <c:pt idx="64">
                  <c:v>1.3929466376093866</c:v>
                </c:pt>
                <c:pt idx="65">
                  <c:v>1.4147114288220328</c:v>
                </c:pt>
                <c:pt idx="66">
                  <c:v>1.4364762200346799</c:v>
                </c:pt>
                <c:pt idx="67">
                  <c:v>1.4582410112473267</c:v>
                </c:pt>
                <c:pt idx="68">
                  <c:v>1.4800058024599729</c:v>
                </c:pt>
                <c:pt idx="69">
                  <c:v>1.5017705936726198</c:v>
                </c:pt>
                <c:pt idx="70">
                  <c:v>1.5235353848852666</c:v>
                </c:pt>
                <c:pt idx="71">
                  <c:v>1.545300176097913</c:v>
                </c:pt>
                <c:pt idx="72">
                  <c:v>1.5670649673105597</c:v>
                </c:pt>
                <c:pt idx="73">
                  <c:v>1.5888297585232063</c:v>
                </c:pt>
                <c:pt idx="74">
                  <c:v>1.6105945497358531</c:v>
                </c:pt>
                <c:pt idx="75">
                  <c:v>1.6323593409484998</c:v>
                </c:pt>
                <c:pt idx="76">
                  <c:v>1.6541241321611464</c:v>
                </c:pt>
                <c:pt idx="77">
                  <c:v>1.675888923373793</c:v>
                </c:pt>
                <c:pt idx="78">
                  <c:v>1.6976537145864399</c:v>
                </c:pt>
                <c:pt idx="79">
                  <c:v>1.7194185057990867</c:v>
                </c:pt>
                <c:pt idx="80">
                  <c:v>1.7411832970117329</c:v>
                </c:pt>
                <c:pt idx="81">
                  <c:v>1.76294808822438</c:v>
                </c:pt>
                <c:pt idx="82">
                  <c:v>1.7847128794370268</c:v>
                </c:pt>
                <c:pt idx="83">
                  <c:v>1.806477670649673</c:v>
                </c:pt>
                <c:pt idx="84">
                  <c:v>1.8282424618623196</c:v>
                </c:pt>
                <c:pt idx="85">
                  <c:v>1.8500072530749665</c:v>
                </c:pt>
                <c:pt idx="86">
                  <c:v>1.8717720442876131</c:v>
                </c:pt>
                <c:pt idx="87">
                  <c:v>1.8935368355002595</c:v>
                </c:pt>
                <c:pt idx="88">
                  <c:v>1.9153016267129062</c:v>
                </c:pt>
                <c:pt idx="89">
                  <c:v>1.937066417925553</c:v>
                </c:pt>
                <c:pt idx="90">
                  <c:v>1.9588312091381999</c:v>
                </c:pt>
                <c:pt idx="91">
                  <c:v>1.9805960003508463</c:v>
                </c:pt>
                <c:pt idx="92">
                  <c:v>2.0023607915634929</c:v>
                </c:pt>
                <c:pt idx="93">
                  <c:v>2.0241255827761395</c:v>
                </c:pt>
                <c:pt idx="94">
                  <c:v>2.0458903739887866</c:v>
                </c:pt>
                <c:pt idx="95">
                  <c:v>2.0676551652014332</c:v>
                </c:pt>
                <c:pt idx="96">
                  <c:v>2.0894199564140798</c:v>
                </c:pt>
                <c:pt idx="97">
                  <c:v>2.1111847476267265</c:v>
                </c:pt>
                <c:pt idx="98">
                  <c:v>2.1329495388393731</c:v>
                </c:pt>
                <c:pt idx="99">
                  <c:v>2.1547143300520197</c:v>
                </c:pt>
                <c:pt idx="100">
                  <c:v>2.1764791212646668</c:v>
                </c:pt>
                <c:pt idx="101">
                  <c:v>2.198243912477313</c:v>
                </c:pt>
                <c:pt idx="102">
                  <c:v>2.2200087036899596</c:v>
                </c:pt>
                <c:pt idx="103">
                  <c:v>2.2417734949026067</c:v>
                </c:pt>
                <c:pt idx="104">
                  <c:v>2.2635382861152529</c:v>
                </c:pt>
                <c:pt idx="105">
                  <c:v>2.2853030773278995</c:v>
                </c:pt>
                <c:pt idx="106">
                  <c:v>2.3070678685405461</c:v>
                </c:pt>
                <c:pt idx="107">
                  <c:v>2.3288326597531928</c:v>
                </c:pt>
                <c:pt idx="108">
                  <c:v>2.3505974509658398</c:v>
                </c:pt>
                <c:pt idx="109">
                  <c:v>2.3723622421784865</c:v>
                </c:pt>
                <c:pt idx="110">
                  <c:v>2.3941270333911326</c:v>
                </c:pt>
                <c:pt idx="111">
                  <c:v>2.4158918246037793</c:v>
                </c:pt>
                <c:pt idx="112">
                  <c:v>2.4376566158164263</c:v>
                </c:pt>
                <c:pt idx="113">
                  <c:v>2.459421407029073</c:v>
                </c:pt>
                <c:pt idx="114">
                  <c:v>2.4811861982417196</c:v>
                </c:pt>
                <c:pt idx="115">
                  <c:v>2.5029509894543667</c:v>
                </c:pt>
                <c:pt idx="116">
                  <c:v>2.5247157806670133</c:v>
                </c:pt>
                <c:pt idx="117">
                  <c:v>2.5464805718796595</c:v>
                </c:pt>
                <c:pt idx="118">
                  <c:v>2.5682453630923061</c:v>
                </c:pt>
                <c:pt idx="119">
                  <c:v>2.5900101543049536</c:v>
                </c:pt>
                <c:pt idx="120">
                  <c:v>2.6117749455175998</c:v>
                </c:pt>
                <c:pt idx="121">
                  <c:v>2.6335397367302464</c:v>
                </c:pt>
                <c:pt idx="122">
                  <c:v>2.6553045279428935</c:v>
                </c:pt>
                <c:pt idx="123">
                  <c:v>2.6770693191555393</c:v>
                </c:pt>
                <c:pt idx="124">
                  <c:v>2.6988341103681859</c:v>
                </c:pt>
                <c:pt idx="125">
                  <c:v>2.7205989015808334</c:v>
                </c:pt>
                <c:pt idx="126">
                  <c:v>2.7423636927934796</c:v>
                </c:pt>
                <c:pt idx="127">
                  <c:v>2.7641284840061262</c:v>
                </c:pt>
                <c:pt idx="128">
                  <c:v>2.7858932752187733</c:v>
                </c:pt>
                <c:pt idx="129">
                  <c:v>2.8076580664314199</c:v>
                </c:pt>
                <c:pt idx="130">
                  <c:v>2.8294228576440656</c:v>
                </c:pt>
                <c:pt idx="131">
                  <c:v>2.8511876488567127</c:v>
                </c:pt>
                <c:pt idx="132">
                  <c:v>2.8729524400693598</c:v>
                </c:pt>
                <c:pt idx="133">
                  <c:v>2.8947172312820064</c:v>
                </c:pt>
                <c:pt idx="134">
                  <c:v>2.9164820224946535</c:v>
                </c:pt>
                <c:pt idx="135">
                  <c:v>2.9382468137072997</c:v>
                </c:pt>
                <c:pt idx="136">
                  <c:v>2.9600116049199459</c:v>
                </c:pt>
                <c:pt idx="137">
                  <c:v>2.9817763961325934</c:v>
                </c:pt>
                <c:pt idx="138">
                  <c:v>3.0035411873452396</c:v>
                </c:pt>
                <c:pt idx="139">
                  <c:v>3.0253059785578857</c:v>
                </c:pt>
                <c:pt idx="140">
                  <c:v>3.0470707697705333</c:v>
                </c:pt>
                <c:pt idx="141">
                  <c:v>3.0688355609831794</c:v>
                </c:pt>
                <c:pt idx="142">
                  <c:v>3.0906003521958261</c:v>
                </c:pt>
                <c:pt idx="143">
                  <c:v>3.1123651434084731</c:v>
                </c:pt>
                <c:pt idx="144">
                  <c:v>3.1341299346211193</c:v>
                </c:pt>
                <c:pt idx="145">
                  <c:v>3.155894725833766</c:v>
                </c:pt>
                <c:pt idx="146">
                  <c:v>3.1776595170464126</c:v>
                </c:pt>
                <c:pt idx="147">
                  <c:v>3.1994243082590597</c:v>
                </c:pt>
                <c:pt idx="148">
                  <c:v>3.2211890994717063</c:v>
                </c:pt>
                <c:pt idx="149">
                  <c:v>3.2429538906843534</c:v>
                </c:pt>
                <c:pt idx="150">
                  <c:v>3.2647186818969995</c:v>
                </c:pt>
              </c:numCache>
            </c:numRef>
          </c:yVal>
          <c:smooth val="1"/>
          <c:extLst>
            <c:ext xmlns:c16="http://schemas.microsoft.com/office/drawing/2014/chart" uri="{C3380CC4-5D6E-409C-BE32-E72D297353CC}">
              <c16:uniqueId val="{00000001-2D92-4CB2-A641-52AD34A639BE}"/>
            </c:ext>
          </c:extLst>
        </c:ser>
        <c:ser>
          <c:idx val="3"/>
          <c:order val="2"/>
          <c:tx>
            <c:v>RS</c:v>
          </c:tx>
          <c:spPr>
            <a:ln>
              <a:solidFill>
                <a:schemeClr val="accent5">
                  <a:lumMod val="75000"/>
                </a:schemeClr>
              </a:solidFill>
              <a:prstDash val="lgDashDotDot"/>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Eff_vs_IOUT!$BU$7:$BU$157</c:f>
              <c:numCache>
                <c:formatCode>General</c:formatCode>
                <c:ptCount val="151"/>
                <c:pt idx="0">
                  <c:v>0</c:v>
                </c:pt>
                <c:pt idx="1">
                  <c:v>4.1056019142373404E-5</c:v>
                </c:pt>
                <c:pt idx="2">
                  <c:v>1.1612395817638769E-4</c:v>
                </c:pt>
                <c:pt idx="3">
                  <c:v>2.1333333333333333E-4</c:v>
                </c:pt>
                <c:pt idx="4">
                  <c:v>3.2844815313898723E-4</c:v>
                </c:pt>
                <c:pt idx="5">
                  <c:v>4.5902024843939751E-4</c:v>
                </c:pt>
                <c:pt idx="6">
                  <c:v>6.0339778661252055E-4</c:v>
                </c:pt>
                <c:pt idx="7">
                  <c:v>7.6036811531119113E-4</c:v>
                </c:pt>
                <c:pt idx="8">
                  <c:v>9.2899166541110154E-4</c:v>
                </c:pt>
                <c:pt idx="9">
                  <c:v>1.1085125168440813E-3</c:v>
                </c:pt>
                <c:pt idx="10">
                  <c:v>1.2983053214937271E-3</c:v>
                </c:pt>
                <c:pt idx="11">
                  <c:v>1.4978415196899156E-3</c:v>
                </c:pt>
                <c:pt idx="12">
                  <c:v>1.7066666666666667E-3</c:v>
                </c:pt>
                <c:pt idx="13">
                  <c:v>1.9243845683953585E-3</c:v>
                </c:pt>
                <c:pt idx="14">
                  <c:v>2.1506458021383116E-3</c:v>
                </c:pt>
                <c:pt idx="15">
                  <c:v>2.385139175999776E-3</c:v>
                </c:pt>
                <c:pt idx="16">
                  <c:v>2.6275852251118979E-3</c:v>
                </c:pt>
                <c:pt idx="17">
                  <c:v>2.877731159353563E-3</c:v>
                </c:pt>
                <c:pt idx="18">
                  <c:v>3.1372799999999979E-3</c:v>
                </c:pt>
                <c:pt idx="19">
                  <c:v>3.4113540740740725E-3</c:v>
                </c:pt>
                <c:pt idx="20">
                  <c:v>3.7002429629629636E-3</c:v>
                </c:pt>
                <c:pt idx="21">
                  <c:v>4.0039466666666676E-3</c:v>
                </c:pt>
                <c:pt idx="22">
                  <c:v>4.3224651851851833E-3</c:v>
                </c:pt>
                <c:pt idx="23">
                  <c:v>4.6557985185185198E-3</c:v>
                </c:pt>
                <c:pt idx="24">
                  <c:v>5.0039466666666659E-3</c:v>
                </c:pt>
                <c:pt idx="25">
                  <c:v>5.366909629629631E-3</c:v>
                </c:pt>
                <c:pt idx="26">
                  <c:v>5.7446874074074091E-3</c:v>
                </c:pt>
                <c:pt idx="27">
                  <c:v>6.1372799999999958E-3</c:v>
                </c:pt>
                <c:pt idx="28">
                  <c:v>6.5446874074074051E-3</c:v>
                </c:pt>
                <c:pt idx="29">
                  <c:v>6.9669096296296282E-3</c:v>
                </c:pt>
                <c:pt idx="30">
                  <c:v>7.4039466666666661E-3</c:v>
                </c:pt>
                <c:pt idx="31">
                  <c:v>7.8557985185185187E-3</c:v>
                </c:pt>
                <c:pt idx="32">
                  <c:v>8.3224651851851843E-3</c:v>
                </c:pt>
                <c:pt idx="33">
                  <c:v>8.8039466666666663E-3</c:v>
                </c:pt>
                <c:pt idx="34">
                  <c:v>9.3002429629629579E-3</c:v>
                </c:pt>
                <c:pt idx="35">
                  <c:v>9.8113540740740711E-3</c:v>
                </c:pt>
                <c:pt idx="36">
                  <c:v>1.0337279999999996E-2</c:v>
                </c:pt>
                <c:pt idx="37">
                  <c:v>1.0878020740740735E-2</c:v>
                </c:pt>
                <c:pt idx="38">
                  <c:v>1.1433576296296289E-2</c:v>
                </c:pt>
                <c:pt idx="39">
                  <c:v>1.2003946666666669E-2</c:v>
                </c:pt>
                <c:pt idx="40">
                  <c:v>1.2589131851851853E-2</c:v>
                </c:pt>
                <c:pt idx="41">
                  <c:v>1.3189131851851846E-2</c:v>
                </c:pt>
                <c:pt idx="42">
                  <c:v>1.3803946666666662E-2</c:v>
                </c:pt>
                <c:pt idx="43">
                  <c:v>1.4433576296296286E-2</c:v>
                </c:pt>
                <c:pt idx="44">
                  <c:v>1.5078020740740727E-2</c:v>
                </c:pt>
                <c:pt idx="45">
                  <c:v>1.5737280000000003E-2</c:v>
                </c:pt>
                <c:pt idx="46">
                  <c:v>1.6411354074074066E-2</c:v>
                </c:pt>
                <c:pt idx="47">
                  <c:v>1.7100242962962951E-2</c:v>
                </c:pt>
                <c:pt idx="48">
                  <c:v>1.7803946666666667E-2</c:v>
                </c:pt>
                <c:pt idx="49">
                  <c:v>1.8522465185185188E-2</c:v>
                </c:pt>
                <c:pt idx="50">
                  <c:v>1.925579851851851E-2</c:v>
                </c:pt>
                <c:pt idx="51">
                  <c:v>2.0003946666666661E-2</c:v>
                </c:pt>
                <c:pt idx="52">
                  <c:v>2.0766909629629623E-2</c:v>
                </c:pt>
                <c:pt idx="53">
                  <c:v>2.1544687407407396E-2</c:v>
                </c:pt>
                <c:pt idx="54">
                  <c:v>2.2337280000000001E-2</c:v>
                </c:pt>
                <c:pt idx="55">
                  <c:v>2.3144687407407407E-2</c:v>
                </c:pt>
                <c:pt idx="56">
                  <c:v>2.3966909629629624E-2</c:v>
                </c:pt>
                <c:pt idx="57">
                  <c:v>2.4803946666666653E-2</c:v>
                </c:pt>
                <c:pt idx="58">
                  <c:v>2.565579851851852E-2</c:v>
                </c:pt>
                <c:pt idx="59">
                  <c:v>2.6522465185185185E-2</c:v>
                </c:pt>
                <c:pt idx="60">
                  <c:v>2.7403946666666654E-2</c:v>
                </c:pt>
                <c:pt idx="61">
                  <c:v>2.8300242962962945E-2</c:v>
                </c:pt>
                <c:pt idx="62">
                  <c:v>2.9211354074074068E-2</c:v>
                </c:pt>
                <c:pt idx="63">
                  <c:v>3.0137279999999999E-2</c:v>
                </c:pt>
                <c:pt idx="64">
                  <c:v>3.1078020740740737E-2</c:v>
                </c:pt>
                <c:pt idx="65">
                  <c:v>3.203357629629628E-2</c:v>
                </c:pt>
                <c:pt idx="66">
                  <c:v>3.3003946666666679E-2</c:v>
                </c:pt>
                <c:pt idx="67">
                  <c:v>3.3989131851851852E-2</c:v>
                </c:pt>
                <c:pt idx="68">
                  <c:v>3.4989131851851846E-2</c:v>
                </c:pt>
                <c:pt idx="69">
                  <c:v>3.6003946666666647E-2</c:v>
                </c:pt>
                <c:pt idx="70">
                  <c:v>3.7033576296296285E-2</c:v>
                </c:pt>
                <c:pt idx="71">
                  <c:v>3.8078020740740716E-2</c:v>
                </c:pt>
                <c:pt idx="72">
                  <c:v>3.9137279999999976E-2</c:v>
                </c:pt>
                <c:pt idx="73">
                  <c:v>4.0211354074074057E-2</c:v>
                </c:pt>
                <c:pt idx="74">
                  <c:v>4.130024296296296E-2</c:v>
                </c:pt>
                <c:pt idx="75">
                  <c:v>4.240394666666665E-2</c:v>
                </c:pt>
                <c:pt idx="76">
                  <c:v>4.3522465185185176E-2</c:v>
                </c:pt>
                <c:pt idx="77">
                  <c:v>4.4655798518518496E-2</c:v>
                </c:pt>
                <c:pt idx="78">
                  <c:v>4.5803946666666651E-2</c:v>
                </c:pt>
                <c:pt idx="79">
                  <c:v>4.6966909629629607E-2</c:v>
                </c:pt>
                <c:pt idx="80">
                  <c:v>4.8144687407407384E-2</c:v>
                </c:pt>
                <c:pt idx="81">
                  <c:v>4.933727999999999E-2</c:v>
                </c:pt>
                <c:pt idx="82">
                  <c:v>5.0544687407407411E-2</c:v>
                </c:pt>
                <c:pt idx="83">
                  <c:v>5.1766909629629633E-2</c:v>
                </c:pt>
                <c:pt idx="84">
                  <c:v>5.3003946666666656E-2</c:v>
                </c:pt>
                <c:pt idx="85">
                  <c:v>5.42557985185185E-2</c:v>
                </c:pt>
                <c:pt idx="86">
                  <c:v>5.5522465185185152E-2</c:v>
                </c:pt>
                <c:pt idx="87">
                  <c:v>5.680394666666664E-2</c:v>
                </c:pt>
                <c:pt idx="88">
                  <c:v>5.8100242962962935E-2</c:v>
                </c:pt>
                <c:pt idx="89">
                  <c:v>5.9411354074074059E-2</c:v>
                </c:pt>
                <c:pt idx="90">
                  <c:v>6.073727999999997E-2</c:v>
                </c:pt>
                <c:pt idx="91">
                  <c:v>6.2078020740740703E-2</c:v>
                </c:pt>
                <c:pt idx="92">
                  <c:v>6.3433576296296243E-2</c:v>
                </c:pt>
                <c:pt idx="93">
                  <c:v>6.480394666666664E-2</c:v>
                </c:pt>
                <c:pt idx="94">
                  <c:v>6.6189131851851837E-2</c:v>
                </c:pt>
                <c:pt idx="95">
                  <c:v>6.7589131851851808E-2</c:v>
                </c:pt>
                <c:pt idx="96">
                  <c:v>6.9003946666666677E-2</c:v>
                </c:pt>
                <c:pt idx="97">
                  <c:v>7.0433576296296277E-2</c:v>
                </c:pt>
                <c:pt idx="98">
                  <c:v>7.1878020740740706E-2</c:v>
                </c:pt>
                <c:pt idx="99">
                  <c:v>7.3337279999999991E-2</c:v>
                </c:pt>
                <c:pt idx="100">
                  <c:v>7.4811354074074063E-2</c:v>
                </c:pt>
                <c:pt idx="101">
                  <c:v>7.6300242962962936E-2</c:v>
                </c:pt>
                <c:pt idx="102">
                  <c:v>7.7803946666666637E-2</c:v>
                </c:pt>
                <c:pt idx="103">
                  <c:v>7.9322465185185154E-2</c:v>
                </c:pt>
                <c:pt idx="104">
                  <c:v>8.0855798518518499E-2</c:v>
                </c:pt>
                <c:pt idx="105">
                  <c:v>8.240394666666663E-2</c:v>
                </c:pt>
                <c:pt idx="106">
                  <c:v>8.3966909629629577E-2</c:v>
                </c:pt>
                <c:pt idx="107">
                  <c:v>8.5544687407407366E-2</c:v>
                </c:pt>
                <c:pt idx="108">
                  <c:v>8.713727999999997E-2</c:v>
                </c:pt>
                <c:pt idx="109">
                  <c:v>8.8744687407407388E-2</c:v>
                </c:pt>
                <c:pt idx="110">
                  <c:v>9.0366909629629608E-2</c:v>
                </c:pt>
                <c:pt idx="111">
                  <c:v>9.2003946666666628E-2</c:v>
                </c:pt>
                <c:pt idx="112">
                  <c:v>9.365579851851849E-2</c:v>
                </c:pt>
                <c:pt idx="113">
                  <c:v>9.532246518518514E-2</c:v>
                </c:pt>
                <c:pt idx="114">
                  <c:v>9.7003946666666632E-2</c:v>
                </c:pt>
                <c:pt idx="115">
                  <c:v>9.8700242962962939E-2</c:v>
                </c:pt>
                <c:pt idx="116">
                  <c:v>0.10041135407407407</c:v>
                </c:pt>
                <c:pt idx="117">
                  <c:v>0.10213727999999998</c:v>
                </c:pt>
                <c:pt idx="118">
                  <c:v>0.10387802074074071</c:v>
                </c:pt>
                <c:pt idx="119">
                  <c:v>0.10563357629629624</c:v>
                </c:pt>
                <c:pt idx="120">
                  <c:v>0.10740394666666664</c:v>
                </c:pt>
                <c:pt idx="121">
                  <c:v>0.10918913185185182</c:v>
                </c:pt>
                <c:pt idx="122">
                  <c:v>0.11098913185185183</c:v>
                </c:pt>
                <c:pt idx="123">
                  <c:v>0.11280394666666661</c:v>
                </c:pt>
                <c:pt idx="124">
                  <c:v>0.11463357629629622</c:v>
                </c:pt>
                <c:pt idx="125">
                  <c:v>0.11647802074074071</c:v>
                </c:pt>
                <c:pt idx="126">
                  <c:v>0.11833728</c:v>
                </c:pt>
                <c:pt idx="127">
                  <c:v>0.12021135407407406</c:v>
                </c:pt>
                <c:pt idx="128">
                  <c:v>0.12210024296296293</c:v>
                </c:pt>
                <c:pt idx="129">
                  <c:v>0.12400394666666666</c:v>
                </c:pt>
                <c:pt idx="130">
                  <c:v>0.12592246518518516</c:v>
                </c:pt>
                <c:pt idx="131">
                  <c:v>0.1278557985185185</c:v>
                </c:pt>
                <c:pt idx="132">
                  <c:v>0.1298039466666667</c:v>
                </c:pt>
                <c:pt idx="133">
                  <c:v>0.13176690962962961</c:v>
                </c:pt>
                <c:pt idx="134">
                  <c:v>0.13374468740740739</c:v>
                </c:pt>
                <c:pt idx="135">
                  <c:v>0.13573727999999999</c:v>
                </c:pt>
                <c:pt idx="136">
                  <c:v>0.13774468740740739</c:v>
                </c:pt>
                <c:pt idx="137">
                  <c:v>0.13976690962962962</c:v>
                </c:pt>
                <c:pt idx="138">
                  <c:v>0.1418039466666666</c:v>
                </c:pt>
                <c:pt idx="139">
                  <c:v>0.14385579851851849</c:v>
                </c:pt>
                <c:pt idx="140">
                  <c:v>0.14592246518518517</c:v>
                </c:pt>
                <c:pt idx="141">
                  <c:v>0.14800394666666669</c:v>
                </c:pt>
                <c:pt idx="142">
                  <c:v>0.15010024296296298</c:v>
                </c:pt>
                <c:pt idx="143">
                  <c:v>0.15221135407407402</c:v>
                </c:pt>
                <c:pt idx="144">
                  <c:v>0.15433728000000002</c:v>
                </c:pt>
                <c:pt idx="145">
                  <c:v>0.15647802074074071</c:v>
                </c:pt>
                <c:pt idx="146">
                  <c:v>0.15863357629629626</c:v>
                </c:pt>
                <c:pt idx="147">
                  <c:v>0.16080394666666672</c:v>
                </c:pt>
                <c:pt idx="148">
                  <c:v>0.16298913185185185</c:v>
                </c:pt>
                <c:pt idx="149">
                  <c:v>0.16518913185185183</c:v>
                </c:pt>
                <c:pt idx="150">
                  <c:v>0.16740394666666669</c:v>
                </c:pt>
              </c:numCache>
            </c:numRef>
          </c:yVal>
          <c:smooth val="1"/>
          <c:extLst>
            <c:ext xmlns:c16="http://schemas.microsoft.com/office/drawing/2014/chart" uri="{C3380CC4-5D6E-409C-BE32-E72D297353CC}">
              <c16:uniqueId val="{00000002-2D92-4CB2-A641-52AD34A639BE}"/>
            </c:ext>
          </c:extLst>
        </c:ser>
        <c:ser>
          <c:idx val="2"/>
          <c:order val="3"/>
          <c:tx>
            <c:v>D1</c:v>
          </c:tx>
          <c:spPr>
            <a:ln>
              <a:solidFill>
                <a:schemeClr val="bg2">
                  <a:lumMod val="50000"/>
                </a:schemeClr>
              </a:solidFill>
              <a:prstDash val="sysDash"/>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Eff_vs_IOUT!$AY$8:$AY$157</c:f>
              <c:numCache>
                <c:formatCode>General</c:formatCode>
                <c:ptCount val="150"/>
                <c:pt idx="0">
                  <c:v>4.0010000000000003</c:v>
                </c:pt>
                <c:pt idx="1">
                  <c:v>4.0019999999999998</c:v>
                </c:pt>
                <c:pt idx="2">
                  <c:v>4.0030000000000001</c:v>
                </c:pt>
                <c:pt idx="3">
                  <c:v>4.0039999999999996</c:v>
                </c:pt>
                <c:pt idx="4">
                  <c:v>4.0049999999999999</c:v>
                </c:pt>
                <c:pt idx="5">
                  <c:v>4.0060000000000002</c:v>
                </c:pt>
                <c:pt idx="6">
                  <c:v>4.0069999999999997</c:v>
                </c:pt>
                <c:pt idx="7">
                  <c:v>4.008</c:v>
                </c:pt>
                <c:pt idx="8">
                  <c:v>4.0090000000000003</c:v>
                </c:pt>
                <c:pt idx="9">
                  <c:v>4.01</c:v>
                </c:pt>
                <c:pt idx="10">
                  <c:v>4.0110000000000001</c:v>
                </c:pt>
                <c:pt idx="11">
                  <c:v>4.0119999999999996</c:v>
                </c:pt>
                <c:pt idx="12">
                  <c:v>4.0129999999999999</c:v>
                </c:pt>
                <c:pt idx="13">
                  <c:v>4.0140000000000002</c:v>
                </c:pt>
                <c:pt idx="14">
                  <c:v>4.0149999999999997</c:v>
                </c:pt>
                <c:pt idx="15">
                  <c:v>4.016</c:v>
                </c:pt>
                <c:pt idx="16">
                  <c:v>4.0170000000000003</c:v>
                </c:pt>
                <c:pt idx="17">
                  <c:v>4.0179999999999998</c:v>
                </c:pt>
                <c:pt idx="18">
                  <c:v>4.0190000000000001</c:v>
                </c:pt>
                <c:pt idx="19">
                  <c:v>4.0199999999999996</c:v>
                </c:pt>
                <c:pt idx="20">
                  <c:v>4.0209999999999999</c:v>
                </c:pt>
                <c:pt idx="21">
                  <c:v>4.0220000000000002</c:v>
                </c:pt>
                <c:pt idx="22">
                  <c:v>4.0229999999999997</c:v>
                </c:pt>
                <c:pt idx="23">
                  <c:v>4.024</c:v>
                </c:pt>
                <c:pt idx="24">
                  <c:v>4.0250000000000004</c:v>
                </c:pt>
                <c:pt idx="25">
                  <c:v>4.0259999999999998</c:v>
                </c:pt>
                <c:pt idx="26">
                  <c:v>4.0270000000000001</c:v>
                </c:pt>
                <c:pt idx="27">
                  <c:v>4.0279999999999996</c:v>
                </c:pt>
                <c:pt idx="28">
                  <c:v>4.0289999999999999</c:v>
                </c:pt>
                <c:pt idx="29">
                  <c:v>4.03</c:v>
                </c:pt>
                <c:pt idx="30">
                  <c:v>4.0309999999999997</c:v>
                </c:pt>
                <c:pt idx="31">
                  <c:v>4.032</c:v>
                </c:pt>
                <c:pt idx="32">
                  <c:v>4.0330000000000004</c:v>
                </c:pt>
                <c:pt idx="33">
                  <c:v>4.0339999999999998</c:v>
                </c:pt>
                <c:pt idx="34">
                  <c:v>4.0350000000000001</c:v>
                </c:pt>
                <c:pt idx="35">
                  <c:v>4.0359999999999996</c:v>
                </c:pt>
                <c:pt idx="36">
                  <c:v>4.0369999999999999</c:v>
                </c:pt>
                <c:pt idx="37">
                  <c:v>4.0380000000000003</c:v>
                </c:pt>
                <c:pt idx="38">
                  <c:v>4.0389999999999997</c:v>
                </c:pt>
                <c:pt idx="39">
                  <c:v>4.04</c:v>
                </c:pt>
                <c:pt idx="40">
                  <c:v>4.0410000000000004</c:v>
                </c:pt>
                <c:pt idx="41">
                  <c:v>4.0419999999999998</c:v>
                </c:pt>
                <c:pt idx="42">
                  <c:v>4.0430000000000001</c:v>
                </c:pt>
                <c:pt idx="43">
                  <c:v>4.0439999999999996</c:v>
                </c:pt>
                <c:pt idx="44">
                  <c:v>4.0449999999999999</c:v>
                </c:pt>
                <c:pt idx="45">
                  <c:v>4.0460000000000003</c:v>
                </c:pt>
                <c:pt idx="46">
                  <c:v>4.0469999999999997</c:v>
                </c:pt>
                <c:pt idx="47">
                  <c:v>4.048</c:v>
                </c:pt>
                <c:pt idx="48">
                  <c:v>4.0490000000000004</c:v>
                </c:pt>
                <c:pt idx="49">
                  <c:v>4.05</c:v>
                </c:pt>
                <c:pt idx="50">
                  <c:v>4.0510000000000002</c:v>
                </c:pt>
                <c:pt idx="51">
                  <c:v>4.0519999999999996</c:v>
                </c:pt>
                <c:pt idx="52">
                  <c:v>4.0529999999999999</c:v>
                </c:pt>
                <c:pt idx="53">
                  <c:v>4.0540000000000003</c:v>
                </c:pt>
                <c:pt idx="54">
                  <c:v>4.0549999999999997</c:v>
                </c:pt>
                <c:pt idx="55">
                  <c:v>4.056</c:v>
                </c:pt>
                <c:pt idx="56">
                  <c:v>4.0570000000000004</c:v>
                </c:pt>
                <c:pt idx="57">
                  <c:v>4.0579999999999998</c:v>
                </c:pt>
                <c:pt idx="58">
                  <c:v>4.0590000000000002</c:v>
                </c:pt>
                <c:pt idx="59">
                  <c:v>4.0599999999999996</c:v>
                </c:pt>
                <c:pt idx="60">
                  <c:v>4.0609999999999999</c:v>
                </c:pt>
                <c:pt idx="61">
                  <c:v>4.0620000000000003</c:v>
                </c:pt>
                <c:pt idx="62">
                  <c:v>4.0629999999999997</c:v>
                </c:pt>
                <c:pt idx="63">
                  <c:v>4.0640000000000001</c:v>
                </c:pt>
                <c:pt idx="64">
                  <c:v>4.0650000000000004</c:v>
                </c:pt>
                <c:pt idx="65">
                  <c:v>4.0659999999999998</c:v>
                </c:pt>
                <c:pt idx="66">
                  <c:v>4.0670000000000002</c:v>
                </c:pt>
                <c:pt idx="67">
                  <c:v>4.0679999999999996</c:v>
                </c:pt>
                <c:pt idx="68">
                  <c:v>4.069</c:v>
                </c:pt>
                <c:pt idx="69">
                  <c:v>4.07</c:v>
                </c:pt>
                <c:pt idx="70">
                  <c:v>4.0709999999999997</c:v>
                </c:pt>
                <c:pt idx="71">
                  <c:v>4.0720000000000001</c:v>
                </c:pt>
                <c:pt idx="72">
                  <c:v>4.0730000000000004</c:v>
                </c:pt>
                <c:pt idx="73">
                  <c:v>4.0739999999999998</c:v>
                </c:pt>
                <c:pt idx="74">
                  <c:v>4.0750000000000002</c:v>
                </c:pt>
                <c:pt idx="75">
                  <c:v>4.0759999999999996</c:v>
                </c:pt>
                <c:pt idx="76">
                  <c:v>4.077</c:v>
                </c:pt>
                <c:pt idx="77">
                  <c:v>4.0780000000000003</c:v>
                </c:pt>
                <c:pt idx="78">
                  <c:v>4.0789999999999997</c:v>
                </c:pt>
                <c:pt idx="79">
                  <c:v>4.08</c:v>
                </c:pt>
                <c:pt idx="80">
                  <c:v>4.0810000000000004</c:v>
                </c:pt>
                <c:pt idx="81">
                  <c:v>4.0819999999999999</c:v>
                </c:pt>
                <c:pt idx="82">
                  <c:v>4.0830000000000002</c:v>
                </c:pt>
                <c:pt idx="83">
                  <c:v>4.0839999999999996</c:v>
                </c:pt>
                <c:pt idx="84">
                  <c:v>4.085</c:v>
                </c:pt>
                <c:pt idx="85">
                  <c:v>4.0860000000000003</c:v>
                </c:pt>
                <c:pt idx="86">
                  <c:v>4.0869999999999997</c:v>
                </c:pt>
                <c:pt idx="87">
                  <c:v>4.0880000000000001</c:v>
                </c:pt>
                <c:pt idx="88">
                  <c:v>4.0890000000000004</c:v>
                </c:pt>
                <c:pt idx="89">
                  <c:v>4.09</c:v>
                </c:pt>
                <c:pt idx="90">
                  <c:v>4.0910000000000002</c:v>
                </c:pt>
                <c:pt idx="91">
                  <c:v>4.0919999999999996</c:v>
                </c:pt>
                <c:pt idx="92">
                  <c:v>4.093</c:v>
                </c:pt>
                <c:pt idx="93">
                  <c:v>4.0940000000000003</c:v>
                </c:pt>
                <c:pt idx="94">
                  <c:v>4.0949999999999998</c:v>
                </c:pt>
                <c:pt idx="95">
                  <c:v>4.0960000000000001</c:v>
                </c:pt>
                <c:pt idx="96">
                  <c:v>4.0970000000000004</c:v>
                </c:pt>
                <c:pt idx="97">
                  <c:v>4.0979999999999999</c:v>
                </c:pt>
                <c:pt idx="98">
                  <c:v>4.0990000000000002</c:v>
                </c:pt>
                <c:pt idx="99">
                  <c:v>4.0999999999999996</c:v>
                </c:pt>
                <c:pt idx="100">
                  <c:v>4.101</c:v>
                </c:pt>
                <c:pt idx="101">
                  <c:v>4.1020000000000003</c:v>
                </c:pt>
                <c:pt idx="102">
                  <c:v>4.1029999999999998</c:v>
                </c:pt>
                <c:pt idx="103">
                  <c:v>4.1040000000000001</c:v>
                </c:pt>
                <c:pt idx="104">
                  <c:v>4.1050000000000004</c:v>
                </c:pt>
                <c:pt idx="105">
                  <c:v>4.1059999999999999</c:v>
                </c:pt>
                <c:pt idx="106">
                  <c:v>4.1070000000000002</c:v>
                </c:pt>
                <c:pt idx="107">
                  <c:v>4.1079999999999997</c:v>
                </c:pt>
                <c:pt idx="108">
                  <c:v>4.109</c:v>
                </c:pt>
                <c:pt idx="109">
                  <c:v>4.1100000000000003</c:v>
                </c:pt>
                <c:pt idx="110">
                  <c:v>4.1109999999999998</c:v>
                </c:pt>
                <c:pt idx="111">
                  <c:v>4.1120000000000001</c:v>
                </c:pt>
                <c:pt idx="112">
                  <c:v>4.1129999999999995</c:v>
                </c:pt>
                <c:pt idx="113">
                  <c:v>4.1139999999999999</c:v>
                </c:pt>
                <c:pt idx="114">
                  <c:v>4.1150000000000002</c:v>
                </c:pt>
                <c:pt idx="115">
                  <c:v>4.1159999999999997</c:v>
                </c:pt>
                <c:pt idx="116">
                  <c:v>4.117</c:v>
                </c:pt>
                <c:pt idx="117">
                  <c:v>4.1180000000000003</c:v>
                </c:pt>
                <c:pt idx="118">
                  <c:v>4.1189999999999998</c:v>
                </c:pt>
                <c:pt idx="119">
                  <c:v>4.12</c:v>
                </c:pt>
                <c:pt idx="120">
                  <c:v>4.1210000000000004</c:v>
                </c:pt>
                <c:pt idx="121">
                  <c:v>4.1219999999999999</c:v>
                </c:pt>
                <c:pt idx="122">
                  <c:v>4.1230000000000002</c:v>
                </c:pt>
                <c:pt idx="123">
                  <c:v>4.1239999999999997</c:v>
                </c:pt>
                <c:pt idx="124">
                  <c:v>4.125</c:v>
                </c:pt>
                <c:pt idx="125">
                  <c:v>4.1260000000000003</c:v>
                </c:pt>
                <c:pt idx="126">
                  <c:v>4.1269999999999998</c:v>
                </c:pt>
                <c:pt idx="127">
                  <c:v>4.1280000000000001</c:v>
                </c:pt>
                <c:pt idx="128">
                  <c:v>4.1289999999999996</c:v>
                </c:pt>
                <c:pt idx="129">
                  <c:v>4.13</c:v>
                </c:pt>
                <c:pt idx="130">
                  <c:v>4.1310000000000002</c:v>
                </c:pt>
                <c:pt idx="131">
                  <c:v>4.1319999999999997</c:v>
                </c:pt>
                <c:pt idx="132">
                  <c:v>4.133</c:v>
                </c:pt>
                <c:pt idx="133">
                  <c:v>4.1340000000000003</c:v>
                </c:pt>
                <c:pt idx="134">
                  <c:v>4.1349999999999998</c:v>
                </c:pt>
                <c:pt idx="135">
                  <c:v>4.1360000000000001</c:v>
                </c:pt>
                <c:pt idx="136">
                  <c:v>4.1369999999999996</c:v>
                </c:pt>
                <c:pt idx="137">
                  <c:v>4.1379999999999999</c:v>
                </c:pt>
                <c:pt idx="138">
                  <c:v>4.1390000000000002</c:v>
                </c:pt>
                <c:pt idx="139">
                  <c:v>4.1399999999999997</c:v>
                </c:pt>
                <c:pt idx="140">
                  <c:v>4.141</c:v>
                </c:pt>
                <c:pt idx="141">
                  <c:v>4.1420000000000003</c:v>
                </c:pt>
                <c:pt idx="142">
                  <c:v>4.1429999999999998</c:v>
                </c:pt>
                <c:pt idx="143">
                  <c:v>4.1440000000000001</c:v>
                </c:pt>
                <c:pt idx="144">
                  <c:v>4.1449999999999996</c:v>
                </c:pt>
                <c:pt idx="145">
                  <c:v>4.1459999999999999</c:v>
                </c:pt>
                <c:pt idx="146">
                  <c:v>4.1470000000000002</c:v>
                </c:pt>
                <c:pt idx="147">
                  <c:v>4.1479999999999997</c:v>
                </c:pt>
                <c:pt idx="148">
                  <c:v>4.149</c:v>
                </c:pt>
                <c:pt idx="149">
                  <c:v>4.1500000000000004</c:v>
                </c:pt>
              </c:numCache>
            </c:numRef>
          </c:yVal>
          <c:smooth val="1"/>
          <c:extLst>
            <c:ext xmlns:c16="http://schemas.microsoft.com/office/drawing/2014/chart" uri="{C3380CC4-5D6E-409C-BE32-E72D297353CC}">
              <c16:uniqueId val="{00000003-2D92-4CB2-A641-52AD34A639BE}"/>
            </c:ext>
          </c:extLst>
        </c:ser>
        <c:dLbls>
          <c:showLegendKey val="0"/>
          <c:showVal val="0"/>
          <c:showCatName val="0"/>
          <c:showSerName val="0"/>
          <c:showPercent val="0"/>
          <c:showBubbleSize val="0"/>
        </c:dLbls>
        <c:axId val="586288512"/>
        <c:axId val="586286592"/>
      </c:scatterChart>
      <c:valAx>
        <c:axId val="586594176"/>
        <c:scaling>
          <c:orientation val="minMax"/>
        </c:scaling>
        <c:delete val="0"/>
        <c:axPos val="b"/>
        <c:majorGridlines/>
        <c:numFmt formatCode="General" sourceLinked="1"/>
        <c:majorTickMark val="out"/>
        <c:minorTickMark val="none"/>
        <c:tickLblPos val="nextTo"/>
        <c:crossAx val="586595712"/>
        <c:crosses val="autoZero"/>
        <c:crossBetween val="midCat"/>
      </c:valAx>
      <c:valAx>
        <c:axId val="586595712"/>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586594176"/>
        <c:crosses val="autoZero"/>
        <c:crossBetween val="midCat"/>
      </c:valAx>
      <c:valAx>
        <c:axId val="586286592"/>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586288512"/>
        <c:crosses val="max"/>
        <c:crossBetween val="midCat"/>
      </c:valAx>
      <c:valAx>
        <c:axId val="586288512"/>
        <c:scaling>
          <c:orientation val="minMax"/>
        </c:scaling>
        <c:delete val="1"/>
        <c:axPos val="b"/>
        <c:title>
          <c:tx>
            <c:rich>
              <a:bodyPr/>
              <a:lstStyle/>
              <a:p>
                <a:pPr>
                  <a:defRPr sz="1100"/>
                </a:pPr>
                <a:r>
                  <a:rPr lang="en-US" sz="1100"/>
                  <a:t>P</a:t>
                </a:r>
                <a:r>
                  <a:rPr lang="en-US" sz="1100" baseline="-25000"/>
                  <a:t>OUT</a:t>
                </a:r>
                <a:r>
                  <a:rPr lang="en-US" sz="1100"/>
                  <a:t> </a:t>
                </a:r>
                <a:r>
                  <a:rPr lang="en-US" sz="1100" baseline="0"/>
                  <a:t>(W)</a:t>
                </a:r>
                <a:endParaRPr lang="en-US" sz="1100"/>
              </a:p>
            </c:rich>
          </c:tx>
          <c:overlay val="0"/>
        </c:title>
        <c:numFmt formatCode="General" sourceLinked="1"/>
        <c:majorTickMark val="out"/>
        <c:minorTickMark val="none"/>
        <c:tickLblPos val="nextTo"/>
        <c:crossAx val="586286592"/>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Eff_vs_IOUT!$BZ$7:$BZ$157</c:f>
              <c:numCache>
                <c:formatCode>General</c:formatCode>
                <c:ptCount val="151"/>
                <c:pt idx="0">
                  <c:v>0</c:v>
                </c:pt>
                <c:pt idx="1">
                  <c:v>10.899254978714383</c:v>
                </c:pt>
                <c:pt idx="2">
                  <c:v>19.441150108439537</c:v>
                </c:pt>
                <c:pt idx="3">
                  <c:v>26.353383851720828</c:v>
                </c:pt>
                <c:pt idx="4">
                  <c:v>32.072755098680396</c:v>
                </c:pt>
                <c:pt idx="5">
                  <c:v>36.888877277750787</c:v>
                </c:pt>
                <c:pt idx="6">
                  <c:v>41.003140217307433</c:v>
                </c:pt>
                <c:pt idx="7">
                  <c:v>44.560492826501367</c:v>
                </c:pt>
                <c:pt idx="8">
                  <c:v>47.668153183287401</c:v>
                </c:pt>
                <c:pt idx="9">
                  <c:v>50.40724619300213</c:v>
                </c:pt>
                <c:pt idx="10">
                  <c:v>52.840344763069361</c:v>
                </c:pt>
                <c:pt idx="11">
                  <c:v>55.016519707648904</c:v>
                </c:pt>
                <c:pt idx="12">
                  <c:v>56.974815497025318</c:v>
                </c:pt>
                <c:pt idx="13">
                  <c:v>58.746699436603002</c:v>
                </c:pt>
                <c:pt idx="14">
                  <c:v>60.357823156448845</c:v>
                </c:pt>
                <c:pt idx="15">
                  <c:v>61.829312568280024</c:v>
                </c:pt>
                <c:pt idx="16">
                  <c:v>63.178727810125388</c:v>
                </c:pt>
                <c:pt idx="17">
                  <c:v>64.420787977469487</c:v>
                </c:pt>
                <c:pt idx="18">
                  <c:v>65.532474639671605</c:v>
                </c:pt>
                <c:pt idx="19">
                  <c:v>66.546739035199934</c:v>
                </c:pt>
                <c:pt idx="20">
                  <c:v>67.486630042115436</c:v>
                </c:pt>
                <c:pt idx="21">
                  <c:v>68.360015013227553</c:v>
                </c:pt>
                <c:pt idx="22">
                  <c:v>69.173689467421923</c:v>
                </c:pt>
                <c:pt idx="23">
                  <c:v>69.9335536084062</c:v>
                </c:pt>
                <c:pt idx="24">
                  <c:v>70.644755071105834</c:v>
                </c:pt>
                <c:pt idx="25">
                  <c:v>71.311805201146811</c:v>
                </c:pt>
                <c:pt idx="26">
                  <c:v>71.938674420977179</c:v>
                </c:pt>
                <c:pt idx="27">
                  <c:v>72.528870943164847</c:v>
                </c:pt>
                <c:pt idx="28">
                  <c:v>73.08550612749616</c:v>
                </c:pt>
                <c:pt idx="29">
                  <c:v>73.611349053176212</c:v>
                </c:pt>
                <c:pt idx="30">
                  <c:v>74.108872326837627</c:v>
                </c:pt>
                <c:pt idx="31">
                  <c:v>74.580290725648467</c:v>
                </c:pt>
                <c:pt idx="32">
                  <c:v>75.027593949753765</c:v>
                </c:pt>
                <c:pt idx="33">
                  <c:v>75.452574505713528</c:v>
                </c:pt>
                <c:pt idx="34">
                  <c:v>75.85685154498816</c:v>
                </c:pt>
                <c:pt idx="35">
                  <c:v>76.241891325895111</c:v>
                </c:pt>
                <c:pt idx="36">
                  <c:v>76.609024844136485</c:v>
                </c:pt>
                <c:pt idx="37">
                  <c:v>76.959463078692764</c:v>
                </c:pt>
                <c:pt idx="38">
                  <c:v>77.2943102210794</c:v>
                </c:pt>
                <c:pt idx="39">
                  <c:v>77.614575192460194</c:v>
                </c:pt>
                <c:pt idx="40">
                  <c:v>77.921181701677568</c:v>
                </c:pt>
                <c:pt idx="41">
                  <c:v>78.214977055396943</c:v>
                </c:pt>
                <c:pt idx="42">
                  <c:v>78.496739897333597</c:v>
                </c:pt>
                <c:pt idx="43">
                  <c:v>78.7671870254174</c:v>
                </c:pt>
                <c:pt idx="44">
                  <c:v>79.02697941256497</c:v>
                </c:pt>
                <c:pt idx="45">
                  <c:v>79.27672753752843</c:v>
                </c:pt>
                <c:pt idx="46">
                  <c:v>79.516996116327292</c:v>
                </c:pt>
                <c:pt idx="47">
                  <c:v>79.748308311450344</c:v>
                </c:pt>
                <c:pt idx="48">
                  <c:v>79.971149484860931</c:v>
                </c:pt>
                <c:pt idx="49">
                  <c:v>80.185970551465289</c:v>
                </c:pt>
                <c:pt idx="50">
                  <c:v>80.393190981801823</c:v>
                </c:pt>
                <c:pt idx="51">
                  <c:v>80.593201496025273</c:v>
                </c:pt>
                <c:pt idx="52">
                  <c:v>80.786366485589468</c:v>
                </c:pt>
                <c:pt idx="53">
                  <c:v>80.973026194207549</c:v>
                </c:pt>
                <c:pt idx="54">
                  <c:v>81.153498685551213</c:v>
                </c:pt>
                <c:pt idx="55">
                  <c:v>81.328081621627859</c:v>
                </c:pt>
                <c:pt idx="56">
                  <c:v>81.497053872751778</c:v>
                </c:pt>
                <c:pt idx="57">
                  <c:v>81.66067697742541</c:v>
                </c:pt>
                <c:pt idx="58">
                  <c:v>81.819196468205462</c:v>
                </c:pt>
                <c:pt idx="59">
                  <c:v>81.972843077690158</c:v>
                </c:pt>
                <c:pt idx="60">
                  <c:v>82.121833837085418</c:v>
                </c:pt>
                <c:pt idx="61">
                  <c:v>82.266373078349559</c:v>
                </c:pt>
                <c:pt idx="62">
                  <c:v>82.406653349647996</c:v>
                </c:pt>
                <c:pt idx="63">
                  <c:v>82.542856252741814</c:v>
                </c:pt>
                <c:pt idx="64">
                  <c:v>82.675153209968869</c:v>
                </c:pt>
                <c:pt idx="65">
                  <c:v>82.803706167627851</c:v>
                </c:pt>
                <c:pt idx="66">
                  <c:v>82.928668241834032</c:v>
                </c:pt>
                <c:pt idx="67">
                  <c:v>83.050184312261919</c:v>
                </c:pt>
                <c:pt idx="68">
                  <c:v>83.168391568615974</c:v>
                </c:pt>
                <c:pt idx="69">
                  <c:v>83.283420014162047</c:v>
                </c:pt>
                <c:pt idx="70">
                  <c:v>83.39539293020573</c:v>
                </c:pt>
                <c:pt idx="71">
                  <c:v>83.504427305005677</c:v>
                </c:pt>
                <c:pt idx="72">
                  <c:v>83.610634230259322</c:v>
                </c:pt>
                <c:pt idx="73">
                  <c:v>83.714119267985282</c:v>
                </c:pt>
                <c:pt idx="74">
                  <c:v>83.814982790349873</c:v>
                </c:pt>
                <c:pt idx="75">
                  <c:v>83.913320294736977</c:v>
                </c:pt>
                <c:pt idx="76">
                  <c:v>84.009222696140128</c:v>
                </c:pt>
                <c:pt idx="77">
                  <c:v>84.102776598758823</c:v>
                </c:pt>
                <c:pt idx="78">
                  <c:v>84.194064548504215</c:v>
                </c:pt>
                <c:pt idx="79">
                  <c:v>84.283165267961508</c:v>
                </c:pt>
                <c:pt idx="80">
                  <c:v>84.370153875215081</c:v>
                </c:pt>
                <c:pt idx="81">
                  <c:v>84.455102087814453</c:v>
                </c:pt>
                <c:pt idx="82">
                  <c:v>84.538078413045127</c:v>
                </c:pt>
                <c:pt idx="83">
                  <c:v>84.619148325565504</c:v>
                </c:pt>
                <c:pt idx="84">
                  <c:v>84.698374433377381</c:v>
                </c:pt>
                <c:pt idx="85">
                  <c:v>84.775816633014813</c:v>
                </c:pt>
                <c:pt idx="86">
                  <c:v>84.851532254759121</c:v>
                </c:pt>
                <c:pt idx="87">
                  <c:v>84.925576198620618</c:v>
                </c:pt>
                <c:pt idx="88">
                  <c:v>84.998001061764143</c:v>
                </c:pt>
                <c:pt idx="89">
                  <c:v>85.068857258000392</c:v>
                </c:pt>
                <c:pt idx="90">
                  <c:v>85.138193129913518</c:v>
                </c:pt>
                <c:pt idx="91">
                  <c:v>85.206055054148749</c:v>
                </c:pt>
                <c:pt idx="92">
                  <c:v>85.272487540342112</c:v>
                </c:pt>
                <c:pt idx="93">
                  <c:v>85.337533324135805</c:v>
                </c:pt>
                <c:pt idx="94">
                  <c:v>85.401233454687357</c:v>
                </c:pt>
                <c:pt idx="95">
                  <c:v>85.463627377049562</c:v>
                </c:pt>
                <c:pt idx="96">
                  <c:v>85.524753009767977</c:v>
                </c:pt>
                <c:pt idx="97">
                  <c:v>85.58464681801749</c:v>
                </c:pt>
                <c:pt idx="98">
                  <c:v>85.643343882573561</c:v>
                </c:pt>
                <c:pt idx="99">
                  <c:v>85.700877964893024</c:v>
                </c:pt>
                <c:pt idx="100">
                  <c:v>85.757281568557403</c:v>
                </c:pt>
                <c:pt idx="101">
                  <c:v>85.812585997314301</c:v>
                </c:pt>
                <c:pt idx="102">
                  <c:v>85.866821409934374</c:v>
                </c:pt>
                <c:pt idx="103">
                  <c:v>85.92001687208564</c:v>
                </c:pt>
                <c:pt idx="104">
                  <c:v>85.972200405413162</c:v>
                </c:pt>
                <c:pt idx="105">
                  <c:v>86.023399033997634</c:v>
                </c:pt>
                <c:pt idx="106">
                  <c:v>86.073638828355172</c:v>
                </c:pt>
                <c:pt idx="107">
                  <c:v>86.122944947128474</c:v>
                </c:pt>
                <c:pt idx="108">
                  <c:v>86.171341676609671</c:v>
                </c:pt>
                <c:pt idx="109">
                  <c:v>86.218852468225265</c:v>
                </c:pt>
                <c:pt idx="110">
                  <c:v>86.265499974104443</c:v>
                </c:pt>
                <c:pt idx="111">
                  <c:v>86.311306080844687</c:v>
                </c:pt>
                <c:pt idx="112">
                  <c:v>86.356291941579713</c:v>
                </c:pt>
                <c:pt idx="113">
                  <c:v>86.400478006449106</c:v>
                </c:pt>
                <c:pt idx="114">
                  <c:v>86.443884051561241</c:v>
                </c:pt>
                <c:pt idx="115">
                  <c:v>86.486529206536318</c:v>
                </c:pt>
                <c:pt idx="116">
                  <c:v>86.528431980709541</c:v>
                </c:pt>
                <c:pt idx="117">
                  <c:v>86.569610288070081</c:v>
                </c:pt>
                <c:pt idx="118">
                  <c:v>86.610081471006609</c:v>
                </c:pt>
                <c:pt idx="119">
                  <c:v>86.649862322925003</c:v>
                </c:pt>
                <c:pt idx="120">
                  <c:v>86.688969109800794</c:v>
                </c:pt>
                <c:pt idx="121">
                  <c:v>86.727417590724102</c:v>
                </c:pt>
                <c:pt idx="122">
                  <c:v>86.765223037491523</c:v>
                </c:pt>
                <c:pt idx="123">
                  <c:v>86.802400253296511</c:v>
                </c:pt>
                <c:pt idx="124">
                  <c:v>86.838963590565783</c:v>
                </c:pt>
                <c:pt idx="125">
                  <c:v>86.874926967987463</c:v>
                </c:pt>
                <c:pt idx="126">
                  <c:v>86.910303886772951</c:v>
                </c:pt>
                <c:pt idx="127">
                  <c:v>86.945107446192566</c:v>
                </c:pt>
                <c:pt idx="128">
                  <c:v>86.979350358422678</c:v>
                </c:pt>
                <c:pt idx="129">
                  <c:v>87.013044962739556</c:v>
                </c:pt>
                <c:pt idx="130">
                  <c:v>87.046203239093046</c:v>
                </c:pt>
                <c:pt idx="131">
                  <c:v>87.07883682109177</c:v>
                </c:pt>
                <c:pt idx="132">
                  <c:v>87.11095700842931</c:v>
                </c:pt>
                <c:pt idx="133">
                  <c:v>87.142574778778993</c:v>
                </c:pt>
                <c:pt idx="134">
                  <c:v>87.17370079918409</c:v>
                </c:pt>
                <c:pt idx="135">
                  <c:v>87.204345436967657</c:v>
                </c:pt>
                <c:pt idx="136">
                  <c:v>87.234518770186057</c:v>
                </c:pt>
                <c:pt idx="137">
                  <c:v>87.264230597647796</c:v>
                </c:pt>
                <c:pt idx="138">
                  <c:v>87.293490448518895</c:v>
                </c:pt>
                <c:pt idx="139">
                  <c:v>87.322307591534482</c:v>
                </c:pt>
                <c:pt idx="140">
                  <c:v>87.350691043835397</c:v>
                </c:pt>
                <c:pt idx="141">
                  <c:v>87.378649579447213</c:v>
                </c:pt>
                <c:pt idx="142">
                  <c:v>87.406191737418936</c:v>
                </c:pt>
                <c:pt idx="143">
                  <c:v>87.433325829636701</c:v>
                </c:pt>
                <c:pt idx="144">
                  <c:v>87.460059948327824</c:v>
                </c:pt>
                <c:pt idx="145">
                  <c:v>87.486401973269324</c:v>
                </c:pt>
                <c:pt idx="146">
                  <c:v>87.512359578714481</c:v>
                </c:pt>
                <c:pt idx="147">
                  <c:v>87.537940240050048</c:v>
                </c:pt>
                <c:pt idx="148">
                  <c:v>87.563151240196461</c:v>
                </c:pt>
                <c:pt idx="149">
                  <c:v>87.587999675762362</c:v>
                </c:pt>
                <c:pt idx="150">
                  <c:v>87.612492462964596</c:v>
                </c:pt>
              </c:numCache>
            </c:numRef>
          </c:yVal>
          <c:smooth val="0"/>
          <c:extLst>
            <c:ext xmlns:c16="http://schemas.microsoft.com/office/drawing/2014/chart" uri="{C3380CC4-5D6E-409C-BE32-E72D297353CC}">
              <c16:uniqueId val="{00000000-98B9-4A0F-9AF3-241E82BDC034}"/>
            </c:ext>
          </c:extLst>
        </c:ser>
        <c:dLbls>
          <c:showLegendKey val="0"/>
          <c:showVal val="0"/>
          <c:showCatName val="0"/>
          <c:showSerName val="0"/>
          <c:showPercent val="0"/>
          <c:showBubbleSize val="0"/>
        </c:dLbls>
        <c:axId val="586339072"/>
        <c:axId val="586340608"/>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Eff_vs_IOUT!$AJ$7:$AJ$157</c:f>
              <c:numCache>
                <c:formatCode>General</c:formatCode>
                <c:ptCount val="151"/>
                <c:pt idx="0">
                  <c:v>0</c:v>
                </c:pt>
                <c:pt idx="1">
                  <c:v>9.0474538071438404E-2</c:v>
                </c:pt>
                <c:pt idx="2">
                  <c:v>0.12795031879006907</c:v>
                </c:pt>
                <c:pt idx="3">
                  <c:v>0.15670649673105599</c:v>
                </c:pt>
                <c:pt idx="4">
                  <c:v>0.18094907614287681</c:v>
                </c:pt>
                <c:pt idx="5">
                  <c:v>0.20230721736062895</c:v>
                </c:pt>
                <c:pt idx="6">
                  <c:v>0.22161645298903454</c:v>
                </c:pt>
                <c:pt idx="7">
                  <c:v>0.23937312772047134</c:v>
                </c:pt>
                <c:pt idx="8">
                  <c:v>0.25590063758013815</c:v>
                </c:pt>
                <c:pt idx="9">
                  <c:v>0.27142361421431516</c:v>
                </c:pt>
                <c:pt idx="10">
                  <c:v>0.28610561055736311</c:v>
                </c:pt>
                <c:pt idx="11">
                  <c:v>0.30007009586368605</c:v>
                </c:pt>
                <c:pt idx="12">
                  <c:v>0.31341299346211199</c:v>
                </c:pt>
                <c:pt idx="13">
                  <c:v>0.32621058614048987</c:v>
                </c:pt>
                <c:pt idx="14">
                  <c:v>0.33852472368995773</c:v>
                </c:pt>
                <c:pt idx="15">
                  <c:v>0.35040637920648987</c:v>
                </c:pt>
                <c:pt idx="16">
                  <c:v>0.36189815228575362</c:v>
                </c:pt>
                <c:pt idx="17">
                  <c:v>0.37303607689750684</c:v>
                </c:pt>
                <c:pt idx="18">
                  <c:v>0.39176624182763992</c:v>
                </c:pt>
                <c:pt idx="19">
                  <c:v>0.4135310330402866</c:v>
                </c:pt>
                <c:pt idx="20">
                  <c:v>0.43529582425293323</c:v>
                </c:pt>
                <c:pt idx="21">
                  <c:v>0.45706061546557991</c:v>
                </c:pt>
                <c:pt idx="22">
                  <c:v>0.47882540667822654</c:v>
                </c:pt>
                <c:pt idx="23">
                  <c:v>0.50059019789087322</c:v>
                </c:pt>
                <c:pt idx="24">
                  <c:v>0.52235498910351996</c:v>
                </c:pt>
                <c:pt idx="25">
                  <c:v>0.5441197803161667</c:v>
                </c:pt>
                <c:pt idx="26">
                  <c:v>0.56588457152881322</c:v>
                </c:pt>
                <c:pt idx="27">
                  <c:v>0.58764936274145996</c:v>
                </c:pt>
                <c:pt idx="28">
                  <c:v>0.60941415395410659</c:v>
                </c:pt>
                <c:pt idx="29">
                  <c:v>0.63117894516675332</c:v>
                </c:pt>
                <c:pt idx="30">
                  <c:v>0.65294373637939995</c:v>
                </c:pt>
                <c:pt idx="31">
                  <c:v>0.67470852759204647</c:v>
                </c:pt>
                <c:pt idx="32">
                  <c:v>0.69647331880469332</c:v>
                </c:pt>
                <c:pt idx="33">
                  <c:v>0.71823811001733995</c:v>
                </c:pt>
                <c:pt idx="34">
                  <c:v>0.74000290122998647</c:v>
                </c:pt>
                <c:pt idx="35">
                  <c:v>0.76176769244263332</c:v>
                </c:pt>
                <c:pt idx="36">
                  <c:v>0.78353248365527983</c:v>
                </c:pt>
                <c:pt idx="37">
                  <c:v>0.80529727486792657</c:v>
                </c:pt>
                <c:pt idx="38">
                  <c:v>0.8270620660805732</c:v>
                </c:pt>
                <c:pt idx="39">
                  <c:v>0.84882685729321994</c:v>
                </c:pt>
                <c:pt idx="40">
                  <c:v>0.87059164850586646</c:v>
                </c:pt>
                <c:pt idx="41">
                  <c:v>0.89235643971851342</c:v>
                </c:pt>
                <c:pt idx="42">
                  <c:v>0.91412123093115982</c:v>
                </c:pt>
                <c:pt idx="43">
                  <c:v>0.93588602214380656</c:v>
                </c:pt>
                <c:pt idx="44">
                  <c:v>0.95765081335645308</c:v>
                </c:pt>
                <c:pt idx="45">
                  <c:v>0.97941560456909993</c:v>
                </c:pt>
                <c:pt idx="46">
                  <c:v>1.0011803957817464</c:v>
                </c:pt>
                <c:pt idx="47">
                  <c:v>1.0229451869943933</c:v>
                </c:pt>
                <c:pt idx="48">
                  <c:v>1.0447099782070399</c:v>
                </c:pt>
                <c:pt idx="49">
                  <c:v>1.0664747694196866</c:v>
                </c:pt>
                <c:pt idx="50">
                  <c:v>1.0882395606323334</c:v>
                </c:pt>
                <c:pt idx="51">
                  <c:v>1.1100043518449798</c:v>
                </c:pt>
                <c:pt idx="52">
                  <c:v>1.1317691430576264</c:v>
                </c:pt>
                <c:pt idx="53">
                  <c:v>1.1535339342702731</c:v>
                </c:pt>
                <c:pt idx="54">
                  <c:v>1.1752987254829199</c:v>
                </c:pt>
                <c:pt idx="55">
                  <c:v>1.1970635166955663</c:v>
                </c:pt>
                <c:pt idx="56">
                  <c:v>1.2188283079082132</c:v>
                </c:pt>
                <c:pt idx="57">
                  <c:v>1.2405930991208598</c:v>
                </c:pt>
                <c:pt idx="58">
                  <c:v>1.2623578903335066</c:v>
                </c:pt>
                <c:pt idx="59">
                  <c:v>1.2841226815461531</c:v>
                </c:pt>
                <c:pt idx="60">
                  <c:v>1.3058874727587999</c:v>
                </c:pt>
                <c:pt idx="61">
                  <c:v>1.3276522639714468</c:v>
                </c:pt>
                <c:pt idx="62">
                  <c:v>1.3494170551840929</c:v>
                </c:pt>
                <c:pt idx="63">
                  <c:v>1.3711818463967398</c:v>
                </c:pt>
                <c:pt idx="64">
                  <c:v>1.3929466376093866</c:v>
                </c:pt>
                <c:pt idx="65">
                  <c:v>1.4147114288220328</c:v>
                </c:pt>
                <c:pt idx="66">
                  <c:v>1.4364762200346799</c:v>
                </c:pt>
                <c:pt idx="67">
                  <c:v>1.4582410112473267</c:v>
                </c:pt>
                <c:pt idx="68">
                  <c:v>1.4800058024599729</c:v>
                </c:pt>
                <c:pt idx="69">
                  <c:v>1.5017705936726198</c:v>
                </c:pt>
                <c:pt idx="70">
                  <c:v>1.5235353848852666</c:v>
                </c:pt>
                <c:pt idx="71">
                  <c:v>1.545300176097913</c:v>
                </c:pt>
                <c:pt idx="72">
                  <c:v>1.5670649673105597</c:v>
                </c:pt>
                <c:pt idx="73">
                  <c:v>1.5888297585232063</c:v>
                </c:pt>
                <c:pt idx="74">
                  <c:v>1.6105945497358531</c:v>
                </c:pt>
                <c:pt idx="75">
                  <c:v>1.6323593409484998</c:v>
                </c:pt>
                <c:pt idx="76">
                  <c:v>1.6541241321611464</c:v>
                </c:pt>
                <c:pt idx="77">
                  <c:v>1.675888923373793</c:v>
                </c:pt>
                <c:pt idx="78">
                  <c:v>1.6976537145864399</c:v>
                </c:pt>
                <c:pt idx="79">
                  <c:v>1.7194185057990867</c:v>
                </c:pt>
                <c:pt idx="80">
                  <c:v>1.7411832970117329</c:v>
                </c:pt>
                <c:pt idx="81">
                  <c:v>1.76294808822438</c:v>
                </c:pt>
                <c:pt idx="82">
                  <c:v>1.7847128794370268</c:v>
                </c:pt>
                <c:pt idx="83">
                  <c:v>1.806477670649673</c:v>
                </c:pt>
                <c:pt idx="84">
                  <c:v>1.8282424618623196</c:v>
                </c:pt>
                <c:pt idx="85">
                  <c:v>1.8500072530749665</c:v>
                </c:pt>
                <c:pt idx="86">
                  <c:v>1.8717720442876131</c:v>
                </c:pt>
                <c:pt idx="87">
                  <c:v>1.8935368355002595</c:v>
                </c:pt>
                <c:pt idx="88">
                  <c:v>1.9153016267129062</c:v>
                </c:pt>
                <c:pt idx="89">
                  <c:v>1.937066417925553</c:v>
                </c:pt>
                <c:pt idx="90">
                  <c:v>1.9588312091381999</c:v>
                </c:pt>
                <c:pt idx="91">
                  <c:v>1.9805960003508463</c:v>
                </c:pt>
                <c:pt idx="92">
                  <c:v>2.0023607915634929</c:v>
                </c:pt>
                <c:pt idx="93">
                  <c:v>2.0241255827761395</c:v>
                </c:pt>
                <c:pt idx="94">
                  <c:v>2.0458903739887866</c:v>
                </c:pt>
                <c:pt idx="95">
                  <c:v>2.0676551652014332</c:v>
                </c:pt>
                <c:pt idx="96">
                  <c:v>2.0894199564140798</c:v>
                </c:pt>
                <c:pt idx="97">
                  <c:v>2.1111847476267265</c:v>
                </c:pt>
                <c:pt idx="98">
                  <c:v>2.1329495388393731</c:v>
                </c:pt>
                <c:pt idx="99">
                  <c:v>2.1547143300520197</c:v>
                </c:pt>
                <c:pt idx="100">
                  <c:v>2.1764791212646668</c:v>
                </c:pt>
                <c:pt idx="101">
                  <c:v>2.198243912477313</c:v>
                </c:pt>
                <c:pt idx="102">
                  <c:v>2.2200087036899596</c:v>
                </c:pt>
                <c:pt idx="103">
                  <c:v>2.2417734949026067</c:v>
                </c:pt>
                <c:pt idx="104">
                  <c:v>2.2635382861152529</c:v>
                </c:pt>
                <c:pt idx="105">
                  <c:v>2.2853030773278995</c:v>
                </c:pt>
                <c:pt idx="106">
                  <c:v>2.3070678685405461</c:v>
                </c:pt>
                <c:pt idx="107">
                  <c:v>2.3288326597531928</c:v>
                </c:pt>
                <c:pt idx="108">
                  <c:v>2.3505974509658398</c:v>
                </c:pt>
                <c:pt idx="109">
                  <c:v>2.3723622421784865</c:v>
                </c:pt>
                <c:pt idx="110">
                  <c:v>2.3941270333911326</c:v>
                </c:pt>
                <c:pt idx="111">
                  <c:v>2.4158918246037793</c:v>
                </c:pt>
                <c:pt idx="112">
                  <c:v>2.4376566158164263</c:v>
                </c:pt>
                <c:pt idx="113">
                  <c:v>2.459421407029073</c:v>
                </c:pt>
                <c:pt idx="114">
                  <c:v>2.4811861982417196</c:v>
                </c:pt>
                <c:pt idx="115">
                  <c:v>2.5029509894543667</c:v>
                </c:pt>
                <c:pt idx="116">
                  <c:v>2.5247157806670133</c:v>
                </c:pt>
                <c:pt idx="117">
                  <c:v>2.5464805718796595</c:v>
                </c:pt>
                <c:pt idx="118">
                  <c:v>2.5682453630923061</c:v>
                </c:pt>
                <c:pt idx="119">
                  <c:v>2.5900101543049536</c:v>
                </c:pt>
                <c:pt idx="120">
                  <c:v>2.6117749455175998</c:v>
                </c:pt>
                <c:pt idx="121">
                  <c:v>2.6335397367302464</c:v>
                </c:pt>
                <c:pt idx="122">
                  <c:v>2.6553045279428935</c:v>
                </c:pt>
                <c:pt idx="123">
                  <c:v>2.6770693191555393</c:v>
                </c:pt>
                <c:pt idx="124">
                  <c:v>2.6988341103681859</c:v>
                </c:pt>
                <c:pt idx="125">
                  <c:v>2.7205989015808334</c:v>
                </c:pt>
                <c:pt idx="126">
                  <c:v>2.7423636927934796</c:v>
                </c:pt>
                <c:pt idx="127">
                  <c:v>2.7641284840061262</c:v>
                </c:pt>
                <c:pt idx="128">
                  <c:v>2.7858932752187733</c:v>
                </c:pt>
                <c:pt idx="129">
                  <c:v>2.8076580664314199</c:v>
                </c:pt>
                <c:pt idx="130">
                  <c:v>2.8294228576440656</c:v>
                </c:pt>
                <c:pt idx="131">
                  <c:v>2.8511876488567127</c:v>
                </c:pt>
                <c:pt idx="132">
                  <c:v>2.8729524400693598</c:v>
                </c:pt>
                <c:pt idx="133">
                  <c:v>2.8947172312820064</c:v>
                </c:pt>
                <c:pt idx="134">
                  <c:v>2.9164820224946535</c:v>
                </c:pt>
                <c:pt idx="135">
                  <c:v>2.9382468137072997</c:v>
                </c:pt>
                <c:pt idx="136">
                  <c:v>2.9600116049199459</c:v>
                </c:pt>
                <c:pt idx="137">
                  <c:v>2.9817763961325934</c:v>
                </c:pt>
                <c:pt idx="138">
                  <c:v>3.0035411873452396</c:v>
                </c:pt>
                <c:pt idx="139">
                  <c:v>3.0253059785578857</c:v>
                </c:pt>
                <c:pt idx="140">
                  <c:v>3.0470707697705333</c:v>
                </c:pt>
                <c:pt idx="141">
                  <c:v>3.0688355609831794</c:v>
                </c:pt>
                <c:pt idx="142">
                  <c:v>3.0906003521958261</c:v>
                </c:pt>
                <c:pt idx="143">
                  <c:v>3.1123651434084731</c:v>
                </c:pt>
                <c:pt idx="144">
                  <c:v>3.1341299346211193</c:v>
                </c:pt>
                <c:pt idx="145">
                  <c:v>3.155894725833766</c:v>
                </c:pt>
                <c:pt idx="146">
                  <c:v>3.1776595170464126</c:v>
                </c:pt>
                <c:pt idx="147">
                  <c:v>3.1994243082590597</c:v>
                </c:pt>
                <c:pt idx="148">
                  <c:v>3.2211890994717063</c:v>
                </c:pt>
                <c:pt idx="149">
                  <c:v>3.2429538906843534</c:v>
                </c:pt>
                <c:pt idx="150">
                  <c:v>3.2647186818969995</c:v>
                </c:pt>
              </c:numCache>
            </c:numRef>
          </c:yVal>
          <c:smooth val="1"/>
          <c:extLst>
            <c:ext xmlns:c16="http://schemas.microsoft.com/office/drawing/2014/chart" uri="{C3380CC4-5D6E-409C-BE32-E72D297353CC}">
              <c16:uniqueId val="{00000001-98B9-4A0F-9AF3-241E82BDC034}"/>
            </c:ext>
          </c:extLst>
        </c:ser>
        <c:ser>
          <c:idx val="3"/>
          <c:order val="2"/>
          <c:tx>
            <c:v>RS</c:v>
          </c:tx>
          <c:spPr>
            <a:ln>
              <a:solidFill>
                <a:schemeClr val="accent5">
                  <a:lumMod val="75000"/>
                </a:schemeClr>
              </a:solidFill>
              <a:prstDash val="lgDashDotDot"/>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Eff_vs_IOUT!$BU$7:$BU$157</c:f>
              <c:numCache>
                <c:formatCode>General</c:formatCode>
                <c:ptCount val="151"/>
                <c:pt idx="0">
                  <c:v>0</c:v>
                </c:pt>
                <c:pt idx="1">
                  <c:v>4.1056019142373404E-5</c:v>
                </c:pt>
                <c:pt idx="2">
                  <c:v>1.1612395817638769E-4</c:v>
                </c:pt>
                <c:pt idx="3">
                  <c:v>2.1333333333333333E-4</c:v>
                </c:pt>
                <c:pt idx="4">
                  <c:v>3.2844815313898723E-4</c:v>
                </c:pt>
                <c:pt idx="5">
                  <c:v>4.5902024843939751E-4</c:v>
                </c:pt>
                <c:pt idx="6">
                  <c:v>6.0339778661252055E-4</c:v>
                </c:pt>
                <c:pt idx="7">
                  <c:v>7.6036811531119113E-4</c:v>
                </c:pt>
                <c:pt idx="8">
                  <c:v>9.2899166541110154E-4</c:v>
                </c:pt>
                <c:pt idx="9">
                  <c:v>1.1085125168440813E-3</c:v>
                </c:pt>
                <c:pt idx="10">
                  <c:v>1.2983053214937271E-3</c:v>
                </c:pt>
                <c:pt idx="11">
                  <c:v>1.4978415196899156E-3</c:v>
                </c:pt>
                <c:pt idx="12">
                  <c:v>1.7066666666666667E-3</c:v>
                </c:pt>
                <c:pt idx="13">
                  <c:v>1.9243845683953585E-3</c:v>
                </c:pt>
                <c:pt idx="14">
                  <c:v>2.1506458021383116E-3</c:v>
                </c:pt>
                <c:pt idx="15">
                  <c:v>2.385139175999776E-3</c:v>
                </c:pt>
                <c:pt idx="16">
                  <c:v>2.6275852251118979E-3</c:v>
                </c:pt>
                <c:pt idx="17">
                  <c:v>2.877731159353563E-3</c:v>
                </c:pt>
                <c:pt idx="18">
                  <c:v>3.1372799999999979E-3</c:v>
                </c:pt>
                <c:pt idx="19">
                  <c:v>3.4113540740740725E-3</c:v>
                </c:pt>
                <c:pt idx="20">
                  <c:v>3.7002429629629636E-3</c:v>
                </c:pt>
                <c:pt idx="21">
                  <c:v>4.0039466666666676E-3</c:v>
                </c:pt>
                <c:pt idx="22">
                  <c:v>4.3224651851851833E-3</c:v>
                </c:pt>
                <c:pt idx="23">
                  <c:v>4.6557985185185198E-3</c:v>
                </c:pt>
                <c:pt idx="24">
                  <c:v>5.0039466666666659E-3</c:v>
                </c:pt>
                <c:pt idx="25">
                  <c:v>5.366909629629631E-3</c:v>
                </c:pt>
                <c:pt idx="26">
                  <c:v>5.7446874074074091E-3</c:v>
                </c:pt>
                <c:pt idx="27">
                  <c:v>6.1372799999999958E-3</c:v>
                </c:pt>
                <c:pt idx="28">
                  <c:v>6.5446874074074051E-3</c:v>
                </c:pt>
                <c:pt idx="29">
                  <c:v>6.9669096296296282E-3</c:v>
                </c:pt>
                <c:pt idx="30">
                  <c:v>7.4039466666666661E-3</c:v>
                </c:pt>
                <c:pt idx="31">
                  <c:v>7.8557985185185187E-3</c:v>
                </c:pt>
                <c:pt idx="32">
                  <c:v>8.3224651851851843E-3</c:v>
                </c:pt>
                <c:pt idx="33">
                  <c:v>8.8039466666666663E-3</c:v>
                </c:pt>
                <c:pt idx="34">
                  <c:v>9.3002429629629579E-3</c:v>
                </c:pt>
                <c:pt idx="35">
                  <c:v>9.8113540740740711E-3</c:v>
                </c:pt>
                <c:pt idx="36">
                  <c:v>1.0337279999999996E-2</c:v>
                </c:pt>
                <c:pt idx="37">
                  <c:v>1.0878020740740735E-2</c:v>
                </c:pt>
                <c:pt idx="38">
                  <c:v>1.1433576296296289E-2</c:v>
                </c:pt>
                <c:pt idx="39">
                  <c:v>1.2003946666666669E-2</c:v>
                </c:pt>
                <c:pt idx="40">
                  <c:v>1.2589131851851853E-2</c:v>
                </c:pt>
                <c:pt idx="41">
                  <c:v>1.3189131851851846E-2</c:v>
                </c:pt>
                <c:pt idx="42">
                  <c:v>1.3803946666666662E-2</c:v>
                </c:pt>
                <c:pt idx="43">
                  <c:v>1.4433576296296286E-2</c:v>
                </c:pt>
                <c:pt idx="44">
                  <c:v>1.5078020740740727E-2</c:v>
                </c:pt>
                <c:pt idx="45">
                  <c:v>1.5737280000000003E-2</c:v>
                </c:pt>
                <c:pt idx="46">
                  <c:v>1.6411354074074066E-2</c:v>
                </c:pt>
                <c:pt idx="47">
                  <c:v>1.7100242962962951E-2</c:v>
                </c:pt>
                <c:pt idx="48">
                  <c:v>1.7803946666666667E-2</c:v>
                </c:pt>
                <c:pt idx="49">
                  <c:v>1.8522465185185188E-2</c:v>
                </c:pt>
                <c:pt idx="50">
                  <c:v>1.925579851851851E-2</c:v>
                </c:pt>
                <c:pt idx="51">
                  <c:v>2.0003946666666661E-2</c:v>
                </c:pt>
                <c:pt idx="52">
                  <c:v>2.0766909629629623E-2</c:v>
                </c:pt>
                <c:pt idx="53">
                  <c:v>2.1544687407407396E-2</c:v>
                </c:pt>
                <c:pt idx="54">
                  <c:v>2.2337280000000001E-2</c:v>
                </c:pt>
                <c:pt idx="55">
                  <c:v>2.3144687407407407E-2</c:v>
                </c:pt>
                <c:pt idx="56">
                  <c:v>2.3966909629629624E-2</c:v>
                </c:pt>
                <c:pt idx="57">
                  <c:v>2.4803946666666653E-2</c:v>
                </c:pt>
                <c:pt idx="58">
                  <c:v>2.565579851851852E-2</c:v>
                </c:pt>
                <c:pt idx="59">
                  <c:v>2.6522465185185185E-2</c:v>
                </c:pt>
                <c:pt idx="60">
                  <c:v>2.7403946666666654E-2</c:v>
                </c:pt>
                <c:pt idx="61">
                  <c:v>2.8300242962962945E-2</c:v>
                </c:pt>
                <c:pt idx="62">
                  <c:v>2.9211354074074068E-2</c:v>
                </c:pt>
                <c:pt idx="63">
                  <c:v>3.0137279999999999E-2</c:v>
                </c:pt>
                <c:pt idx="64">
                  <c:v>3.1078020740740737E-2</c:v>
                </c:pt>
                <c:pt idx="65">
                  <c:v>3.203357629629628E-2</c:v>
                </c:pt>
                <c:pt idx="66">
                  <c:v>3.3003946666666679E-2</c:v>
                </c:pt>
                <c:pt idx="67">
                  <c:v>3.3989131851851852E-2</c:v>
                </c:pt>
                <c:pt idx="68">
                  <c:v>3.4989131851851846E-2</c:v>
                </c:pt>
                <c:pt idx="69">
                  <c:v>3.6003946666666647E-2</c:v>
                </c:pt>
                <c:pt idx="70">
                  <c:v>3.7033576296296285E-2</c:v>
                </c:pt>
                <c:pt idx="71">
                  <c:v>3.8078020740740716E-2</c:v>
                </c:pt>
                <c:pt idx="72">
                  <c:v>3.9137279999999976E-2</c:v>
                </c:pt>
                <c:pt idx="73">
                  <c:v>4.0211354074074057E-2</c:v>
                </c:pt>
                <c:pt idx="74">
                  <c:v>4.130024296296296E-2</c:v>
                </c:pt>
                <c:pt idx="75">
                  <c:v>4.240394666666665E-2</c:v>
                </c:pt>
                <c:pt idx="76">
                  <c:v>4.3522465185185176E-2</c:v>
                </c:pt>
                <c:pt idx="77">
                  <c:v>4.4655798518518496E-2</c:v>
                </c:pt>
                <c:pt idx="78">
                  <c:v>4.5803946666666651E-2</c:v>
                </c:pt>
                <c:pt idx="79">
                  <c:v>4.6966909629629607E-2</c:v>
                </c:pt>
                <c:pt idx="80">
                  <c:v>4.8144687407407384E-2</c:v>
                </c:pt>
                <c:pt idx="81">
                  <c:v>4.933727999999999E-2</c:v>
                </c:pt>
                <c:pt idx="82">
                  <c:v>5.0544687407407411E-2</c:v>
                </c:pt>
                <c:pt idx="83">
                  <c:v>5.1766909629629633E-2</c:v>
                </c:pt>
                <c:pt idx="84">
                  <c:v>5.3003946666666656E-2</c:v>
                </c:pt>
                <c:pt idx="85">
                  <c:v>5.42557985185185E-2</c:v>
                </c:pt>
                <c:pt idx="86">
                  <c:v>5.5522465185185152E-2</c:v>
                </c:pt>
                <c:pt idx="87">
                  <c:v>5.680394666666664E-2</c:v>
                </c:pt>
                <c:pt idx="88">
                  <c:v>5.8100242962962935E-2</c:v>
                </c:pt>
                <c:pt idx="89">
                  <c:v>5.9411354074074059E-2</c:v>
                </c:pt>
                <c:pt idx="90">
                  <c:v>6.073727999999997E-2</c:v>
                </c:pt>
                <c:pt idx="91">
                  <c:v>6.2078020740740703E-2</c:v>
                </c:pt>
                <c:pt idx="92">
                  <c:v>6.3433576296296243E-2</c:v>
                </c:pt>
                <c:pt idx="93">
                  <c:v>6.480394666666664E-2</c:v>
                </c:pt>
                <c:pt idx="94">
                  <c:v>6.6189131851851837E-2</c:v>
                </c:pt>
                <c:pt idx="95">
                  <c:v>6.7589131851851808E-2</c:v>
                </c:pt>
                <c:pt idx="96">
                  <c:v>6.9003946666666677E-2</c:v>
                </c:pt>
                <c:pt idx="97">
                  <c:v>7.0433576296296277E-2</c:v>
                </c:pt>
                <c:pt idx="98">
                  <c:v>7.1878020740740706E-2</c:v>
                </c:pt>
                <c:pt idx="99">
                  <c:v>7.3337279999999991E-2</c:v>
                </c:pt>
                <c:pt idx="100">
                  <c:v>7.4811354074074063E-2</c:v>
                </c:pt>
                <c:pt idx="101">
                  <c:v>7.6300242962962936E-2</c:v>
                </c:pt>
                <c:pt idx="102">
                  <c:v>7.7803946666666637E-2</c:v>
                </c:pt>
                <c:pt idx="103">
                  <c:v>7.9322465185185154E-2</c:v>
                </c:pt>
                <c:pt idx="104">
                  <c:v>8.0855798518518499E-2</c:v>
                </c:pt>
                <c:pt idx="105">
                  <c:v>8.240394666666663E-2</c:v>
                </c:pt>
                <c:pt idx="106">
                  <c:v>8.3966909629629577E-2</c:v>
                </c:pt>
                <c:pt idx="107">
                  <c:v>8.5544687407407366E-2</c:v>
                </c:pt>
                <c:pt idx="108">
                  <c:v>8.713727999999997E-2</c:v>
                </c:pt>
                <c:pt idx="109">
                  <c:v>8.8744687407407388E-2</c:v>
                </c:pt>
                <c:pt idx="110">
                  <c:v>9.0366909629629608E-2</c:v>
                </c:pt>
                <c:pt idx="111">
                  <c:v>9.2003946666666628E-2</c:v>
                </c:pt>
                <c:pt idx="112">
                  <c:v>9.365579851851849E-2</c:v>
                </c:pt>
                <c:pt idx="113">
                  <c:v>9.532246518518514E-2</c:v>
                </c:pt>
                <c:pt idx="114">
                  <c:v>9.7003946666666632E-2</c:v>
                </c:pt>
                <c:pt idx="115">
                  <c:v>9.8700242962962939E-2</c:v>
                </c:pt>
                <c:pt idx="116">
                  <c:v>0.10041135407407407</c:v>
                </c:pt>
                <c:pt idx="117">
                  <c:v>0.10213727999999998</c:v>
                </c:pt>
                <c:pt idx="118">
                  <c:v>0.10387802074074071</c:v>
                </c:pt>
                <c:pt idx="119">
                  <c:v>0.10563357629629624</c:v>
                </c:pt>
                <c:pt idx="120">
                  <c:v>0.10740394666666664</c:v>
                </c:pt>
                <c:pt idx="121">
                  <c:v>0.10918913185185182</c:v>
                </c:pt>
                <c:pt idx="122">
                  <c:v>0.11098913185185183</c:v>
                </c:pt>
                <c:pt idx="123">
                  <c:v>0.11280394666666661</c:v>
                </c:pt>
                <c:pt idx="124">
                  <c:v>0.11463357629629622</c:v>
                </c:pt>
                <c:pt idx="125">
                  <c:v>0.11647802074074071</c:v>
                </c:pt>
                <c:pt idx="126">
                  <c:v>0.11833728</c:v>
                </c:pt>
                <c:pt idx="127">
                  <c:v>0.12021135407407406</c:v>
                </c:pt>
                <c:pt idx="128">
                  <c:v>0.12210024296296293</c:v>
                </c:pt>
                <c:pt idx="129">
                  <c:v>0.12400394666666666</c:v>
                </c:pt>
                <c:pt idx="130">
                  <c:v>0.12592246518518516</c:v>
                </c:pt>
                <c:pt idx="131">
                  <c:v>0.1278557985185185</c:v>
                </c:pt>
                <c:pt idx="132">
                  <c:v>0.1298039466666667</c:v>
                </c:pt>
                <c:pt idx="133">
                  <c:v>0.13176690962962961</c:v>
                </c:pt>
                <c:pt idx="134">
                  <c:v>0.13374468740740739</c:v>
                </c:pt>
                <c:pt idx="135">
                  <c:v>0.13573727999999999</c:v>
                </c:pt>
                <c:pt idx="136">
                  <c:v>0.13774468740740739</c:v>
                </c:pt>
                <c:pt idx="137">
                  <c:v>0.13976690962962962</c:v>
                </c:pt>
                <c:pt idx="138">
                  <c:v>0.1418039466666666</c:v>
                </c:pt>
                <c:pt idx="139">
                  <c:v>0.14385579851851849</c:v>
                </c:pt>
                <c:pt idx="140">
                  <c:v>0.14592246518518517</c:v>
                </c:pt>
                <c:pt idx="141">
                  <c:v>0.14800394666666669</c:v>
                </c:pt>
                <c:pt idx="142">
                  <c:v>0.15010024296296298</c:v>
                </c:pt>
                <c:pt idx="143">
                  <c:v>0.15221135407407402</c:v>
                </c:pt>
                <c:pt idx="144">
                  <c:v>0.15433728000000002</c:v>
                </c:pt>
                <c:pt idx="145">
                  <c:v>0.15647802074074071</c:v>
                </c:pt>
                <c:pt idx="146">
                  <c:v>0.15863357629629626</c:v>
                </c:pt>
                <c:pt idx="147">
                  <c:v>0.16080394666666672</c:v>
                </c:pt>
                <c:pt idx="148">
                  <c:v>0.16298913185185185</c:v>
                </c:pt>
                <c:pt idx="149">
                  <c:v>0.16518913185185183</c:v>
                </c:pt>
                <c:pt idx="150">
                  <c:v>0.16740394666666669</c:v>
                </c:pt>
              </c:numCache>
            </c:numRef>
          </c:yVal>
          <c:smooth val="1"/>
          <c:extLst>
            <c:ext xmlns:c16="http://schemas.microsoft.com/office/drawing/2014/chart" uri="{C3380CC4-5D6E-409C-BE32-E72D297353CC}">
              <c16:uniqueId val="{00000002-98B9-4A0F-9AF3-241E82BDC034}"/>
            </c:ext>
          </c:extLst>
        </c:ser>
        <c:ser>
          <c:idx val="2"/>
          <c:order val="3"/>
          <c:tx>
            <c:v>D1</c:v>
          </c:tx>
          <c:spPr>
            <a:ln>
              <a:solidFill>
                <a:schemeClr val="bg2">
                  <a:lumMod val="50000"/>
                </a:schemeClr>
              </a:solidFill>
              <a:prstDash val="sysDash"/>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Eff_vs_IOUT!$AY$8:$AY$157</c:f>
              <c:numCache>
                <c:formatCode>General</c:formatCode>
                <c:ptCount val="150"/>
                <c:pt idx="0">
                  <c:v>4.0010000000000003</c:v>
                </c:pt>
                <c:pt idx="1">
                  <c:v>4.0019999999999998</c:v>
                </c:pt>
                <c:pt idx="2">
                  <c:v>4.0030000000000001</c:v>
                </c:pt>
                <c:pt idx="3">
                  <c:v>4.0039999999999996</c:v>
                </c:pt>
                <c:pt idx="4">
                  <c:v>4.0049999999999999</c:v>
                </c:pt>
                <c:pt idx="5">
                  <c:v>4.0060000000000002</c:v>
                </c:pt>
                <c:pt idx="6">
                  <c:v>4.0069999999999997</c:v>
                </c:pt>
                <c:pt idx="7">
                  <c:v>4.008</c:v>
                </c:pt>
                <c:pt idx="8">
                  <c:v>4.0090000000000003</c:v>
                </c:pt>
                <c:pt idx="9">
                  <c:v>4.01</c:v>
                </c:pt>
                <c:pt idx="10">
                  <c:v>4.0110000000000001</c:v>
                </c:pt>
                <c:pt idx="11">
                  <c:v>4.0119999999999996</c:v>
                </c:pt>
                <c:pt idx="12">
                  <c:v>4.0129999999999999</c:v>
                </c:pt>
                <c:pt idx="13">
                  <c:v>4.0140000000000002</c:v>
                </c:pt>
                <c:pt idx="14">
                  <c:v>4.0149999999999997</c:v>
                </c:pt>
                <c:pt idx="15">
                  <c:v>4.016</c:v>
                </c:pt>
                <c:pt idx="16">
                  <c:v>4.0170000000000003</c:v>
                </c:pt>
                <c:pt idx="17">
                  <c:v>4.0179999999999998</c:v>
                </c:pt>
                <c:pt idx="18">
                  <c:v>4.0190000000000001</c:v>
                </c:pt>
                <c:pt idx="19">
                  <c:v>4.0199999999999996</c:v>
                </c:pt>
                <c:pt idx="20">
                  <c:v>4.0209999999999999</c:v>
                </c:pt>
                <c:pt idx="21">
                  <c:v>4.0220000000000002</c:v>
                </c:pt>
                <c:pt idx="22">
                  <c:v>4.0229999999999997</c:v>
                </c:pt>
                <c:pt idx="23">
                  <c:v>4.024</c:v>
                </c:pt>
                <c:pt idx="24">
                  <c:v>4.0250000000000004</c:v>
                </c:pt>
                <c:pt idx="25">
                  <c:v>4.0259999999999998</c:v>
                </c:pt>
                <c:pt idx="26">
                  <c:v>4.0270000000000001</c:v>
                </c:pt>
                <c:pt idx="27">
                  <c:v>4.0279999999999996</c:v>
                </c:pt>
                <c:pt idx="28">
                  <c:v>4.0289999999999999</c:v>
                </c:pt>
                <c:pt idx="29">
                  <c:v>4.03</c:v>
                </c:pt>
                <c:pt idx="30">
                  <c:v>4.0309999999999997</c:v>
                </c:pt>
                <c:pt idx="31">
                  <c:v>4.032</c:v>
                </c:pt>
                <c:pt idx="32">
                  <c:v>4.0330000000000004</c:v>
                </c:pt>
                <c:pt idx="33">
                  <c:v>4.0339999999999998</c:v>
                </c:pt>
                <c:pt idx="34">
                  <c:v>4.0350000000000001</c:v>
                </c:pt>
                <c:pt idx="35">
                  <c:v>4.0359999999999996</c:v>
                </c:pt>
                <c:pt idx="36">
                  <c:v>4.0369999999999999</c:v>
                </c:pt>
                <c:pt idx="37">
                  <c:v>4.0380000000000003</c:v>
                </c:pt>
                <c:pt idx="38">
                  <c:v>4.0389999999999997</c:v>
                </c:pt>
                <c:pt idx="39">
                  <c:v>4.04</c:v>
                </c:pt>
                <c:pt idx="40">
                  <c:v>4.0410000000000004</c:v>
                </c:pt>
                <c:pt idx="41">
                  <c:v>4.0419999999999998</c:v>
                </c:pt>
                <c:pt idx="42">
                  <c:v>4.0430000000000001</c:v>
                </c:pt>
                <c:pt idx="43">
                  <c:v>4.0439999999999996</c:v>
                </c:pt>
                <c:pt idx="44">
                  <c:v>4.0449999999999999</c:v>
                </c:pt>
                <c:pt idx="45">
                  <c:v>4.0460000000000003</c:v>
                </c:pt>
                <c:pt idx="46">
                  <c:v>4.0469999999999997</c:v>
                </c:pt>
                <c:pt idx="47">
                  <c:v>4.048</c:v>
                </c:pt>
                <c:pt idx="48">
                  <c:v>4.0490000000000004</c:v>
                </c:pt>
                <c:pt idx="49">
                  <c:v>4.05</c:v>
                </c:pt>
                <c:pt idx="50">
                  <c:v>4.0510000000000002</c:v>
                </c:pt>
                <c:pt idx="51">
                  <c:v>4.0519999999999996</c:v>
                </c:pt>
                <c:pt idx="52">
                  <c:v>4.0529999999999999</c:v>
                </c:pt>
                <c:pt idx="53">
                  <c:v>4.0540000000000003</c:v>
                </c:pt>
                <c:pt idx="54">
                  <c:v>4.0549999999999997</c:v>
                </c:pt>
                <c:pt idx="55">
                  <c:v>4.056</c:v>
                </c:pt>
                <c:pt idx="56">
                  <c:v>4.0570000000000004</c:v>
                </c:pt>
                <c:pt idx="57">
                  <c:v>4.0579999999999998</c:v>
                </c:pt>
                <c:pt idx="58">
                  <c:v>4.0590000000000002</c:v>
                </c:pt>
                <c:pt idx="59">
                  <c:v>4.0599999999999996</c:v>
                </c:pt>
                <c:pt idx="60">
                  <c:v>4.0609999999999999</c:v>
                </c:pt>
                <c:pt idx="61">
                  <c:v>4.0620000000000003</c:v>
                </c:pt>
                <c:pt idx="62">
                  <c:v>4.0629999999999997</c:v>
                </c:pt>
                <c:pt idx="63">
                  <c:v>4.0640000000000001</c:v>
                </c:pt>
                <c:pt idx="64">
                  <c:v>4.0650000000000004</c:v>
                </c:pt>
                <c:pt idx="65">
                  <c:v>4.0659999999999998</c:v>
                </c:pt>
                <c:pt idx="66">
                  <c:v>4.0670000000000002</c:v>
                </c:pt>
                <c:pt idx="67">
                  <c:v>4.0679999999999996</c:v>
                </c:pt>
                <c:pt idx="68">
                  <c:v>4.069</c:v>
                </c:pt>
                <c:pt idx="69">
                  <c:v>4.07</c:v>
                </c:pt>
                <c:pt idx="70">
                  <c:v>4.0709999999999997</c:v>
                </c:pt>
                <c:pt idx="71">
                  <c:v>4.0720000000000001</c:v>
                </c:pt>
                <c:pt idx="72">
                  <c:v>4.0730000000000004</c:v>
                </c:pt>
                <c:pt idx="73">
                  <c:v>4.0739999999999998</c:v>
                </c:pt>
                <c:pt idx="74">
                  <c:v>4.0750000000000002</c:v>
                </c:pt>
                <c:pt idx="75">
                  <c:v>4.0759999999999996</c:v>
                </c:pt>
                <c:pt idx="76">
                  <c:v>4.077</c:v>
                </c:pt>
                <c:pt idx="77">
                  <c:v>4.0780000000000003</c:v>
                </c:pt>
                <c:pt idx="78">
                  <c:v>4.0789999999999997</c:v>
                </c:pt>
                <c:pt idx="79">
                  <c:v>4.08</c:v>
                </c:pt>
                <c:pt idx="80">
                  <c:v>4.0810000000000004</c:v>
                </c:pt>
                <c:pt idx="81">
                  <c:v>4.0819999999999999</c:v>
                </c:pt>
                <c:pt idx="82">
                  <c:v>4.0830000000000002</c:v>
                </c:pt>
                <c:pt idx="83">
                  <c:v>4.0839999999999996</c:v>
                </c:pt>
                <c:pt idx="84">
                  <c:v>4.085</c:v>
                </c:pt>
                <c:pt idx="85">
                  <c:v>4.0860000000000003</c:v>
                </c:pt>
                <c:pt idx="86">
                  <c:v>4.0869999999999997</c:v>
                </c:pt>
                <c:pt idx="87">
                  <c:v>4.0880000000000001</c:v>
                </c:pt>
                <c:pt idx="88">
                  <c:v>4.0890000000000004</c:v>
                </c:pt>
                <c:pt idx="89">
                  <c:v>4.09</c:v>
                </c:pt>
                <c:pt idx="90">
                  <c:v>4.0910000000000002</c:v>
                </c:pt>
                <c:pt idx="91">
                  <c:v>4.0919999999999996</c:v>
                </c:pt>
                <c:pt idx="92">
                  <c:v>4.093</c:v>
                </c:pt>
                <c:pt idx="93">
                  <c:v>4.0940000000000003</c:v>
                </c:pt>
                <c:pt idx="94">
                  <c:v>4.0949999999999998</c:v>
                </c:pt>
                <c:pt idx="95">
                  <c:v>4.0960000000000001</c:v>
                </c:pt>
                <c:pt idx="96">
                  <c:v>4.0970000000000004</c:v>
                </c:pt>
                <c:pt idx="97">
                  <c:v>4.0979999999999999</c:v>
                </c:pt>
                <c:pt idx="98">
                  <c:v>4.0990000000000002</c:v>
                </c:pt>
                <c:pt idx="99">
                  <c:v>4.0999999999999996</c:v>
                </c:pt>
                <c:pt idx="100">
                  <c:v>4.101</c:v>
                </c:pt>
                <c:pt idx="101">
                  <c:v>4.1020000000000003</c:v>
                </c:pt>
                <c:pt idx="102">
                  <c:v>4.1029999999999998</c:v>
                </c:pt>
                <c:pt idx="103">
                  <c:v>4.1040000000000001</c:v>
                </c:pt>
                <c:pt idx="104">
                  <c:v>4.1050000000000004</c:v>
                </c:pt>
                <c:pt idx="105">
                  <c:v>4.1059999999999999</c:v>
                </c:pt>
                <c:pt idx="106">
                  <c:v>4.1070000000000002</c:v>
                </c:pt>
                <c:pt idx="107">
                  <c:v>4.1079999999999997</c:v>
                </c:pt>
                <c:pt idx="108">
                  <c:v>4.109</c:v>
                </c:pt>
                <c:pt idx="109">
                  <c:v>4.1100000000000003</c:v>
                </c:pt>
                <c:pt idx="110">
                  <c:v>4.1109999999999998</c:v>
                </c:pt>
                <c:pt idx="111">
                  <c:v>4.1120000000000001</c:v>
                </c:pt>
                <c:pt idx="112">
                  <c:v>4.1129999999999995</c:v>
                </c:pt>
                <c:pt idx="113">
                  <c:v>4.1139999999999999</c:v>
                </c:pt>
                <c:pt idx="114">
                  <c:v>4.1150000000000002</c:v>
                </c:pt>
                <c:pt idx="115">
                  <c:v>4.1159999999999997</c:v>
                </c:pt>
                <c:pt idx="116">
                  <c:v>4.117</c:v>
                </c:pt>
                <c:pt idx="117">
                  <c:v>4.1180000000000003</c:v>
                </c:pt>
                <c:pt idx="118">
                  <c:v>4.1189999999999998</c:v>
                </c:pt>
                <c:pt idx="119">
                  <c:v>4.12</c:v>
                </c:pt>
                <c:pt idx="120">
                  <c:v>4.1210000000000004</c:v>
                </c:pt>
                <c:pt idx="121">
                  <c:v>4.1219999999999999</c:v>
                </c:pt>
                <c:pt idx="122">
                  <c:v>4.1230000000000002</c:v>
                </c:pt>
                <c:pt idx="123">
                  <c:v>4.1239999999999997</c:v>
                </c:pt>
                <c:pt idx="124">
                  <c:v>4.125</c:v>
                </c:pt>
                <c:pt idx="125">
                  <c:v>4.1260000000000003</c:v>
                </c:pt>
                <c:pt idx="126">
                  <c:v>4.1269999999999998</c:v>
                </c:pt>
                <c:pt idx="127">
                  <c:v>4.1280000000000001</c:v>
                </c:pt>
                <c:pt idx="128">
                  <c:v>4.1289999999999996</c:v>
                </c:pt>
                <c:pt idx="129">
                  <c:v>4.13</c:v>
                </c:pt>
                <c:pt idx="130">
                  <c:v>4.1310000000000002</c:v>
                </c:pt>
                <c:pt idx="131">
                  <c:v>4.1319999999999997</c:v>
                </c:pt>
                <c:pt idx="132">
                  <c:v>4.133</c:v>
                </c:pt>
                <c:pt idx="133">
                  <c:v>4.1340000000000003</c:v>
                </c:pt>
                <c:pt idx="134">
                  <c:v>4.1349999999999998</c:v>
                </c:pt>
                <c:pt idx="135">
                  <c:v>4.1360000000000001</c:v>
                </c:pt>
                <c:pt idx="136">
                  <c:v>4.1369999999999996</c:v>
                </c:pt>
                <c:pt idx="137">
                  <c:v>4.1379999999999999</c:v>
                </c:pt>
                <c:pt idx="138">
                  <c:v>4.1390000000000002</c:v>
                </c:pt>
                <c:pt idx="139">
                  <c:v>4.1399999999999997</c:v>
                </c:pt>
                <c:pt idx="140">
                  <c:v>4.141</c:v>
                </c:pt>
                <c:pt idx="141">
                  <c:v>4.1420000000000003</c:v>
                </c:pt>
                <c:pt idx="142">
                  <c:v>4.1429999999999998</c:v>
                </c:pt>
                <c:pt idx="143">
                  <c:v>4.1440000000000001</c:v>
                </c:pt>
                <c:pt idx="144">
                  <c:v>4.1449999999999996</c:v>
                </c:pt>
                <c:pt idx="145">
                  <c:v>4.1459999999999999</c:v>
                </c:pt>
                <c:pt idx="146">
                  <c:v>4.1470000000000002</c:v>
                </c:pt>
                <c:pt idx="147">
                  <c:v>4.1479999999999997</c:v>
                </c:pt>
                <c:pt idx="148">
                  <c:v>4.149</c:v>
                </c:pt>
                <c:pt idx="149">
                  <c:v>4.1500000000000004</c:v>
                </c:pt>
              </c:numCache>
            </c:numRef>
          </c:yVal>
          <c:smooth val="1"/>
          <c:extLst>
            <c:ext xmlns:c16="http://schemas.microsoft.com/office/drawing/2014/chart" uri="{C3380CC4-5D6E-409C-BE32-E72D297353CC}">
              <c16:uniqueId val="{00000003-98B9-4A0F-9AF3-241E82BDC034}"/>
            </c:ext>
          </c:extLst>
        </c:ser>
        <c:ser>
          <c:idx val="4"/>
          <c:order val="4"/>
          <c:tx>
            <c:v>D2</c:v>
          </c:tx>
          <c:marker>
            <c:symbol val="none"/>
          </c:marker>
          <c:xVal>
            <c:numRef>
              <c:f>Eff_vs_IOUT!$R$8:$R$157</c:f>
              <c:numCache>
                <c:formatCode>General</c:formatCode>
                <c:ptCount val="150"/>
                <c:pt idx="0">
                  <c:v>0.53333333333333333</c:v>
                </c:pt>
                <c:pt idx="1">
                  <c:v>1.0666666666666667</c:v>
                </c:pt>
                <c:pt idx="2">
                  <c:v>1.6</c:v>
                </c:pt>
                <c:pt idx="3">
                  <c:v>2.1333333333333333</c:v>
                </c:pt>
                <c:pt idx="4">
                  <c:v>2.6666666666666665</c:v>
                </c:pt>
                <c:pt idx="5">
                  <c:v>3.2</c:v>
                </c:pt>
                <c:pt idx="6">
                  <c:v>3.7333333333333334</c:v>
                </c:pt>
                <c:pt idx="7">
                  <c:v>4.2666666666666666</c:v>
                </c:pt>
                <c:pt idx="8">
                  <c:v>4.8</c:v>
                </c:pt>
                <c:pt idx="9">
                  <c:v>5.333333333333333</c:v>
                </c:pt>
                <c:pt idx="10">
                  <c:v>5.8666666666666663</c:v>
                </c:pt>
                <c:pt idx="11">
                  <c:v>6.4</c:v>
                </c:pt>
                <c:pt idx="12">
                  <c:v>6.9333333333333336</c:v>
                </c:pt>
                <c:pt idx="13">
                  <c:v>7.4666666666666668</c:v>
                </c:pt>
                <c:pt idx="14">
                  <c:v>8</c:v>
                </c:pt>
                <c:pt idx="15">
                  <c:v>8.5333333333333332</c:v>
                </c:pt>
                <c:pt idx="16">
                  <c:v>9.0666666666666664</c:v>
                </c:pt>
                <c:pt idx="17">
                  <c:v>9.6</c:v>
                </c:pt>
                <c:pt idx="18">
                  <c:v>10.133333333333333</c:v>
                </c:pt>
                <c:pt idx="19">
                  <c:v>10.666666666666666</c:v>
                </c:pt>
                <c:pt idx="20">
                  <c:v>11.2</c:v>
                </c:pt>
                <c:pt idx="21">
                  <c:v>11.733333333333333</c:v>
                </c:pt>
                <c:pt idx="22">
                  <c:v>12.266666666666666</c:v>
                </c:pt>
                <c:pt idx="23">
                  <c:v>12.8</c:v>
                </c:pt>
                <c:pt idx="24">
                  <c:v>13.333333333333334</c:v>
                </c:pt>
                <c:pt idx="25">
                  <c:v>13.866666666666667</c:v>
                </c:pt>
                <c:pt idx="26">
                  <c:v>14.4</c:v>
                </c:pt>
                <c:pt idx="27">
                  <c:v>14.933333333333334</c:v>
                </c:pt>
                <c:pt idx="28">
                  <c:v>15.466666666666667</c:v>
                </c:pt>
                <c:pt idx="29">
                  <c:v>16</c:v>
                </c:pt>
                <c:pt idx="30">
                  <c:v>16.533333333333331</c:v>
                </c:pt>
                <c:pt idx="31">
                  <c:v>17.066666666666666</c:v>
                </c:pt>
                <c:pt idx="32">
                  <c:v>17.600000000000001</c:v>
                </c:pt>
                <c:pt idx="33">
                  <c:v>18.133333333333333</c:v>
                </c:pt>
                <c:pt idx="34">
                  <c:v>18.666666666666668</c:v>
                </c:pt>
                <c:pt idx="35">
                  <c:v>19.2</c:v>
                </c:pt>
                <c:pt idx="36">
                  <c:v>19.733333333333334</c:v>
                </c:pt>
                <c:pt idx="37">
                  <c:v>20.266666666666666</c:v>
                </c:pt>
                <c:pt idx="38">
                  <c:v>20.8</c:v>
                </c:pt>
                <c:pt idx="39">
                  <c:v>21.333333333333332</c:v>
                </c:pt>
                <c:pt idx="40">
                  <c:v>21.866666666666667</c:v>
                </c:pt>
                <c:pt idx="41">
                  <c:v>22.4</c:v>
                </c:pt>
                <c:pt idx="42">
                  <c:v>22.933333333333334</c:v>
                </c:pt>
                <c:pt idx="43">
                  <c:v>23.466666666666665</c:v>
                </c:pt>
                <c:pt idx="44">
                  <c:v>24</c:v>
                </c:pt>
                <c:pt idx="45">
                  <c:v>24.533333333333331</c:v>
                </c:pt>
                <c:pt idx="46">
                  <c:v>25.066666666666666</c:v>
                </c:pt>
                <c:pt idx="47">
                  <c:v>25.6</c:v>
                </c:pt>
                <c:pt idx="48">
                  <c:v>26.133333333333333</c:v>
                </c:pt>
                <c:pt idx="49">
                  <c:v>26.666666666666668</c:v>
                </c:pt>
                <c:pt idx="50">
                  <c:v>27.2</c:v>
                </c:pt>
                <c:pt idx="51">
                  <c:v>27.733333333333334</c:v>
                </c:pt>
                <c:pt idx="52">
                  <c:v>28.266666666666666</c:v>
                </c:pt>
                <c:pt idx="53">
                  <c:v>28.8</c:v>
                </c:pt>
                <c:pt idx="54">
                  <c:v>29.333333333333332</c:v>
                </c:pt>
                <c:pt idx="55">
                  <c:v>29.866666666666667</c:v>
                </c:pt>
                <c:pt idx="56">
                  <c:v>30.4</c:v>
                </c:pt>
                <c:pt idx="57">
                  <c:v>30.933333333333334</c:v>
                </c:pt>
                <c:pt idx="58">
                  <c:v>31.466666666666665</c:v>
                </c:pt>
                <c:pt idx="59">
                  <c:v>32</c:v>
                </c:pt>
                <c:pt idx="60">
                  <c:v>32.533333333333331</c:v>
                </c:pt>
                <c:pt idx="61">
                  <c:v>33.066666666666663</c:v>
                </c:pt>
                <c:pt idx="62">
                  <c:v>33.6</c:v>
                </c:pt>
                <c:pt idx="63">
                  <c:v>34.133333333333333</c:v>
                </c:pt>
                <c:pt idx="64">
                  <c:v>34.666666666666664</c:v>
                </c:pt>
                <c:pt idx="65">
                  <c:v>35.200000000000003</c:v>
                </c:pt>
                <c:pt idx="66">
                  <c:v>35.733333333333334</c:v>
                </c:pt>
                <c:pt idx="67">
                  <c:v>36.266666666666666</c:v>
                </c:pt>
                <c:pt idx="68">
                  <c:v>36.799999999999997</c:v>
                </c:pt>
                <c:pt idx="69">
                  <c:v>37.333333333333336</c:v>
                </c:pt>
                <c:pt idx="70">
                  <c:v>37.866666666666667</c:v>
                </c:pt>
                <c:pt idx="71">
                  <c:v>38.4</c:v>
                </c:pt>
                <c:pt idx="72">
                  <c:v>38.93333333333333</c:v>
                </c:pt>
                <c:pt idx="73">
                  <c:v>39.466666666666669</c:v>
                </c:pt>
                <c:pt idx="74">
                  <c:v>40</c:v>
                </c:pt>
                <c:pt idx="75">
                  <c:v>40.533333333333331</c:v>
                </c:pt>
                <c:pt idx="76">
                  <c:v>41.066666666666663</c:v>
                </c:pt>
                <c:pt idx="77">
                  <c:v>41.6</c:v>
                </c:pt>
                <c:pt idx="78">
                  <c:v>42.133333333333333</c:v>
                </c:pt>
                <c:pt idx="79">
                  <c:v>42.666666666666664</c:v>
                </c:pt>
                <c:pt idx="80">
                  <c:v>43.2</c:v>
                </c:pt>
                <c:pt idx="81">
                  <c:v>43.733333333333334</c:v>
                </c:pt>
                <c:pt idx="82">
                  <c:v>44.266666666666666</c:v>
                </c:pt>
                <c:pt idx="83">
                  <c:v>44.8</c:v>
                </c:pt>
                <c:pt idx="84">
                  <c:v>45.333333333333336</c:v>
                </c:pt>
                <c:pt idx="85">
                  <c:v>45.866666666666667</c:v>
                </c:pt>
                <c:pt idx="86">
                  <c:v>46.4</c:v>
                </c:pt>
                <c:pt idx="87">
                  <c:v>46.93333333333333</c:v>
                </c:pt>
                <c:pt idx="88">
                  <c:v>47.466666666666669</c:v>
                </c:pt>
                <c:pt idx="89">
                  <c:v>48</c:v>
                </c:pt>
                <c:pt idx="90">
                  <c:v>48.533333333333331</c:v>
                </c:pt>
                <c:pt idx="91">
                  <c:v>49.066666666666663</c:v>
                </c:pt>
                <c:pt idx="92">
                  <c:v>49.6</c:v>
                </c:pt>
                <c:pt idx="93">
                  <c:v>50.133333333333333</c:v>
                </c:pt>
                <c:pt idx="94">
                  <c:v>50.666666666666664</c:v>
                </c:pt>
                <c:pt idx="95">
                  <c:v>51.2</c:v>
                </c:pt>
                <c:pt idx="96">
                  <c:v>51.733333333333334</c:v>
                </c:pt>
                <c:pt idx="97">
                  <c:v>52.266666666666666</c:v>
                </c:pt>
                <c:pt idx="98">
                  <c:v>52.8</c:v>
                </c:pt>
                <c:pt idx="99">
                  <c:v>53.333333333333336</c:v>
                </c:pt>
                <c:pt idx="100">
                  <c:v>53.866666666666667</c:v>
                </c:pt>
                <c:pt idx="101">
                  <c:v>54.4</c:v>
                </c:pt>
                <c:pt idx="102">
                  <c:v>54.93333333333333</c:v>
                </c:pt>
                <c:pt idx="103">
                  <c:v>55.466666666666669</c:v>
                </c:pt>
                <c:pt idx="104">
                  <c:v>56</c:v>
                </c:pt>
                <c:pt idx="105">
                  <c:v>56.533333333333331</c:v>
                </c:pt>
                <c:pt idx="106">
                  <c:v>57.066666666666663</c:v>
                </c:pt>
                <c:pt idx="107">
                  <c:v>57.6</c:v>
                </c:pt>
                <c:pt idx="108">
                  <c:v>58.133333333333333</c:v>
                </c:pt>
                <c:pt idx="109">
                  <c:v>58.666666666666664</c:v>
                </c:pt>
                <c:pt idx="110">
                  <c:v>59.199999999999996</c:v>
                </c:pt>
                <c:pt idx="111">
                  <c:v>59.733333333333334</c:v>
                </c:pt>
                <c:pt idx="112">
                  <c:v>60.266666666666666</c:v>
                </c:pt>
                <c:pt idx="113">
                  <c:v>60.8</c:v>
                </c:pt>
                <c:pt idx="114">
                  <c:v>61.333333333333336</c:v>
                </c:pt>
                <c:pt idx="115">
                  <c:v>61.866666666666667</c:v>
                </c:pt>
                <c:pt idx="116">
                  <c:v>62.4</c:v>
                </c:pt>
                <c:pt idx="117">
                  <c:v>62.93333333333333</c:v>
                </c:pt>
                <c:pt idx="118">
                  <c:v>63.466666666666669</c:v>
                </c:pt>
                <c:pt idx="119">
                  <c:v>64</c:v>
                </c:pt>
                <c:pt idx="120">
                  <c:v>64.533333333333331</c:v>
                </c:pt>
                <c:pt idx="121">
                  <c:v>65.066666666666663</c:v>
                </c:pt>
                <c:pt idx="122">
                  <c:v>65.599999999999994</c:v>
                </c:pt>
                <c:pt idx="123">
                  <c:v>66.133333333333326</c:v>
                </c:pt>
                <c:pt idx="124">
                  <c:v>66.666666666666671</c:v>
                </c:pt>
                <c:pt idx="125">
                  <c:v>67.2</c:v>
                </c:pt>
                <c:pt idx="126">
                  <c:v>67.733333333333334</c:v>
                </c:pt>
                <c:pt idx="127">
                  <c:v>68.266666666666666</c:v>
                </c:pt>
                <c:pt idx="128">
                  <c:v>68.8</c:v>
                </c:pt>
                <c:pt idx="129">
                  <c:v>69.333333333333329</c:v>
                </c:pt>
                <c:pt idx="130">
                  <c:v>69.86666666666666</c:v>
                </c:pt>
                <c:pt idx="131">
                  <c:v>70.400000000000006</c:v>
                </c:pt>
                <c:pt idx="132">
                  <c:v>70.933333333333337</c:v>
                </c:pt>
                <c:pt idx="133">
                  <c:v>71.466666666666669</c:v>
                </c:pt>
                <c:pt idx="134">
                  <c:v>72</c:v>
                </c:pt>
                <c:pt idx="135">
                  <c:v>72.533333333333331</c:v>
                </c:pt>
                <c:pt idx="136">
                  <c:v>73.066666666666663</c:v>
                </c:pt>
                <c:pt idx="137">
                  <c:v>73.599999999999994</c:v>
                </c:pt>
                <c:pt idx="138">
                  <c:v>74.133333333333326</c:v>
                </c:pt>
                <c:pt idx="139">
                  <c:v>74.666666666666671</c:v>
                </c:pt>
                <c:pt idx="140">
                  <c:v>75.2</c:v>
                </c:pt>
                <c:pt idx="141">
                  <c:v>75.733333333333334</c:v>
                </c:pt>
                <c:pt idx="142">
                  <c:v>76.266666666666666</c:v>
                </c:pt>
                <c:pt idx="143">
                  <c:v>76.8</c:v>
                </c:pt>
                <c:pt idx="144">
                  <c:v>77.333333333333329</c:v>
                </c:pt>
                <c:pt idx="145">
                  <c:v>77.86666666666666</c:v>
                </c:pt>
                <c:pt idx="146">
                  <c:v>78.400000000000006</c:v>
                </c:pt>
                <c:pt idx="147">
                  <c:v>78.933333333333337</c:v>
                </c:pt>
                <c:pt idx="148">
                  <c:v>79.466666666666669</c:v>
                </c:pt>
                <c:pt idx="149">
                  <c:v>80</c:v>
                </c:pt>
              </c:numCache>
            </c:numRef>
          </c:xVal>
          <c:yVal>
            <c:numRef>
              <c:f>Eff_vs_IOUT!$BI$8:$BI$157</c:f>
              <c:numCache>
                <c:formatCode>General</c:formatCode>
                <c:ptCount val="1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4-98B9-4A0F-9AF3-241E82BDC034}"/>
            </c:ext>
          </c:extLst>
        </c:ser>
        <c:dLbls>
          <c:showLegendKey val="0"/>
          <c:showVal val="0"/>
          <c:showCatName val="0"/>
          <c:showSerName val="0"/>
          <c:showPercent val="0"/>
          <c:showBubbleSize val="0"/>
        </c:dLbls>
        <c:axId val="586422528"/>
        <c:axId val="586420608"/>
      </c:scatterChart>
      <c:valAx>
        <c:axId val="586339072"/>
        <c:scaling>
          <c:orientation val="minMax"/>
        </c:scaling>
        <c:delete val="0"/>
        <c:axPos val="b"/>
        <c:majorGridlines/>
        <c:numFmt formatCode="General" sourceLinked="1"/>
        <c:majorTickMark val="out"/>
        <c:minorTickMark val="none"/>
        <c:tickLblPos val="nextTo"/>
        <c:crossAx val="586340608"/>
        <c:crosses val="autoZero"/>
        <c:crossBetween val="midCat"/>
      </c:valAx>
      <c:valAx>
        <c:axId val="586340608"/>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586339072"/>
        <c:crosses val="autoZero"/>
        <c:crossBetween val="midCat"/>
      </c:valAx>
      <c:valAx>
        <c:axId val="586420608"/>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586422528"/>
        <c:crosses val="max"/>
        <c:crossBetween val="midCat"/>
      </c:valAx>
      <c:valAx>
        <c:axId val="586422528"/>
        <c:scaling>
          <c:orientation val="minMax"/>
        </c:scaling>
        <c:delete val="1"/>
        <c:axPos val="b"/>
        <c:title>
          <c:tx>
            <c:rich>
              <a:bodyPr/>
              <a:lstStyle/>
              <a:p>
                <a:pPr>
                  <a:defRPr sz="1200"/>
                </a:pPr>
                <a:r>
                  <a:rPr lang="en-US" sz="1200" b="1" i="0" baseline="0">
                    <a:effectLst/>
                  </a:rPr>
                  <a:t>P</a:t>
                </a:r>
                <a:r>
                  <a:rPr lang="en-US" sz="1200" b="1" i="0" baseline="-25000">
                    <a:effectLst/>
                  </a:rPr>
                  <a:t>OUT</a:t>
                </a:r>
                <a:r>
                  <a:rPr lang="en-US" sz="1200" b="1" i="0" baseline="0">
                    <a:effectLst/>
                  </a:rPr>
                  <a:t> (W)</a:t>
                </a:r>
                <a:endParaRPr lang="en-US" sz="1200">
                  <a:effectLst/>
                </a:endParaRPr>
              </a:p>
            </c:rich>
          </c:tx>
          <c:overlay val="0"/>
        </c:title>
        <c:numFmt formatCode="General" sourceLinked="1"/>
        <c:majorTickMark val="out"/>
        <c:minorTickMark val="none"/>
        <c:tickLblPos val="nextTo"/>
        <c:crossAx val="586420608"/>
        <c:crosses val="autoZero"/>
        <c:crossBetween val="midCat"/>
      </c:valAx>
    </c:plotArea>
    <c:legend>
      <c:legendPos val="r"/>
      <c:layout>
        <c:manualLayout>
          <c:xMode val="edge"/>
          <c:yMode val="edge"/>
          <c:x val="0.49339941826540429"/>
          <c:y val="6.4862204724409449E-3"/>
          <c:w val="0.42227913565687919"/>
          <c:h val="0.1165233360670469"/>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Eff_vs_IOUT!$BZ$7:$BZ$157</c:f>
              <c:numCache>
                <c:formatCode>General</c:formatCode>
                <c:ptCount val="151"/>
                <c:pt idx="0">
                  <c:v>0</c:v>
                </c:pt>
                <c:pt idx="1">
                  <c:v>10.899254978714383</c:v>
                </c:pt>
                <c:pt idx="2">
                  <c:v>19.441150108439537</c:v>
                </c:pt>
                <c:pt idx="3">
                  <c:v>26.353383851720828</c:v>
                </c:pt>
                <c:pt idx="4">
                  <c:v>32.072755098680396</c:v>
                </c:pt>
                <c:pt idx="5">
                  <c:v>36.888877277750787</c:v>
                </c:pt>
                <c:pt idx="6">
                  <c:v>41.003140217307433</c:v>
                </c:pt>
                <c:pt idx="7">
                  <c:v>44.560492826501367</c:v>
                </c:pt>
                <c:pt idx="8">
                  <c:v>47.668153183287401</c:v>
                </c:pt>
                <c:pt idx="9">
                  <c:v>50.40724619300213</c:v>
                </c:pt>
                <c:pt idx="10">
                  <c:v>52.840344763069361</c:v>
                </c:pt>
                <c:pt idx="11">
                  <c:v>55.016519707648904</c:v>
                </c:pt>
                <c:pt idx="12">
                  <c:v>56.974815497025318</c:v>
                </c:pt>
                <c:pt idx="13">
                  <c:v>58.746699436603002</c:v>
                </c:pt>
                <c:pt idx="14">
                  <c:v>60.357823156448845</c:v>
                </c:pt>
                <c:pt idx="15">
                  <c:v>61.829312568280024</c:v>
                </c:pt>
                <c:pt idx="16">
                  <c:v>63.178727810125388</c:v>
                </c:pt>
                <c:pt idx="17">
                  <c:v>64.420787977469487</c:v>
                </c:pt>
                <c:pt idx="18">
                  <c:v>65.532474639671605</c:v>
                </c:pt>
                <c:pt idx="19">
                  <c:v>66.546739035199934</c:v>
                </c:pt>
                <c:pt idx="20">
                  <c:v>67.486630042115436</c:v>
                </c:pt>
                <c:pt idx="21">
                  <c:v>68.360015013227553</c:v>
                </c:pt>
                <c:pt idx="22">
                  <c:v>69.173689467421923</c:v>
                </c:pt>
                <c:pt idx="23">
                  <c:v>69.9335536084062</c:v>
                </c:pt>
                <c:pt idx="24">
                  <c:v>70.644755071105834</c:v>
                </c:pt>
                <c:pt idx="25">
                  <c:v>71.311805201146811</c:v>
                </c:pt>
                <c:pt idx="26">
                  <c:v>71.938674420977179</c:v>
                </c:pt>
                <c:pt idx="27">
                  <c:v>72.528870943164847</c:v>
                </c:pt>
                <c:pt idx="28">
                  <c:v>73.08550612749616</c:v>
                </c:pt>
                <c:pt idx="29">
                  <c:v>73.611349053176212</c:v>
                </c:pt>
                <c:pt idx="30">
                  <c:v>74.108872326837627</c:v>
                </c:pt>
                <c:pt idx="31">
                  <c:v>74.580290725648467</c:v>
                </c:pt>
                <c:pt idx="32">
                  <c:v>75.027593949753765</c:v>
                </c:pt>
                <c:pt idx="33">
                  <c:v>75.452574505713528</c:v>
                </c:pt>
                <c:pt idx="34">
                  <c:v>75.85685154498816</c:v>
                </c:pt>
                <c:pt idx="35">
                  <c:v>76.241891325895111</c:v>
                </c:pt>
                <c:pt idx="36">
                  <c:v>76.609024844136485</c:v>
                </c:pt>
                <c:pt idx="37">
                  <c:v>76.959463078692764</c:v>
                </c:pt>
                <c:pt idx="38">
                  <c:v>77.2943102210794</c:v>
                </c:pt>
                <c:pt idx="39">
                  <c:v>77.614575192460194</c:v>
                </c:pt>
                <c:pt idx="40">
                  <c:v>77.921181701677568</c:v>
                </c:pt>
                <c:pt idx="41">
                  <c:v>78.214977055396943</c:v>
                </c:pt>
                <c:pt idx="42">
                  <c:v>78.496739897333597</c:v>
                </c:pt>
                <c:pt idx="43">
                  <c:v>78.7671870254174</c:v>
                </c:pt>
                <c:pt idx="44">
                  <c:v>79.02697941256497</c:v>
                </c:pt>
                <c:pt idx="45">
                  <c:v>79.27672753752843</c:v>
                </c:pt>
                <c:pt idx="46">
                  <c:v>79.516996116327292</c:v>
                </c:pt>
                <c:pt idx="47">
                  <c:v>79.748308311450344</c:v>
                </c:pt>
                <c:pt idx="48">
                  <c:v>79.971149484860931</c:v>
                </c:pt>
                <c:pt idx="49">
                  <c:v>80.185970551465289</c:v>
                </c:pt>
                <c:pt idx="50">
                  <c:v>80.393190981801823</c:v>
                </c:pt>
                <c:pt idx="51">
                  <c:v>80.593201496025273</c:v>
                </c:pt>
                <c:pt idx="52">
                  <c:v>80.786366485589468</c:v>
                </c:pt>
                <c:pt idx="53">
                  <c:v>80.973026194207549</c:v>
                </c:pt>
                <c:pt idx="54">
                  <c:v>81.153498685551213</c:v>
                </c:pt>
                <c:pt idx="55">
                  <c:v>81.328081621627859</c:v>
                </c:pt>
                <c:pt idx="56">
                  <c:v>81.497053872751778</c:v>
                </c:pt>
                <c:pt idx="57">
                  <c:v>81.66067697742541</c:v>
                </c:pt>
                <c:pt idx="58">
                  <c:v>81.819196468205462</c:v>
                </c:pt>
                <c:pt idx="59">
                  <c:v>81.972843077690158</c:v>
                </c:pt>
                <c:pt idx="60">
                  <c:v>82.121833837085418</c:v>
                </c:pt>
                <c:pt idx="61">
                  <c:v>82.266373078349559</c:v>
                </c:pt>
                <c:pt idx="62">
                  <c:v>82.406653349647996</c:v>
                </c:pt>
                <c:pt idx="63">
                  <c:v>82.542856252741814</c:v>
                </c:pt>
                <c:pt idx="64">
                  <c:v>82.675153209968869</c:v>
                </c:pt>
                <c:pt idx="65">
                  <c:v>82.803706167627851</c:v>
                </c:pt>
                <c:pt idx="66">
                  <c:v>82.928668241834032</c:v>
                </c:pt>
                <c:pt idx="67">
                  <c:v>83.050184312261919</c:v>
                </c:pt>
                <c:pt idx="68">
                  <c:v>83.168391568615974</c:v>
                </c:pt>
                <c:pt idx="69">
                  <c:v>83.283420014162047</c:v>
                </c:pt>
                <c:pt idx="70">
                  <c:v>83.39539293020573</c:v>
                </c:pt>
                <c:pt idx="71">
                  <c:v>83.504427305005677</c:v>
                </c:pt>
                <c:pt idx="72">
                  <c:v>83.610634230259322</c:v>
                </c:pt>
                <c:pt idx="73">
                  <c:v>83.714119267985282</c:v>
                </c:pt>
                <c:pt idx="74">
                  <c:v>83.814982790349873</c:v>
                </c:pt>
                <c:pt idx="75">
                  <c:v>83.913320294736977</c:v>
                </c:pt>
                <c:pt idx="76">
                  <c:v>84.009222696140128</c:v>
                </c:pt>
                <c:pt idx="77">
                  <c:v>84.102776598758823</c:v>
                </c:pt>
                <c:pt idx="78">
                  <c:v>84.194064548504215</c:v>
                </c:pt>
                <c:pt idx="79">
                  <c:v>84.283165267961508</c:v>
                </c:pt>
                <c:pt idx="80">
                  <c:v>84.370153875215081</c:v>
                </c:pt>
                <c:pt idx="81">
                  <c:v>84.455102087814453</c:v>
                </c:pt>
                <c:pt idx="82">
                  <c:v>84.538078413045127</c:v>
                </c:pt>
                <c:pt idx="83">
                  <c:v>84.619148325565504</c:v>
                </c:pt>
                <c:pt idx="84">
                  <c:v>84.698374433377381</c:v>
                </c:pt>
                <c:pt idx="85">
                  <c:v>84.775816633014813</c:v>
                </c:pt>
                <c:pt idx="86">
                  <c:v>84.851532254759121</c:v>
                </c:pt>
                <c:pt idx="87">
                  <c:v>84.925576198620618</c:v>
                </c:pt>
                <c:pt idx="88">
                  <c:v>84.998001061764143</c:v>
                </c:pt>
                <c:pt idx="89">
                  <c:v>85.068857258000392</c:v>
                </c:pt>
                <c:pt idx="90">
                  <c:v>85.138193129913518</c:v>
                </c:pt>
                <c:pt idx="91">
                  <c:v>85.206055054148749</c:v>
                </c:pt>
                <c:pt idx="92">
                  <c:v>85.272487540342112</c:v>
                </c:pt>
                <c:pt idx="93">
                  <c:v>85.337533324135805</c:v>
                </c:pt>
                <c:pt idx="94">
                  <c:v>85.401233454687357</c:v>
                </c:pt>
                <c:pt idx="95">
                  <c:v>85.463627377049562</c:v>
                </c:pt>
                <c:pt idx="96">
                  <c:v>85.524753009767977</c:v>
                </c:pt>
                <c:pt idx="97">
                  <c:v>85.58464681801749</c:v>
                </c:pt>
                <c:pt idx="98">
                  <c:v>85.643343882573561</c:v>
                </c:pt>
                <c:pt idx="99">
                  <c:v>85.700877964893024</c:v>
                </c:pt>
                <c:pt idx="100">
                  <c:v>85.757281568557403</c:v>
                </c:pt>
                <c:pt idx="101">
                  <c:v>85.812585997314301</c:v>
                </c:pt>
                <c:pt idx="102">
                  <c:v>85.866821409934374</c:v>
                </c:pt>
                <c:pt idx="103">
                  <c:v>85.92001687208564</c:v>
                </c:pt>
                <c:pt idx="104">
                  <c:v>85.972200405413162</c:v>
                </c:pt>
                <c:pt idx="105">
                  <c:v>86.023399033997634</c:v>
                </c:pt>
                <c:pt idx="106">
                  <c:v>86.073638828355172</c:v>
                </c:pt>
                <c:pt idx="107">
                  <c:v>86.122944947128474</c:v>
                </c:pt>
                <c:pt idx="108">
                  <c:v>86.171341676609671</c:v>
                </c:pt>
                <c:pt idx="109">
                  <c:v>86.218852468225265</c:v>
                </c:pt>
                <c:pt idx="110">
                  <c:v>86.265499974104443</c:v>
                </c:pt>
                <c:pt idx="111">
                  <c:v>86.311306080844687</c:v>
                </c:pt>
                <c:pt idx="112">
                  <c:v>86.356291941579713</c:v>
                </c:pt>
                <c:pt idx="113">
                  <c:v>86.400478006449106</c:v>
                </c:pt>
                <c:pt idx="114">
                  <c:v>86.443884051561241</c:v>
                </c:pt>
                <c:pt idx="115">
                  <c:v>86.486529206536318</c:v>
                </c:pt>
                <c:pt idx="116">
                  <c:v>86.528431980709541</c:v>
                </c:pt>
                <c:pt idx="117">
                  <c:v>86.569610288070081</c:v>
                </c:pt>
                <c:pt idx="118">
                  <c:v>86.610081471006609</c:v>
                </c:pt>
                <c:pt idx="119">
                  <c:v>86.649862322925003</c:v>
                </c:pt>
                <c:pt idx="120">
                  <c:v>86.688969109800794</c:v>
                </c:pt>
                <c:pt idx="121">
                  <c:v>86.727417590724102</c:v>
                </c:pt>
                <c:pt idx="122">
                  <c:v>86.765223037491523</c:v>
                </c:pt>
                <c:pt idx="123">
                  <c:v>86.802400253296511</c:v>
                </c:pt>
                <c:pt idx="124">
                  <c:v>86.838963590565783</c:v>
                </c:pt>
                <c:pt idx="125">
                  <c:v>86.874926967987463</c:v>
                </c:pt>
                <c:pt idx="126">
                  <c:v>86.910303886772951</c:v>
                </c:pt>
                <c:pt idx="127">
                  <c:v>86.945107446192566</c:v>
                </c:pt>
                <c:pt idx="128">
                  <c:v>86.979350358422678</c:v>
                </c:pt>
                <c:pt idx="129">
                  <c:v>87.013044962739556</c:v>
                </c:pt>
                <c:pt idx="130">
                  <c:v>87.046203239093046</c:v>
                </c:pt>
                <c:pt idx="131">
                  <c:v>87.07883682109177</c:v>
                </c:pt>
                <c:pt idx="132">
                  <c:v>87.11095700842931</c:v>
                </c:pt>
                <c:pt idx="133">
                  <c:v>87.142574778778993</c:v>
                </c:pt>
                <c:pt idx="134">
                  <c:v>87.17370079918409</c:v>
                </c:pt>
                <c:pt idx="135">
                  <c:v>87.204345436967657</c:v>
                </c:pt>
                <c:pt idx="136">
                  <c:v>87.234518770186057</c:v>
                </c:pt>
                <c:pt idx="137">
                  <c:v>87.264230597647796</c:v>
                </c:pt>
                <c:pt idx="138">
                  <c:v>87.293490448518895</c:v>
                </c:pt>
                <c:pt idx="139">
                  <c:v>87.322307591534482</c:v>
                </c:pt>
                <c:pt idx="140">
                  <c:v>87.350691043835397</c:v>
                </c:pt>
                <c:pt idx="141">
                  <c:v>87.378649579447213</c:v>
                </c:pt>
                <c:pt idx="142">
                  <c:v>87.406191737418936</c:v>
                </c:pt>
                <c:pt idx="143">
                  <c:v>87.433325829636701</c:v>
                </c:pt>
                <c:pt idx="144">
                  <c:v>87.460059948327824</c:v>
                </c:pt>
                <c:pt idx="145">
                  <c:v>87.486401973269324</c:v>
                </c:pt>
                <c:pt idx="146">
                  <c:v>87.512359578714481</c:v>
                </c:pt>
                <c:pt idx="147">
                  <c:v>87.537940240050048</c:v>
                </c:pt>
                <c:pt idx="148">
                  <c:v>87.563151240196461</c:v>
                </c:pt>
                <c:pt idx="149">
                  <c:v>87.587999675762362</c:v>
                </c:pt>
                <c:pt idx="150">
                  <c:v>87.612492462964596</c:v>
                </c:pt>
              </c:numCache>
            </c:numRef>
          </c:yVal>
          <c:smooth val="0"/>
          <c:extLst>
            <c:ext xmlns:c16="http://schemas.microsoft.com/office/drawing/2014/chart" uri="{C3380CC4-5D6E-409C-BE32-E72D297353CC}">
              <c16:uniqueId val="{00000000-53D1-4006-8366-E2C9DA64EC11}"/>
            </c:ext>
          </c:extLst>
        </c:ser>
        <c:dLbls>
          <c:showLegendKey val="0"/>
          <c:showVal val="0"/>
          <c:showCatName val="0"/>
          <c:showSerName val="0"/>
          <c:showPercent val="0"/>
          <c:showBubbleSize val="0"/>
        </c:dLbls>
        <c:axId val="586473472"/>
        <c:axId val="586475008"/>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Eff_vs_IOUT!$AJ$7:$AJ$157</c:f>
              <c:numCache>
                <c:formatCode>General</c:formatCode>
                <c:ptCount val="151"/>
                <c:pt idx="0">
                  <c:v>0</c:v>
                </c:pt>
                <c:pt idx="1">
                  <c:v>9.0474538071438404E-2</c:v>
                </c:pt>
                <c:pt idx="2">
                  <c:v>0.12795031879006907</c:v>
                </c:pt>
                <c:pt idx="3">
                  <c:v>0.15670649673105599</c:v>
                </c:pt>
                <c:pt idx="4">
                  <c:v>0.18094907614287681</c:v>
                </c:pt>
                <c:pt idx="5">
                  <c:v>0.20230721736062895</c:v>
                </c:pt>
                <c:pt idx="6">
                  <c:v>0.22161645298903454</c:v>
                </c:pt>
                <c:pt idx="7">
                  <c:v>0.23937312772047134</c:v>
                </c:pt>
                <c:pt idx="8">
                  <c:v>0.25590063758013815</c:v>
                </c:pt>
                <c:pt idx="9">
                  <c:v>0.27142361421431516</c:v>
                </c:pt>
                <c:pt idx="10">
                  <c:v>0.28610561055736311</c:v>
                </c:pt>
                <c:pt idx="11">
                  <c:v>0.30007009586368605</c:v>
                </c:pt>
                <c:pt idx="12">
                  <c:v>0.31341299346211199</c:v>
                </c:pt>
                <c:pt idx="13">
                  <c:v>0.32621058614048987</c:v>
                </c:pt>
                <c:pt idx="14">
                  <c:v>0.33852472368995773</c:v>
                </c:pt>
                <c:pt idx="15">
                  <c:v>0.35040637920648987</c:v>
                </c:pt>
                <c:pt idx="16">
                  <c:v>0.36189815228575362</c:v>
                </c:pt>
                <c:pt idx="17">
                  <c:v>0.37303607689750684</c:v>
                </c:pt>
                <c:pt idx="18">
                  <c:v>0.39176624182763992</c:v>
                </c:pt>
                <c:pt idx="19">
                  <c:v>0.4135310330402866</c:v>
                </c:pt>
                <c:pt idx="20">
                  <c:v>0.43529582425293323</c:v>
                </c:pt>
                <c:pt idx="21">
                  <c:v>0.45706061546557991</c:v>
                </c:pt>
                <c:pt idx="22">
                  <c:v>0.47882540667822654</c:v>
                </c:pt>
                <c:pt idx="23">
                  <c:v>0.50059019789087322</c:v>
                </c:pt>
                <c:pt idx="24">
                  <c:v>0.52235498910351996</c:v>
                </c:pt>
                <c:pt idx="25">
                  <c:v>0.5441197803161667</c:v>
                </c:pt>
                <c:pt idx="26">
                  <c:v>0.56588457152881322</c:v>
                </c:pt>
                <c:pt idx="27">
                  <c:v>0.58764936274145996</c:v>
                </c:pt>
                <c:pt idx="28">
                  <c:v>0.60941415395410659</c:v>
                </c:pt>
                <c:pt idx="29">
                  <c:v>0.63117894516675332</c:v>
                </c:pt>
                <c:pt idx="30">
                  <c:v>0.65294373637939995</c:v>
                </c:pt>
                <c:pt idx="31">
                  <c:v>0.67470852759204647</c:v>
                </c:pt>
                <c:pt idx="32">
                  <c:v>0.69647331880469332</c:v>
                </c:pt>
                <c:pt idx="33">
                  <c:v>0.71823811001733995</c:v>
                </c:pt>
                <c:pt idx="34">
                  <c:v>0.74000290122998647</c:v>
                </c:pt>
                <c:pt idx="35">
                  <c:v>0.76176769244263332</c:v>
                </c:pt>
                <c:pt idx="36">
                  <c:v>0.78353248365527983</c:v>
                </c:pt>
                <c:pt idx="37">
                  <c:v>0.80529727486792657</c:v>
                </c:pt>
                <c:pt idx="38">
                  <c:v>0.8270620660805732</c:v>
                </c:pt>
                <c:pt idx="39">
                  <c:v>0.84882685729321994</c:v>
                </c:pt>
                <c:pt idx="40">
                  <c:v>0.87059164850586646</c:v>
                </c:pt>
                <c:pt idx="41">
                  <c:v>0.89235643971851342</c:v>
                </c:pt>
                <c:pt idx="42">
                  <c:v>0.91412123093115982</c:v>
                </c:pt>
                <c:pt idx="43">
                  <c:v>0.93588602214380656</c:v>
                </c:pt>
                <c:pt idx="44">
                  <c:v>0.95765081335645308</c:v>
                </c:pt>
                <c:pt idx="45">
                  <c:v>0.97941560456909993</c:v>
                </c:pt>
                <c:pt idx="46">
                  <c:v>1.0011803957817464</c:v>
                </c:pt>
                <c:pt idx="47">
                  <c:v>1.0229451869943933</c:v>
                </c:pt>
                <c:pt idx="48">
                  <c:v>1.0447099782070399</c:v>
                </c:pt>
                <c:pt idx="49">
                  <c:v>1.0664747694196866</c:v>
                </c:pt>
                <c:pt idx="50">
                  <c:v>1.0882395606323334</c:v>
                </c:pt>
                <c:pt idx="51">
                  <c:v>1.1100043518449798</c:v>
                </c:pt>
                <c:pt idx="52">
                  <c:v>1.1317691430576264</c:v>
                </c:pt>
                <c:pt idx="53">
                  <c:v>1.1535339342702731</c:v>
                </c:pt>
                <c:pt idx="54">
                  <c:v>1.1752987254829199</c:v>
                </c:pt>
                <c:pt idx="55">
                  <c:v>1.1970635166955663</c:v>
                </c:pt>
                <c:pt idx="56">
                  <c:v>1.2188283079082132</c:v>
                </c:pt>
                <c:pt idx="57">
                  <c:v>1.2405930991208598</c:v>
                </c:pt>
                <c:pt idx="58">
                  <c:v>1.2623578903335066</c:v>
                </c:pt>
                <c:pt idx="59">
                  <c:v>1.2841226815461531</c:v>
                </c:pt>
                <c:pt idx="60">
                  <c:v>1.3058874727587999</c:v>
                </c:pt>
                <c:pt idx="61">
                  <c:v>1.3276522639714468</c:v>
                </c:pt>
                <c:pt idx="62">
                  <c:v>1.3494170551840929</c:v>
                </c:pt>
                <c:pt idx="63">
                  <c:v>1.3711818463967398</c:v>
                </c:pt>
                <c:pt idx="64">
                  <c:v>1.3929466376093866</c:v>
                </c:pt>
                <c:pt idx="65">
                  <c:v>1.4147114288220328</c:v>
                </c:pt>
                <c:pt idx="66">
                  <c:v>1.4364762200346799</c:v>
                </c:pt>
                <c:pt idx="67">
                  <c:v>1.4582410112473267</c:v>
                </c:pt>
                <c:pt idx="68">
                  <c:v>1.4800058024599729</c:v>
                </c:pt>
                <c:pt idx="69">
                  <c:v>1.5017705936726198</c:v>
                </c:pt>
                <c:pt idx="70">
                  <c:v>1.5235353848852666</c:v>
                </c:pt>
                <c:pt idx="71">
                  <c:v>1.545300176097913</c:v>
                </c:pt>
                <c:pt idx="72">
                  <c:v>1.5670649673105597</c:v>
                </c:pt>
                <c:pt idx="73">
                  <c:v>1.5888297585232063</c:v>
                </c:pt>
                <c:pt idx="74">
                  <c:v>1.6105945497358531</c:v>
                </c:pt>
                <c:pt idx="75">
                  <c:v>1.6323593409484998</c:v>
                </c:pt>
                <c:pt idx="76">
                  <c:v>1.6541241321611464</c:v>
                </c:pt>
                <c:pt idx="77">
                  <c:v>1.675888923373793</c:v>
                </c:pt>
                <c:pt idx="78">
                  <c:v>1.6976537145864399</c:v>
                </c:pt>
                <c:pt idx="79">
                  <c:v>1.7194185057990867</c:v>
                </c:pt>
                <c:pt idx="80">
                  <c:v>1.7411832970117329</c:v>
                </c:pt>
                <c:pt idx="81">
                  <c:v>1.76294808822438</c:v>
                </c:pt>
                <c:pt idx="82">
                  <c:v>1.7847128794370268</c:v>
                </c:pt>
                <c:pt idx="83">
                  <c:v>1.806477670649673</c:v>
                </c:pt>
                <c:pt idx="84">
                  <c:v>1.8282424618623196</c:v>
                </c:pt>
                <c:pt idx="85">
                  <c:v>1.8500072530749665</c:v>
                </c:pt>
                <c:pt idx="86">
                  <c:v>1.8717720442876131</c:v>
                </c:pt>
                <c:pt idx="87">
                  <c:v>1.8935368355002595</c:v>
                </c:pt>
                <c:pt idx="88">
                  <c:v>1.9153016267129062</c:v>
                </c:pt>
                <c:pt idx="89">
                  <c:v>1.937066417925553</c:v>
                </c:pt>
                <c:pt idx="90">
                  <c:v>1.9588312091381999</c:v>
                </c:pt>
                <c:pt idx="91">
                  <c:v>1.9805960003508463</c:v>
                </c:pt>
                <c:pt idx="92">
                  <c:v>2.0023607915634929</c:v>
                </c:pt>
                <c:pt idx="93">
                  <c:v>2.0241255827761395</c:v>
                </c:pt>
                <c:pt idx="94">
                  <c:v>2.0458903739887866</c:v>
                </c:pt>
                <c:pt idx="95">
                  <c:v>2.0676551652014332</c:v>
                </c:pt>
                <c:pt idx="96">
                  <c:v>2.0894199564140798</c:v>
                </c:pt>
                <c:pt idx="97">
                  <c:v>2.1111847476267265</c:v>
                </c:pt>
                <c:pt idx="98">
                  <c:v>2.1329495388393731</c:v>
                </c:pt>
                <c:pt idx="99">
                  <c:v>2.1547143300520197</c:v>
                </c:pt>
                <c:pt idx="100">
                  <c:v>2.1764791212646668</c:v>
                </c:pt>
                <c:pt idx="101">
                  <c:v>2.198243912477313</c:v>
                </c:pt>
                <c:pt idx="102">
                  <c:v>2.2200087036899596</c:v>
                </c:pt>
                <c:pt idx="103">
                  <c:v>2.2417734949026067</c:v>
                </c:pt>
                <c:pt idx="104">
                  <c:v>2.2635382861152529</c:v>
                </c:pt>
                <c:pt idx="105">
                  <c:v>2.2853030773278995</c:v>
                </c:pt>
                <c:pt idx="106">
                  <c:v>2.3070678685405461</c:v>
                </c:pt>
                <c:pt idx="107">
                  <c:v>2.3288326597531928</c:v>
                </c:pt>
                <c:pt idx="108">
                  <c:v>2.3505974509658398</c:v>
                </c:pt>
                <c:pt idx="109">
                  <c:v>2.3723622421784865</c:v>
                </c:pt>
                <c:pt idx="110">
                  <c:v>2.3941270333911326</c:v>
                </c:pt>
                <c:pt idx="111">
                  <c:v>2.4158918246037793</c:v>
                </c:pt>
                <c:pt idx="112">
                  <c:v>2.4376566158164263</c:v>
                </c:pt>
                <c:pt idx="113">
                  <c:v>2.459421407029073</c:v>
                </c:pt>
                <c:pt idx="114">
                  <c:v>2.4811861982417196</c:v>
                </c:pt>
                <c:pt idx="115">
                  <c:v>2.5029509894543667</c:v>
                </c:pt>
                <c:pt idx="116">
                  <c:v>2.5247157806670133</c:v>
                </c:pt>
                <c:pt idx="117">
                  <c:v>2.5464805718796595</c:v>
                </c:pt>
                <c:pt idx="118">
                  <c:v>2.5682453630923061</c:v>
                </c:pt>
                <c:pt idx="119">
                  <c:v>2.5900101543049536</c:v>
                </c:pt>
                <c:pt idx="120">
                  <c:v>2.6117749455175998</c:v>
                </c:pt>
                <c:pt idx="121">
                  <c:v>2.6335397367302464</c:v>
                </c:pt>
                <c:pt idx="122">
                  <c:v>2.6553045279428935</c:v>
                </c:pt>
                <c:pt idx="123">
                  <c:v>2.6770693191555393</c:v>
                </c:pt>
                <c:pt idx="124">
                  <c:v>2.6988341103681859</c:v>
                </c:pt>
                <c:pt idx="125">
                  <c:v>2.7205989015808334</c:v>
                </c:pt>
                <c:pt idx="126">
                  <c:v>2.7423636927934796</c:v>
                </c:pt>
                <c:pt idx="127">
                  <c:v>2.7641284840061262</c:v>
                </c:pt>
                <c:pt idx="128">
                  <c:v>2.7858932752187733</c:v>
                </c:pt>
                <c:pt idx="129">
                  <c:v>2.8076580664314199</c:v>
                </c:pt>
                <c:pt idx="130">
                  <c:v>2.8294228576440656</c:v>
                </c:pt>
                <c:pt idx="131">
                  <c:v>2.8511876488567127</c:v>
                </c:pt>
                <c:pt idx="132">
                  <c:v>2.8729524400693598</c:v>
                </c:pt>
                <c:pt idx="133">
                  <c:v>2.8947172312820064</c:v>
                </c:pt>
                <c:pt idx="134">
                  <c:v>2.9164820224946535</c:v>
                </c:pt>
                <c:pt idx="135">
                  <c:v>2.9382468137072997</c:v>
                </c:pt>
                <c:pt idx="136">
                  <c:v>2.9600116049199459</c:v>
                </c:pt>
                <c:pt idx="137">
                  <c:v>2.9817763961325934</c:v>
                </c:pt>
                <c:pt idx="138">
                  <c:v>3.0035411873452396</c:v>
                </c:pt>
                <c:pt idx="139">
                  <c:v>3.0253059785578857</c:v>
                </c:pt>
                <c:pt idx="140">
                  <c:v>3.0470707697705333</c:v>
                </c:pt>
                <c:pt idx="141">
                  <c:v>3.0688355609831794</c:v>
                </c:pt>
                <c:pt idx="142">
                  <c:v>3.0906003521958261</c:v>
                </c:pt>
                <c:pt idx="143">
                  <c:v>3.1123651434084731</c:v>
                </c:pt>
                <c:pt idx="144">
                  <c:v>3.1341299346211193</c:v>
                </c:pt>
                <c:pt idx="145">
                  <c:v>3.155894725833766</c:v>
                </c:pt>
                <c:pt idx="146">
                  <c:v>3.1776595170464126</c:v>
                </c:pt>
                <c:pt idx="147">
                  <c:v>3.1994243082590597</c:v>
                </c:pt>
                <c:pt idx="148">
                  <c:v>3.2211890994717063</c:v>
                </c:pt>
                <c:pt idx="149">
                  <c:v>3.2429538906843534</c:v>
                </c:pt>
                <c:pt idx="150">
                  <c:v>3.2647186818969995</c:v>
                </c:pt>
              </c:numCache>
            </c:numRef>
          </c:yVal>
          <c:smooth val="1"/>
          <c:extLst>
            <c:ext xmlns:c16="http://schemas.microsoft.com/office/drawing/2014/chart" uri="{C3380CC4-5D6E-409C-BE32-E72D297353CC}">
              <c16:uniqueId val="{00000001-53D1-4006-8366-E2C9DA64EC11}"/>
            </c:ext>
          </c:extLst>
        </c:ser>
        <c:ser>
          <c:idx val="3"/>
          <c:order val="2"/>
          <c:tx>
            <c:v>RS</c:v>
          </c:tx>
          <c:spPr>
            <a:ln>
              <a:solidFill>
                <a:schemeClr val="accent5">
                  <a:lumMod val="75000"/>
                </a:schemeClr>
              </a:solidFill>
              <a:prstDash val="lgDashDotDot"/>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Eff_vs_IOUT!$BU$7:$BU$157</c:f>
              <c:numCache>
                <c:formatCode>General</c:formatCode>
                <c:ptCount val="151"/>
                <c:pt idx="0">
                  <c:v>0</c:v>
                </c:pt>
                <c:pt idx="1">
                  <c:v>4.1056019142373404E-5</c:v>
                </c:pt>
                <c:pt idx="2">
                  <c:v>1.1612395817638769E-4</c:v>
                </c:pt>
                <c:pt idx="3">
                  <c:v>2.1333333333333333E-4</c:v>
                </c:pt>
                <c:pt idx="4">
                  <c:v>3.2844815313898723E-4</c:v>
                </c:pt>
                <c:pt idx="5">
                  <c:v>4.5902024843939751E-4</c:v>
                </c:pt>
                <c:pt idx="6">
                  <c:v>6.0339778661252055E-4</c:v>
                </c:pt>
                <c:pt idx="7">
                  <c:v>7.6036811531119113E-4</c:v>
                </c:pt>
                <c:pt idx="8">
                  <c:v>9.2899166541110154E-4</c:v>
                </c:pt>
                <c:pt idx="9">
                  <c:v>1.1085125168440813E-3</c:v>
                </c:pt>
                <c:pt idx="10">
                  <c:v>1.2983053214937271E-3</c:v>
                </c:pt>
                <c:pt idx="11">
                  <c:v>1.4978415196899156E-3</c:v>
                </c:pt>
                <c:pt idx="12">
                  <c:v>1.7066666666666667E-3</c:v>
                </c:pt>
                <c:pt idx="13">
                  <c:v>1.9243845683953585E-3</c:v>
                </c:pt>
                <c:pt idx="14">
                  <c:v>2.1506458021383116E-3</c:v>
                </c:pt>
                <c:pt idx="15">
                  <c:v>2.385139175999776E-3</c:v>
                </c:pt>
                <c:pt idx="16">
                  <c:v>2.6275852251118979E-3</c:v>
                </c:pt>
                <c:pt idx="17">
                  <c:v>2.877731159353563E-3</c:v>
                </c:pt>
                <c:pt idx="18">
                  <c:v>3.1372799999999979E-3</c:v>
                </c:pt>
                <c:pt idx="19">
                  <c:v>3.4113540740740725E-3</c:v>
                </c:pt>
                <c:pt idx="20">
                  <c:v>3.7002429629629636E-3</c:v>
                </c:pt>
                <c:pt idx="21">
                  <c:v>4.0039466666666676E-3</c:v>
                </c:pt>
                <c:pt idx="22">
                  <c:v>4.3224651851851833E-3</c:v>
                </c:pt>
                <c:pt idx="23">
                  <c:v>4.6557985185185198E-3</c:v>
                </c:pt>
                <c:pt idx="24">
                  <c:v>5.0039466666666659E-3</c:v>
                </c:pt>
                <c:pt idx="25">
                  <c:v>5.366909629629631E-3</c:v>
                </c:pt>
                <c:pt idx="26">
                  <c:v>5.7446874074074091E-3</c:v>
                </c:pt>
                <c:pt idx="27">
                  <c:v>6.1372799999999958E-3</c:v>
                </c:pt>
                <c:pt idx="28">
                  <c:v>6.5446874074074051E-3</c:v>
                </c:pt>
                <c:pt idx="29">
                  <c:v>6.9669096296296282E-3</c:v>
                </c:pt>
                <c:pt idx="30">
                  <c:v>7.4039466666666661E-3</c:v>
                </c:pt>
                <c:pt idx="31">
                  <c:v>7.8557985185185187E-3</c:v>
                </c:pt>
                <c:pt idx="32">
                  <c:v>8.3224651851851843E-3</c:v>
                </c:pt>
                <c:pt idx="33">
                  <c:v>8.8039466666666663E-3</c:v>
                </c:pt>
                <c:pt idx="34">
                  <c:v>9.3002429629629579E-3</c:v>
                </c:pt>
                <c:pt idx="35">
                  <c:v>9.8113540740740711E-3</c:v>
                </c:pt>
                <c:pt idx="36">
                  <c:v>1.0337279999999996E-2</c:v>
                </c:pt>
                <c:pt idx="37">
                  <c:v>1.0878020740740735E-2</c:v>
                </c:pt>
                <c:pt idx="38">
                  <c:v>1.1433576296296289E-2</c:v>
                </c:pt>
                <c:pt idx="39">
                  <c:v>1.2003946666666669E-2</c:v>
                </c:pt>
                <c:pt idx="40">
                  <c:v>1.2589131851851853E-2</c:v>
                </c:pt>
                <c:pt idx="41">
                  <c:v>1.3189131851851846E-2</c:v>
                </c:pt>
                <c:pt idx="42">
                  <c:v>1.3803946666666662E-2</c:v>
                </c:pt>
                <c:pt idx="43">
                  <c:v>1.4433576296296286E-2</c:v>
                </c:pt>
                <c:pt idx="44">
                  <c:v>1.5078020740740727E-2</c:v>
                </c:pt>
                <c:pt idx="45">
                  <c:v>1.5737280000000003E-2</c:v>
                </c:pt>
                <c:pt idx="46">
                  <c:v>1.6411354074074066E-2</c:v>
                </c:pt>
                <c:pt idx="47">
                  <c:v>1.7100242962962951E-2</c:v>
                </c:pt>
                <c:pt idx="48">
                  <c:v>1.7803946666666667E-2</c:v>
                </c:pt>
                <c:pt idx="49">
                  <c:v>1.8522465185185188E-2</c:v>
                </c:pt>
                <c:pt idx="50">
                  <c:v>1.925579851851851E-2</c:v>
                </c:pt>
                <c:pt idx="51">
                  <c:v>2.0003946666666661E-2</c:v>
                </c:pt>
                <c:pt idx="52">
                  <c:v>2.0766909629629623E-2</c:v>
                </c:pt>
                <c:pt idx="53">
                  <c:v>2.1544687407407396E-2</c:v>
                </c:pt>
                <c:pt idx="54">
                  <c:v>2.2337280000000001E-2</c:v>
                </c:pt>
                <c:pt idx="55">
                  <c:v>2.3144687407407407E-2</c:v>
                </c:pt>
                <c:pt idx="56">
                  <c:v>2.3966909629629624E-2</c:v>
                </c:pt>
                <c:pt idx="57">
                  <c:v>2.4803946666666653E-2</c:v>
                </c:pt>
                <c:pt idx="58">
                  <c:v>2.565579851851852E-2</c:v>
                </c:pt>
                <c:pt idx="59">
                  <c:v>2.6522465185185185E-2</c:v>
                </c:pt>
                <c:pt idx="60">
                  <c:v>2.7403946666666654E-2</c:v>
                </c:pt>
                <c:pt idx="61">
                  <c:v>2.8300242962962945E-2</c:v>
                </c:pt>
                <c:pt idx="62">
                  <c:v>2.9211354074074068E-2</c:v>
                </c:pt>
                <c:pt idx="63">
                  <c:v>3.0137279999999999E-2</c:v>
                </c:pt>
                <c:pt idx="64">
                  <c:v>3.1078020740740737E-2</c:v>
                </c:pt>
                <c:pt idx="65">
                  <c:v>3.203357629629628E-2</c:v>
                </c:pt>
                <c:pt idx="66">
                  <c:v>3.3003946666666679E-2</c:v>
                </c:pt>
                <c:pt idx="67">
                  <c:v>3.3989131851851852E-2</c:v>
                </c:pt>
                <c:pt idx="68">
                  <c:v>3.4989131851851846E-2</c:v>
                </c:pt>
                <c:pt idx="69">
                  <c:v>3.6003946666666647E-2</c:v>
                </c:pt>
                <c:pt idx="70">
                  <c:v>3.7033576296296285E-2</c:v>
                </c:pt>
                <c:pt idx="71">
                  <c:v>3.8078020740740716E-2</c:v>
                </c:pt>
                <c:pt idx="72">
                  <c:v>3.9137279999999976E-2</c:v>
                </c:pt>
                <c:pt idx="73">
                  <c:v>4.0211354074074057E-2</c:v>
                </c:pt>
                <c:pt idx="74">
                  <c:v>4.130024296296296E-2</c:v>
                </c:pt>
                <c:pt idx="75">
                  <c:v>4.240394666666665E-2</c:v>
                </c:pt>
                <c:pt idx="76">
                  <c:v>4.3522465185185176E-2</c:v>
                </c:pt>
                <c:pt idx="77">
                  <c:v>4.4655798518518496E-2</c:v>
                </c:pt>
                <c:pt idx="78">
                  <c:v>4.5803946666666651E-2</c:v>
                </c:pt>
                <c:pt idx="79">
                  <c:v>4.6966909629629607E-2</c:v>
                </c:pt>
                <c:pt idx="80">
                  <c:v>4.8144687407407384E-2</c:v>
                </c:pt>
                <c:pt idx="81">
                  <c:v>4.933727999999999E-2</c:v>
                </c:pt>
                <c:pt idx="82">
                  <c:v>5.0544687407407411E-2</c:v>
                </c:pt>
                <c:pt idx="83">
                  <c:v>5.1766909629629633E-2</c:v>
                </c:pt>
                <c:pt idx="84">
                  <c:v>5.3003946666666656E-2</c:v>
                </c:pt>
                <c:pt idx="85">
                  <c:v>5.42557985185185E-2</c:v>
                </c:pt>
                <c:pt idx="86">
                  <c:v>5.5522465185185152E-2</c:v>
                </c:pt>
                <c:pt idx="87">
                  <c:v>5.680394666666664E-2</c:v>
                </c:pt>
                <c:pt idx="88">
                  <c:v>5.8100242962962935E-2</c:v>
                </c:pt>
                <c:pt idx="89">
                  <c:v>5.9411354074074059E-2</c:v>
                </c:pt>
                <c:pt idx="90">
                  <c:v>6.073727999999997E-2</c:v>
                </c:pt>
                <c:pt idx="91">
                  <c:v>6.2078020740740703E-2</c:v>
                </c:pt>
                <c:pt idx="92">
                  <c:v>6.3433576296296243E-2</c:v>
                </c:pt>
                <c:pt idx="93">
                  <c:v>6.480394666666664E-2</c:v>
                </c:pt>
                <c:pt idx="94">
                  <c:v>6.6189131851851837E-2</c:v>
                </c:pt>
                <c:pt idx="95">
                  <c:v>6.7589131851851808E-2</c:v>
                </c:pt>
                <c:pt idx="96">
                  <c:v>6.9003946666666677E-2</c:v>
                </c:pt>
                <c:pt idx="97">
                  <c:v>7.0433576296296277E-2</c:v>
                </c:pt>
                <c:pt idx="98">
                  <c:v>7.1878020740740706E-2</c:v>
                </c:pt>
                <c:pt idx="99">
                  <c:v>7.3337279999999991E-2</c:v>
                </c:pt>
                <c:pt idx="100">
                  <c:v>7.4811354074074063E-2</c:v>
                </c:pt>
                <c:pt idx="101">
                  <c:v>7.6300242962962936E-2</c:v>
                </c:pt>
                <c:pt idx="102">
                  <c:v>7.7803946666666637E-2</c:v>
                </c:pt>
                <c:pt idx="103">
                  <c:v>7.9322465185185154E-2</c:v>
                </c:pt>
                <c:pt idx="104">
                  <c:v>8.0855798518518499E-2</c:v>
                </c:pt>
                <c:pt idx="105">
                  <c:v>8.240394666666663E-2</c:v>
                </c:pt>
                <c:pt idx="106">
                  <c:v>8.3966909629629577E-2</c:v>
                </c:pt>
                <c:pt idx="107">
                  <c:v>8.5544687407407366E-2</c:v>
                </c:pt>
                <c:pt idx="108">
                  <c:v>8.713727999999997E-2</c:v>
                </c:pt>
                <c:pt idx="109">
                  <c:v>8.8744687407407388E-2</c:v>
                </c:pt>
                <c:pt idx="110">
                  <c:v>9.0366909629629608E-2</c:v>
                </c:pt>
                <c:pt idx="111">
                  <c:v>9.2003946666666628E-2</c:v>
                </c:pt>
                <c:pt idx="112">
                  <c:v>9.365579851851849E-2</c:v>
                </c:pt>
                <c:pt idx="113">
                  <c:v>9.532246518518514E-2</c:v>
                </c:pt>
                <c:pt idx="114">
                  <c:v>9.7003946666666632E-2</c:v>
                </c:pt>
                <c:pt idx="115">
                  <c:v>9.8700242962962939E-2</c:v>
                </c:pt>
                <c:pt idx="116">
                  <c:v>0.10041135407407407</c:v>
                </c:pt>
                <c:pt idx="117">
                  <c:v>0.10213727999999998</c:v>
                </c:pt>
                <c:pt idx="118">
                  <c:v>0.10387802074074071</c:v>
                </c:pt>
                <c:pt idx="119">
                  <c:v>0.10563357629629624</c:v>
                </c:pt>
                <c:pt idx="120">
                  <c:v>0.10740394666666664</c:v>
                </c:pt>
                <c:pt idx="121">
                  <c:v>0.10918913185185182</c:v>
                </c:pt>
                <c:pt idx="122">
                  <c:v>0.11098913185185183</c:v>
                </c:pt>
                <c:pt idx="123">
                  <c:v>0.11280394666666661</c:v>
                </c:pt>
                <c:pt idx="124">
                  <c:v>0.11463357629629622</c:v>
                </c:pt>
                <c:pt idx="125">
                  <c:v>0.11647802074074071</c:v>
                </c:pt>
                <c:pt idx="126">
                  <c:v>0.11833728</c:v>
                </c:pt>
                <c:pt idx="127">
                  <c:v>0.12021135407407406</c:v>
                </c:pt>
                <c:pt idx="128">
                  <c:v>0.12210024296296293</c:v>
                </c:pt>
                <c:pt idx="129">
                  <c:v>0.12400394666666666</c:v>
                </c:pt>
                <c:pt idx="130">
                  <c:v>0.12592246518518516</c:v>
                </c:pt>
                <c:pt idx="131">
                  <c:v>0.1278557985185185</c:v>
                </c:pt>
                <c:pt idx="132">
                  <c:v>0.1298039466666667</c:v>
                </c:pt>
                <c:pt idx="133">
                  <c:v>0.13176690962962961</c:v>
                </c:pt>
                <c:pt idx="134">
                  <c:v>0.13374468740740739</c:v>
                </c:pt>
                <c:pt idx="135">
                  <c:v>0.13573727999999999</c:v>
                </c:pt>
                <c:pt idx="136">
                  <c:v>0.13774468740740739</c:v>
                </c:pt>
                <c:pt idx="137">
                  <c:v>0.13976690962962962</c:v>
                </c:pt>
                <c:pt idx="138">
                  <c:v>0.1418039466666666</c:v>
                </c:pt>
                <c:pt idx="139">
                  <c:v>0.14385579851851849</c:v>
                </c:pt>
                <c:pt idx="140">
                  <c:v>0.14592246518518517</c:v>
                </c:pt>
                <c:pt idx="141">
                  <c:v>0.14800394666666669</c:v>
                </c:pt>
                <c:pt idx="142">
                  <c:v>0.15010024296296298</c:v>
                </c:pt>
                <c:pt idx="143">
                  <c:v>0.15221135407407402</c:v>
                </c:pt>
                <c:pt idx="144">
                  <c:v>0.15433728000000002</c:v>
                </c:pt>
                <c:pt idx="145">
                  <c:v>0.15647802074074071</c:v>
                </c:pt>
                <c:pt idx="146">
                  <c:v>0.15863357629629626</c:v>
                </c:pt>
                <c:pt idx="147">
                  <c:v>0.16080394666666672</c:v>
                </c:pt>
                <c:pt idx="148">
                  <c:v>0.16298913185185185</c:v>
                </c:pt>
                <c:pt idx="149">
                  <c:v>0.16518913185185183</c:v>
                </c:pt>
                <c:pt idx="150">
                  <c:v>0.16740394666666669</c:v>
                </c:pt>
              </c:numCache>
            </c:numRef>
          </c:yVal>
          <c:smooth val="1"/>
          <c:extLst>
            <c:ext xmlns:c16="http://schemas.microsoft.com/office/drawing/2014/chart" uri="{C3380CC4-5D6E-409C-BE32-E72D297353CC}">
              <c16:uniqueId val="{00000002-53D1-4006-8366-E2C9DA64EC11}"/>
            </c:ext>
          </c:extLst>
        </c:ser>
        <c:ser>
          <c:idx val="2"/>
          <c:order val="3"/>
          <c:tx>
            <c:v>D1</c:v>
          </c:tx>
          <c:spPr>
            <a:ln>
              <a:solidFill>
                <a:schemeClr val="bg2">
                  <a:lumMod val="50000"/>
                </a:schemeClr>
              </a:solidFill>
              <a:prstDash val="sysDash"/>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Eff_vs_IOUT!$AY$8:$AY$157</c:f>
              <c:numCache>
                <c:formatCode>General</c:formatCode>
                <c:ptCount val="150"/>
                <c:pt idx="0">
                  <c:v>4.0010000000000003</c:v>
                </c:pt>
                <c:pt idx="1">
                  <c:v>4.0019999999999998</c:v>
                </c:pt>
                <c:pt idx="2">
                  <c:v>4.0030000000000001</c:v>
                </c:pt>
                <c:pt idx="3">
                  <c:v>4.0039999999999996</c:v>
                </c:pt>
                <c:pt idx="4">
                  <c:v>4.0049999999999999</c:v>
                </c:pt>
                <c:pt idx="5">
                  <c:v>4.0060000000000002</c:v>
                </c:pt>
                <c:pt idx="6">
                  <c:v>4.0069999999999997</c:v>
                </c:pt>
                <c:pt idx="7">
                  <c:v>4.008</c:v>
                </c:pt>
                <c:pt idx="8">
                  <c:v>4.0090000000000003</c:v>
                </c:pt>
                <c:pt idx="9">
                  <c:v>4.01</c:v>
                </c:pt>
                <c:pt idx="10">
                  <c:v>4.0110000000000001</c:v>
                </c:pt>
                <c:pt idx="11">
                  <c:v>4.0119999999999996</c:v>
                </c:pt>
                <c:pt idx="12">
                  <c:v>4.0129999999999999</c:v>
                </c:pt>
                <c:pt idx="13">
                  <c:v>4.0140000000000002</c:v>
                </c:pt>
                <c:pt idx="14">
                  <c:v>4.0149999999999997</c:v>
                </c:pt>
                <c:pt idx="15">
                  <c:v>4.016</c:v>
                </c:pt>
                <c:pt idx="16">
                  <c:v>4.0170000000000003</c:v>
                </c:pt>
                <c:pt idx="17">
                  <c:v>4.0179999999999998</c:v>
                </c:pt>
                <c:pt idx="18">
                  <c:v>4.0190000000000001</c:v>
                </c:pt>
                <c:pt idx="19">
                  <c:v>4.0199999999999996</c:v>
                </c:pt>
                <c:pt idx="20">
                  <c:v>4.0209999999999999</c:v>
                </c:pt>
                <c:pt idx="21">
                  <c:v>4.0220000000000002</c:v>
                </c:pt>
                <c:pt idx="22">
                  <c:v>4.0229999999999997</c:v>
                </c:pt>
                <c:pt idx="23">
                  <c:v>4.024</c:v>
                </c:pt>
                <c:pt idx="24">
                  <c:v>4.0250000000000004</c:v>
                </c:pt>
                <c:pt idx="25">
                  <c:v>4.0259999999999998</c:v>
                </c:pt>
                <c:pt idx="26">
                  <c:v>4.0270000000000001</c:v>
                </c:pt>
                <c:pt idx="27">
                  <c:v>4.0279999999999996</c:v>
                </c:pt>
                <c:pt idx="28">
                  <c:v>4.0289999999999999</c:v>
                </c:pt>
                <c:pt idx="29">
                  <c:v>4.03</c:v>
                </c:pt>
                <c:pt idx="30">
                  <c:v>4.0309999999999997</c:v>
                </c:pt>
                <c:pt idx="31">
                  <c:v>4.032</c:v>
                </c:pt>
                <c:pt idx="32">
                  <c:v>4.0330000000000004</c:v>
                </c:pt>
                <c:pt idx="33">
                  <c:v>4.0339999999999998</c:v>
                </c:pt>
                <c:pt idx="34">
                  <c:v>4.0350000000000001</c:v>
                </c:pt>
                <c:pt idx="35">
                  <c:v>4.0359999999999996</c:v>
                </c:pt>
                <c:pt idx="36">
                  <c:v>4.0369999999999999</c:v>
                </c:pt>
                <c:pt idx="37">
                  <c:v>4.0380000000000003</c:v>
                </c:pt>
                <c:pt idx="38">
                  <c:v>4.0389999999999997</c:v>
                </c:pt>
                <c:pt idx="39">
                  <c:v>4.04</c:v>
                </c:pt>
                <c:pt idx="40">
                  <c:v>4.0410000000000004</c:v>
                </c:pt>
                <c:pt idx="41">
                  <c:v>4.0419999999999998</c:v>
                </c:pt>
                <c:pt idx="42">
                  <c:v>4.0430000000000001</c:v>
                </c:pt>
                <c:pt idx="43">
                  <c:v>4.0439999999999996</c:v>
                </c:pt>
                <c:pt idx="44">
                  <c:v>4.0449999999999999</c:v>
                </c:pt>
                <c:pt idx="45">
                  <c:v>4.0460000000000003</c:v>
                </c:pt>
                <c:pt idx="46">
                  <c:v>4.0469999999999997</c:v>
                </c:pt>
                <c:pt idx="47">
                  <c:v>4.048</c:v>
                </c:pt>
                <c:pt idx="48">
                  <c:v>4.0490000000000004</c:v>
                </c:pt>
                <c:pt idx="49">
                  <c:v>4.05</c:v>
                </c:pt>
                <c:pt idx="50">
                  <c:v>4.0510000000000002</c:v>
                </c:pt>
                <c:pt idx="51">
                  <c:v>4.0519999999999996</c:v>
                </c:pt>
                <c:pt idx="52">
                  <c:v>4.0529999999999999</c:v>
                </c:pt>
                <c:pt idx="53">
                  <c:v>4.0540000000000003</c:v>
                </c:pt>
                <c:pt idx="54">
                  <c:v>4.0549999999999997</c:v>
                </c:pt>
                <c:pt idx="55">
                  <c:v>4.056</c:v>
                </c:pt>
                <c:pt idx="56">
                  <c:v>4.0570000000000004</c:v>
                </c:pt>
                <c:pt idx="57">
                  <c:v>4.0579999999999998</c:v>
                </c:pt>
                <c:pt idx="58">
                  <c:v>4.0590000000000002</c:v>
                </c:pt>
                <c:pt idx="59">
                  <c:v>4.0599999999999996</c:v>
                </c:pt>
                <c:pt idx="60">
                  <c:v>4.0609999999999999</c:v>
                </c:pt>
                <c:pt idx="61">
                  <c:v>4.0620000000000003</c:v>
                </c:pt>
                <c:pt idx="62">
                  <c:v>4.0629999999999997</c:v>
                </c:pt>
                <c:pt idx="63">
                  <c:v>4.0640000000000001</c:v>
                </c:pt>
                <c:pt idx="64">
                  <c:v>4.0650000000000004</c:v>
                </c:pt>
                <c:pt idx="65">
                  <c:v>4.0659999999999998</c:v>
                </c:pt>
                <c:pt idx="66">
                  <c:v>4.0670000000000002</c:v>
                </c:pt>
                <c:pt idx="67">
                  <c:v>4.0679999999999996</c:v>
                </c:pt>
                <c:pt idx="68">
                  <c:v>4.069</c:v>
                </c:pt>
                <c:pt idx="69">
                  <c:v>4.07</c:v>
                </c:pt>
                <c:pt idx="70">
                  <c:v>4.0709999999999997</c:v>
                </c:pt>
                <c:pt idx="71">
                  <c:v>4.0720000000000001</c:v>
                </c:pt>
                <c:pt idx="72">
                  <c:v>4.0730000000000004</c:v>
                </c:pt>
                <c:pt idx="73">
                  <c:v>4.0739999999999998</c:v>
                </c:pt>
                <c:pt idx="74">
                  <c:v>4.0750000000000002</c:v>
                </c:pt>
                <c:pt idx="75">
                  <c:v>4.0759999999999996</c:v>
                </c:pt>
                <c:pt idx="76">
                  <c:v>4.077</c:v>
                </c:pt>
                <c:pt idx="77">
                  <c:v>4.0780000000000003</c:v>
                </c:pt>
                <c:pt idx="78">
                  <c:v>4.0789999999999997</c:v>
                </c:pt>
                <c:pt idx="79">
                  <c:v>4.08</c:v>
                </c:pt>
                <c:pt idx="80">
                  <c:v>4.0810000000000004</c:v>
                </c:pt>
                <c:pt idx="81">
                  <c:v>4.0819999999999999</c:v>
                </c:pt>
                <c:pt idx="82">
                  <c:v>4.0830000000000002</c:v>
                </c:pt>
                <c:pt idx="83">
                  <c:v>4.0839999999999996</c:v>
                </c:pt>
                <c:pt idx="84">
                  <c:v>4.085</c:v>
                </c:pt>
                <c:pt idx="85">
                  <c:v>4.0860000000000003</c:v>
                </c:pt>
                <c:pt idx="86">
                  <c:v>4.0869999999999997</c:v>
                </c:pt>
                <c:pt idx="87">
                  <c:v>4.0880000000000001</c:v>
                </c:pt>
                <c:pt idx="88">
                  <c:v>4.0890000000000004</c:v>
                </c:pt>
                <c:pt idx="89">
                  <c:v>4.09</c:v>
                </c:pt>
                <c:pt idx="90">
                  <c:v>4.0910000000000002</c:v>
                </c:pt>
                <c:pt idx="91">
                  <c:v>4.0919999999999996</c:v>
                </c:pt>
                <c:pt idx="92">
                  <c:v>4.093</c:v>
                </c:pt>
                <c:pt idx="93">
                  <c:v>4.0940000000000003</c:v>
                </c:pt>
                <c:pt idx="94">
                  <c:v>4.0949999999999998</c:v>
                </c:pt>
                <c:pt idx="95">
                  <c:v>4.0960000000000001</c:v>
                </c:pt>
                <c:pt idx="96">
                  <c:v>4.0970000000000004</c:v>
                </c:pt>
                <c:pt idx="97">
                  <c:v>4.0979999999999999</c:v>
                </c:pt>
                <c:pt idx="98">
                  <c:v>4.0990000000000002</c:v>
                </c:pt>
                <c:pt idx="99">
                  <c:v>4.0999999999999996</c:v>
                </c:pt>
                <c:pt idx="100">
                  <c:v>4.101</c:v>
                </c:pt>
                <c:pt idx="101">
                  <c:v>4.1020000000000003</c:v>
                </c:pt>
                <c:pt idx="102">
                  <c:v>4.1029999999999998</c:v>
                </c:pt>
                <c:pt idx="103">
                  <c:v>4.1040000000000001</c:v>
                </c:pt>
                <c:pt idx="104">
                  <c:v>4.1050000000000004</c:v>
                </c:pt>
                <c:pt idx="105">
                  <c:v>4.1059999999999999</c:v>
                </c:pt>
                <c:pt idx="106">
                  <c:v>4.1070000000000002</c:v>
                </c:pt>
                <c:pt idx="107">
                  <c:v>4.1079999999999997</c:v>
                </c:pt>
                <c:pt idx="108">
                  <c:v>4.109</c:v>
                </c:pt>
                <c:pt idx="109">
                  <c:v>4.1100000000000003</c:v>
                </c:pt>
                <c:pt idx="110">
                  <c:v>4.1109999999999998</c:v>
                </c:pt>
                <c:pt idx="111">
                  <c:v>4.1120000000000001</c:v>
                </c:pt>
                <c:pt idx="112">
                  <c:v>4.1129999999999995</c:v>
                </c:pt>
                <c:pt idx="113">
                  <c:v>4.1139999999999999</c:v>
                </c:pt>
                <c:pt idx="114">
                  <c:v>4.1150000000000002</c:v>
                </c:pt>
                <c:pt idx="115">
                  <c:v>4.1159999999999997</c:v>
                </c:pt>
                <c:pt idx="116">
                  <c:v>4.117</c:v>
                </c:pt>
                <c:pt idx="117">
                  <c:v>4.1180000000000003</c:v>
                </c:pt>
                <c:pt idx="118">
                  <c:v>4.1189999999999998</c:v>
                </c:pt>
                <c:pt idx="119">
                  <c:v>4.12</c:v>
                </c:pt>
                <c:pt idx="120">
                  <c:v>4.1210000000000004</c:v>
                </c:pt>
                <c:pt idx="121">
                  <c:v>4.1219999999999999</c:v>
                </c:pt>
                <c:pt idx="122">
                  <c:v>4.1230000000000002</c:v>
                </c:pt>
                <c:pt idx="123">
                  <c:v>4.1239999999999997</c:v>
                </c:pt>
                <c:pt idx="124">
                  <c:v>4.125</c:v>
                </c:pt>
                <c:pt idx="125">
                  <c:v>4.1260000000000003</c:v>
                </c:pt>
                <c:pt idx="126">
                  <c:v>4.1269999999999998</c:v>
                </c:pt>
                <c:pt idx="127">
                  <c:v>4.1280000000000001</c:v>
                </c:pt>
                <c:pt idx="128">
                  <c:v>4.1289999999999996</c:v>
                </c:pt>
                <c:pt idx="129">
                  <c:v>4.13</c:v>
                </c:pt>
                <c:pt idx="130">
                  <c:v>4.1310000000000002</c:v>
                </c:pt>
                <c:pt idx="131">
                  <c:v>4.1319999999999997</c:v>
                </c:pt>
                <c:pt idx="132">
                  <c:v>4.133</c:v>
                </c:pt>
                <c:pt idx="133">
                  <c:v>4.1340000000000003</c:v>
                </c:pt>
                <c:pt idx="134">
                  <c:v>4.1349999999999998</c:v>
                </c:pt>
                <c:pt idx="135">
                  <c:v>4.1360000000000001</c:v>
                </c:pt>
                <c:pt idx="136">
                  <c:v>4.1369999999999996</c:v>
                </c:pt>
                <c:pt idx="137">
                  <c:v>4.1379999999999999</c:v>
                </c:pt>
                <c:pt idx="138">
                  <c:v>4.1390000000000002</c:v>
                </c:pt>
                <c:pt idx="139">
                  <c:v>4.1399999999999997</c:v>
                </c:pt>
                <c:pt idx="140">
                  <c:v>4.141</c:v>
                </c:pt>
                <c:pt idx="141">
                  <c:v>4.1420000000000003</c:v>
                </c:pt>
                <c:pt idx="142">
                  <c:v>4.1429999999999998</c:v>
                </c:pt>
                <c:pt idx="143">
                  <c:v>4.1440000000000001</c:v>
                </c:pt>
                <c:pt idx="144">
                  <c:v>4.1449999999999996</c:v>
                </c:pt>
                <c:pt idx="145">
                  <c:v>4.1459999999999999</c:v>
                </c:pt>
                <c:pt idx="146">
                  <c:v>4.1470000000000002</c:v>
                </c:pt>
                <c:pt idx="147">
                  <c:v>4.1479999999999997</c:v>
                </c:pt>
                <c:pt idx="148">
                  <c:v>4.149</c:v>
                </c:pt>
                <c:pt idx="149">
                  <c:v>4.1500000000000004</c:v>
                </c:pt>
              </c:numCache>
            </c:numRef>
          </c:yVal>
          <c:smooth val="1"/>
          <c:extLst>
            <c:ext xmlns:c16="http://schemas.microsoft.com/office/drawing/2014/chart" uri="{C3380CC4-5D6E-409C-BE32-E72D297353CC}">
              <c16:uniqueId val="{00000003-53D1-4006-8366-E2C9DA64EC11}"/>
            </c:ext>
          </c:extLst>
        </c:ser>
        <c:ser>
          <c:idx val="4"/>
          <c:order val="4"/>
          <c:tx>
            <c:v>D2</c:v>
          </c:tx>
          <c:marker>
            <c:symbol val="none"/>
          </c:marker>
          <c:xVal>
            <c:numRef>
              <c:f>Eff_vs_IOUT!$R$8:$R$157</c:f>
              <c:numCache>
                <c:formatCode>General</c:formatCode>
                <c:ptCount val="150"/>
                <c:pt idx="0">
                  <c:v>0.53333333333333333</c:v>
                </c:pt>
                <c:pt idx="1">
                  <c:v>1.0666666666666667</c:v>
                </c:pt>
                <c:pt idx="2">
                  <c:v>1.6</c:v>
                </c:pt>
                <c:pt idx="3">
                  <c:v>2.1333333333333333</c:v>
                </c:pt>
                <c:pt idx="4">
                  <c:v>2.6666666666666665</c:v>
                </c:pt>
                <c:pt idx="5">
                  <c:v>3.2</c:v>
                </c:pt>
                <c:pt idx="6">
                  <c:v>3.7333333333333334</c:v>
                </c:pt>
                <c:pt idx="7">
                  <c:v>4.2666666666666666</c:v>
                </c:pt>
                <c:pt idx="8">
                  <c:v>4.8</c:v>
                </c:pt>
                <c:pt idx="9">
                  <c:v>5.333333333333333</c:v>
                </c:pt>
                <c:pt idx="10">
                  <c:v>5.8666666666666663</c:v>
                </c:pt>
                <c:pt idx="11">
                  <c:v>6.4</c:v>
                </c:pt>
                <c:pt idx="12">
                  <c:v>6.9333333333333336</c:v>
                </c:pt>
                <c:pt idx="13">
                  <c:v>7.4666666666666668</c:v>
                </c:pt>
                <c:pt idx="14">
                  <c:v>8</c:v>
                </c:pt>
                <c:pt idx="15">
                  <c:v>8.5333333333333332</c:v>
                </c:pt>
                <c:pt idx="16">
                  <c:v>9.0666666666666664</c:v>
                </c:pt>
                <c:pt idx="17">
                  <c:v>9.6</c:v>
                </c:pt>
                <c:pt idx="18">
                  <c:v>10.133333333333333</c:v>
                </c:pt>
                <c:pt idx="19">
                  <c:v>10.666666666666666</c:v>
                </c:pt>
                <c:pt idx="20">
                  <c:v>11.2</c:v>
                </c:pt>
                <c:pt idx="21">
                  <c:v>11.733333333333333</c:v>
                </c:pt>
                <c:pt idx="22">
                  <c:v>12.266666666666666</c:v>
                </c:pt>
                <c:pt idx="23">
                  <c:v>12.8</c:v>
                </c:pt>
                <c:pt idx="24">
                  <c:v>13.333333333333334</c:v>
                </c:pt>
                <c:pt idx="25">
                  <c:v>13.866666666666667</c:v>
                </c:pt>
                <c:pt idx="26">
                  <c:v>14.4</c:v>
                </c:pt>
                <c:pt idx="27">
                  <c:v>14.933333333333334</c:v>
                </c:pt>
                <c:pt idx="28">
                  <c:v>15.466666666666667</c:v>
                </c:pt>
                <c:pt idx="29">
                  <c:v>16</c:v>
                </c:pt>
                <c:pt idx="30">
                  <c:v>16.533333333333331</c:v>
                </c:pt>
                <c:pt idx="31">
                  <c:v>17.066666666666666</c:v>
                </c:pt>
                <c:pt idx="32">
                  <c:v>17.600000000000001</c:v>
                </c:pt>
                <c:pt idx="33">
                  <c:v>18.133333333333333</c:v>
                </c:pt>
                <c:pt idx="34">
                  <c:v>18.666666666666668</c:v>
                </c:pt>
                <c:pt idx="35">
                  <c:v>19.2</c:v>
                </c:pt>
                <c:pt idx="36">
                  <c:v>19.733333333333334</c:v>
                </c:pt>
                <c:pt idx="37">
                  <c:v>20.266666666666666</c:v>
                </c:pt>
                <c:pt idx="38">
                  <c:v>20.8</c:v>
                </c:pt>
                <c:pt idx="39">
                  <c:v>21.333333333333332</c:v>
                </c:pt>
                <c:pt idx="40">
                  <c:v>21.866666666666667</c:v>
                </c:pt>
                <c:pt idx="41">
                  <c:v>22.4</c:v>
                </c:pt>
                <c:pt idx="42">
                  <c:v>22.933333333333334</c:v>
                </c:pt>
                <c:pt idx="43">
                  <c:v>23.466666666666665</c:v>
                </c:pt>
                <c:pt idx="44">
                  <c:v>24</c:v>
                </c:pt>
                <c:pt idx="45">
                  <c:v>24.533333333333331</c:v>
                </c:pt>
                <c:pt idx="46">
                  <c:v>25.066666666666666</c:v>
                </c:pt>
                <c:pt idx="47">
                  <c:v>25.6</c:v>
                </c:pt>
                <c:pt idx="48">
                  <c:v>26.133333333333333</c:v>
                </c:pt>
                <c:pt idx="49">
                  <c:v>26.666666666666668</c:v>
                </c:pt>
                <c:pt idx="50">
                  <c:v>27.2</c:v>
                </c:pt>
                <c:pt idx="51">
                  <c:v>27.733333333333334</c:v>
                </c:pt>
                <c:pt idx="52">
                  <c:v>28.266666666666666</c:v>
                </c:pt>
                <c:pt idx="53">
                  <c:v>28.8</c:v>
                </c:pt>
                <c:pt idx="54">
                  <c:v>29.333333333333332</c:v>
                </c:pt>
                <c:pt idx="55">
                  <c:v>29.866666666666667</c:v>
                </c:pt>
                <c:pt idx="56">
                  <c:v>30.4</c:v>
                </c:pt>
                <c:pt idx="57">
                  <c:v>30.933333333333334</c:v>
                </c:pt>
                <c:pt idx="58">
                  <c:v>31.466666666666665</c:v>
                </c:pt>
                <c:pt idx="59">
                  <c:v>32</c:v>
                </c:pt>
                <c:pt idx="60">
                  <c:v>32.533333333333331</c:v>
                </c:pt>
                <c:pt idx="61">
                  <c:v>33.066666666666663</c:v>
                </c:pt>
                <c:pt idx="62">
                  <c:v>33.6</c:v>
                </c:pt>
                <c:pt idx="63">
                  <c:v>34.133333333333333</c:v>
                </c:pt>
                <c:pt idx="64">
                  <c:v>34.666666666666664</c:v>
                </c:pt>
                <c:pt idx="65">
                  <c:v>35.200000000000003</c:v>
                </c:pt>
                <c:pt idx="66">
                  <c:v>35.733333333333334</c:v>
                </c:pt>
                <c:pt idx="67">
                  <c:v>36.266666666666666</c:v>
                </c:pt>
                <c:pt idx="68">
                  <c:v>36.799999999999997</c:v>
                </c:pt>
                <c:pt idx="69">
                  <c:v>37.333333333333336</c:v>
                </c:pt>
                <c:pt idx="70">
                  <c:v>37.866666666666667</c:v>
                </c:pt>
                <c:pt idx="71">
                  <c:v>38.4</c:v>
                </c:pt>
                <c:pt idx="72">
                  <c:v>38.93333333333333</c:v>
                </c:pt>
                <c:pt idx="73">
                  <c:v>39.466666666666669</c:v>
                </c:pt>
                <c:pt idx="74">
                  <c:v>40</c:v>
                </c:pt>
                <c:pt idx="75">
                  <c:v>40.533333333333331</c:v>
                </c:pt>
                <c:pt idx="76">
                  <c:v>41.066666666666663</c:v>
                </c:pt>
                <c:pt idx="77">
                  <c:v>41.6</c:v>
                </c:pt>
                <c:pt idx="78">
                  <c:v>42.133333333333333</c:v>
                </c:pt>
                <c:pt idx="79">
                  <c:v>42.666666666666664</c:v>
                </c:pt>
                <c:pt idx="80">
                  <c:v>43.2</c:v>
                </c:pt>
                <c:pt idx="81">
                  <c:v>43.733333333333334</c:v>
                </c:pt>
                <c:pt idx="82">
                  <c:v>44.266666666666666</c:v>
                </c:pt>
                <c:pt idx="83">
                  <c:v>44.8</c:v>
                </c:pt>
                <c:pt idx="84">
                  <c:v>45.333333333333336</c:v>
                </c:pt>
                <c:pt idx="85">
                  <c:v>45.866666666666667</c:v>
                </c:pt>
                <c:pt idx="86">
                  <c:v>46.4</c:v>
                </c:pt>
                <c:pt idx="87">
                  <c:v>46.93333333333333</c:v>
                </c:pt>
                <c:pt idx="88">
                  <c:v>47.466666666666669</c:v>
                </c:pt>
                <c:pt idx="89">
                  <c:v>48</c:v>
                </c:pt>
                <c:pt idx="90">
                  <c:v>48.533333333333331</c:v>
                </c:pt>
                <c:pt idx="91">
                  <c:v>49.066666666666663</c:v>
                </c:pt>
                <c:pt idx="92">
                  <c:v>49.6</c:v>
                </c:pt>
                <c:pt idx="93">
                  <c:v>50.133333333333333</c:v>
                </c:pt>
                <c:pt idx="94">
                  <c:v>50.666666666666664</c:v>
                </c:pt>
                <c:pt idx="95">
                  <c:v>51.2</c:v>
                </c:pt>
                <c:pt idx="96">
                  <c:v>51.733333333333334</c:v>
                </c:pt>
                <c:pt idx="97">
                  <c:v>52.266666666666666</c:v>
                </c:pt>
                <c:pt idx="98">
                  <c:v>52.8</c:v>
                </c:pt>
                <c:pt idx="99">
                  <c:v>53.333333333333336</c:v>
                </c:pt>
                <c:pt idx="100">
                  <c:v>53.866666666666667</c:v>
                </c:pt>
                <c:pt idx="101">
                  <c:v>54.4</c:v>
                </c:pt>
                <c:pt idx="102">
                  <c:v>54.93333333333333</c:v>
                </c:pt>
                <c:pt idx="103">
                  <c:v>55.466666666666669</c:v>
                </c:pt>
                <c:pt idx="104">
                  <c:v>56</c:v>
                </c:pt>
                <c:pt idx="105">
                  <c:v>56.533333333333331</c:v>
                </c:pt>
                <c:pt idx="106">
                  <c:v>57.066666666666663</c:v>
                </c:pt>
                <c:pt idx="107">
                  <c:v>57.6</c:v>
                </c:pt>
                <c:pt idx="108">
                  <c:v>58.133333333333333</c:v>
                </c:pt>
                <c:pt idx="109">
                  <c:v>58.666666666666664</c:v>
                </c:pt>
                <c:pt idx="110">
                  <c:v>59.199999999999996</c:v>
                </c:pt>
                <c:pt idx="111">
                  <c:v>59.733333333333334</c:v>
                </c:pt>
                <c:pt idx="112">
                  <c:v>60.266666666666666</c:v>
                </c:pt>
                <c:pt idx="113">
                  <c:v>60.8</c:v>
                </c:pt>
                <c:pt idx="114">
                  <c:v>61.333333333333336</c:v>
                </c:pt>
                <c:pt idx="115">
                  <c:v>61.866666666666667</c:v>
                </c:pt>
                <c:pt idx="116">
                  <c:v>62.4</c:v>
                </c:pt>
                <c:pt idx="117">
                  <c:v>62.93333333333333</c:v>
                </c:pt>
                <c:pt idx="118">
                  <c:v>63.466666666666669</c:v>
                </c:pt>
                <c:pt idx="119">
                  <c:v>64</c:v>
                </c:pt>
                <c:pt idx="120">
                  <c:v>64.533333333333331</c:v>
                </c:pt>
                <c:pt idx="121">
                  <c:v>65.066666666666663</c:v>
                </c:pt>
                <c:pt idx="122">
                  <c:v>65.599999999999994</c:v>
                </c:pt>
                <c:pt idx="123">
                  <c:v>66.133333333333326</c:v>
                </c:pt>
                <c:pt idx="124">
                  <c:v>66.666666666666671</c:v>
                </c:pt>
                <c:pt idx="125">
                  <c:v>67.2</c:v>
                </c:pt>
                <c:pt idx="126">
                  <c:v>67.733333333333334</c:v>
                </c:pt>
                <c:pt idx="127">
                  <c:v>68.266666666666666</c:v>
                </c:pt>
                <c:pt idx="128">
                  <c:v>68.8</c:v>
                </c:pt>
                <c:pt idx="129">
                  <c:v>69.333333333333329</c:v>
                </c:pt>
                <c:pt idx="130">
                  <c:v>69.86666666666666</c:v>
                </c:pt>
                <c:pt idx="131">
                  <c:v>70.400000000000006</c:v>
                </c:pt>
                <c:pt idx="132">
                  <c:v>70.933333333333337</c:v>
                </c:pt>
                <c:pt idx="133">
                  <c:v>71.466666666666669</c:v>
                </c:pt>
                <c:pt idx="134">
                  <c:v>72</c:v>
                </c:pt>
                <c:pt idx="135">
                  <c:v>72.533333333333331</c:v>
                </c:pt>
                <c:pt idx="136">
                  <c:v>73.066666666666663</c:v>
                </c:pt>
                <c:pt idx="137">
                  <c:v>73.599999999999994</c:v>
                </c:pt>
                <c:pt idx="138">
                  <c:v>74.133333333333326</c:v>
                </c:pt>
                <c:pt idx="139">
                  <c:v>74.666666666666671</c:v>
                </c:pt>
                <c:pt idx="140">
                  <c:v>75.2</c:v>
                </c:pt>
                <c:pt idx="141">
                  <c:v>75.733333333333334</c:v>
                </c:pt>
                <c:pt idx="142">
                  <c:v>76.266666666666666</c:v>
                </c:pt>
                <c:pt idx="143">
                  <c:v>76.8</c:v>
                </c:pt>
                <c:pt idx="144">
                  <c:v>77.333333333333329</c:v>
                </c:pt>
                <c:pt idx="145">
                  <c:v>77.86666666666666</c:v>
                </c:pt>
                <c:pt idx="146">
                  <c:v>78.400000000000006</c:v>
                </c:pt>
                <c:pt idx="147">
                  <c:v>78.933333333333337</c:v>
                </c:pt>
                <c:pt idx="148">
                  <c:v>79.466666666666669</c:v>
                </c:pt>
                <c:pt idx="149">
                  <c:v>80</c:v>
                </c:pt>
              </c:numCache>
            </c:numRef>
          </c:xVal>
          <c:yVal>
            <c:numRef>
              <c:f>Eff_vs_IOUT!$BI$8:$BI$157</c:f>
              <c:numCache>
                <c:formatCode>General</c:formatCode>
                <c:ptCount val="1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4-53D1-4006-8366-E2C9DA64EC11}"/>
            </c:ext>
          </c:extLst>
        </c:ser>
        <c:ser>
          <c:idx val="5"/>
          <c:order val="5"/>
          <c:tx>
            <c:v>D3</c:v>
          </c:tx>
          <c:marker>
            <c:symbol val="none"/>
          </c:marker>
          <c:xVal>
            <c:numRef>
              <c:f>Eff_vs_IOUT!$R$8:$R$157</c:f>
              <c:numCache>
                <c:formatCode>General</c:formatCode>
                <c:ptCount val="150"/>
                <c:pt idx="0">
                  <c:v>0.53333333333333333</c:v>
                </c:pt>
                <c:pt idx="1">
                  <c:v>1.0666666666666667</c:v>
                </c:pt>
                <c:pt idx="2">
                  <c:v>1.6</c:v>
                </c:pt>
                <c:pt idx="3">
                  <c:v>2.1333333333333333</c:v>
                </c:pt>
                <c:pt idx="4">
                  <c:v>2.6666666666666665</c:v>
                </c:pt>
                <c:pt idx="5">
                  <c:v>3.2</c:v>
                </c:pt>
                <c:pt idx="6">
                  <c:v>3.7333333333333334</c:v>
                </c:pt>
                <c:pt idx="7">
                  <c:v>4.2666666666666666</c:v>
                </c:pt>
                <c:pt idx="8">
                  <c:v>4.8</c:v>
                </c:pt>
                <c:pt idx="9">
                  <c:v>5.333333333333333</c:v>
                </c:pt>
                <c:pt idx="10">
                  <c:v>5.8666666666666663</c:v>
                </c:pt>
                <c:pt idx="11">
                  <c:v>6.4</c:v>
                </c:pt>
                <c:pt idx="12">
                  <c:v>6.9333333333333336</c:v>
                </c:pt>
                <c:pt idx="13">
                  <c:v>7.4666666666666668</c:v>
                </c:pt>
                <c:pt idx="14">
                  <c:v>8</c:v>
                </c:pt>
                <c:pt idx="15">
                  <c:v>8.5333333333333332</c:v>
                </c:pt>
                <c:pt idx="16">
                  <c:v>9.0666666666666664</c:v>
                </c:pt>
                <c:pt idx="17">
                  <c:v>9.6</c:v>
                </c:pt>
                <c:pt idx="18">
                  <c:v>10.133333333333333</c:v>
                </c:pt>
                <c:pt idx="19">
                  <c:v>10.666666666666666</c:v>
                </c:pt>
                <c:pt idx="20">
                  <c:v>11.2</c:v>
                </c:pt>
                <c:pt idx="21">
                  <c:v>11.733333333333333</c:v>
                </c:pt>
                <c:pt idx="22">
                  <c:v>12.266666666666666</c:v>
                </c:pt>
                <c:pt idx="23">
                  <c:v>12.8</c:v>
                </c:pt>
                <c:pt idx="24">
                  <c:v>13.333333333333334</c:v>
                </c:pt>
                <c:pt idx="25">
                  <c:v>13.866666666666667</c:v>
                </c:pt>
                <c:pt idx="26">
                  <c:v>14.4</c:v>
                </c:pt>
                <c:pt idx="27">
                  <c:v>14.933333333333334</c:v>
                </c:pt>
                <c:pt idx="28">
                  <c:v>15.466666666666667</c:v>
                </c:pt>
                <c:pt idx="29">
                  <c:v>16</c:v>
                </c:pt>
                <c:pt idx="30">
                  <c:v>16.533333333333331</c:v>
                </c:pt>
                <c:pt idx="31">
                  <c:v>17.066666666666666</c:v>
                </c:pt>
                <c:pt idx="32">
                  <c:v>17.600000000000001</c:v>
                </c:pt>
                <c:pt idx="33">
                  <c:v>18.133333333333333</c:v>
                </c:pt>
                <c:pt idx="34">
                  <c:v>18.666666666666668</c:v>
                </c:pt>
                <c:pt idx="35">
                  <c:v>19.2</c:v>
                </c:pt>
                <c:pt idx="36">
                  <c:v>19.733333333333334</c:v>
                </c:pt>
                <c:pt idx="37">
                  <c:v>20.266666666666666</c:v>
                </c:pt>
                <c:pt idx="38">
                  <c:v>20.8</c:v>
                </c:pt>
                <c:pt idx="39">
                  <c:v>21.333333333333332</c:v>
                </c:pt>
                <c:pt idx="40">
                  <c:v>21.866666666666667</c:v>
                </c:pt>
                <c:pt idx="41">
                  <c:v>22.4</c:v>
                </c:pt>
                <c:pt idx="42">
                  <c:v>22.933333333333334</c:v>
                </c:pt>
                <c:pt idx="43">
                  <c:v>23.466666666666665</c:v>
                </c:pt>
                <c:pt idx="44">
                  <c:v>24</c:v>
                </c:pt>
                <c:pt idx="45">
                  <c:v>24.533333333333331</c:v>
                </c:pt>
                <c:pt idx="46">
                  <c:v>25.066666666666666</c:v>
                </c:pt>
                <c:pt idx="47">
                  <c:v>25.6</c:v>
                </c:pt>
                <c:pt idx="48">
                  <c:v>26.133333333333333</c:v>
                </c:pt>
                <c:pt idx="49">
                  <c:v>26.666666666666668</c:v>
                </c:pt>
                <c:pt idx="50">
                  <c:v>27.2</c:v>
                </c:pt>
                <c:pt idx="51">
                  <c:v>27.733333333333334</c:v>
                </c:pt>
                <c:pt idx="52">
                  <c:v>28.266666666666666</c:v>
                </c:pt>
                <c:pt idx="53">
                  <c:v>28.8</c:v>
                </c:pt>
                <c:pt idx="54">
                  <c:v>29.333333333333332</c:v>
                </c:pt>
                <c:pt idx="55">
                  <c:v>29.866666666666667</c:v>
                </c:pt>
                <c:pt idx="56">
                  <c:v>30.4</c:v>
                </c:pt>
                <c:pt idx="57">
                  <c:v>30.933333333333334</c:v>
                </c:pt>
                <c:pt idx="58">
                  <c:v>31.466666666666665</c:v>
                </c:pt>
                <c:pt idx="59">
                  <c:v>32</c:v>
                </c:pt>
                <c:pt idx="60">
                  <c:v>32.533333333333331</c:v>
                </c:pt>
                <c:pt idx="61">
                  <c:v>33.066666666666663</c:v>
                </c:pt>
                <c:pt idx="62">
                  <c:v>33.6</c:v>
                </c:pt>
                <c:pt idx="63">
                  <c:v>34.133333333333333</c:v>
                </c:pt>
                <c:pt idx="64">
                  <c:v>34.666666666666664</c:v>
                </c:pt>
                <c:pt idx="65">
                  <c:v>35.200000000000003</c:v>
                </c:pt>
                <c:pt idx="66">
                  <c:v>35.733333333333334</c:v>
                </c:pt>
                <c:pt idx="67">
                  <c:v>36.266666666666666</c:v>
                </c:pt>
                <c:pt idx="68">
                  <c:v>36.799999999999997</c:v>
                </c:pt>
                <c:pt idx="69">
                  <c:v>37.333333333333336</c:v>
                </c:pt>
                <c:pt idx="70">
                  <c:v>37.866666666666667</c:v>
                </c:pt>
                <c:pt idx="71">
                  <c:v>38.4</c:v>
                </c:pt>
                <c:pt idx="72">
                  <c:v>38.93333333333333</c:v>
                </c:pt>
                <c:pt idx="73">
                  <c:v>39.466666666666669</c:v>
                </c:pt>
                <c:pt idx="74">
                  <c:v>40</c:v>
                </c:pt>
                <c:pt idx="75">
                  <c:v>40.533333333333331</c:v>
                </c:pt>
                <c:pt idx="76">
                  <c:v>41.066666666666663</c:v>
                </c:pt>
                <c:pt idx="77">
                  <c:v>41.6</c:v>
                </c:pt>
                <c:pt idx="78">
                  <c:v>42.133333333333333</c:v>
                </c:pt>
                <c:pt idx="79">
                  <c:v>42.666666666666664</c:v>
                </c:pt>
                <c:pt idx="80">
                  <c:v>43.2</c:v>
                </c:pt>
                <c:pt idx="81">
                  <c:v>43.733333333333334</c:v>
                </c:pt>
                <c:pt idx="82">
                  <c:v>44.266666666666666</c:v>
                </c:pt>
                <c:pt idx="83">
                  <c:v>44.8</c:v>
                </c:pt>
                <c:pt idx="84">
                  <c:v>45.333333333333336</c:v>
                </c:pt>
                <c:pt idx="85">
                  <c:v>45.866666666666667</c:v>
                </c:pt>
                <c:pt idx="86">
                  <c:v>46.4</c:v>
                </c:pt>
                <c:pt idx="87">
                  <c:v>46.93333333333333</c:v>
                </c:pt>
                <c:pt idx="88">
                  <c:v>47.466666666666669</c:v>
                </c:pt>
                <c:pt idx="89">
                  <c:v>48</c:v>
                </c:pt>
                <c:pt idx="90">
                  <c:v>48.533333333333331</c:v>
                </c:pt>
                <c:pt idx="91">
                  <c:v>49.066666666666663</c:v>
                </c:pt>
                <c:pt idx="92">
                  <c:v>49.6</c:v>
                </c:pt>
                <c:pt idx="93">
                  <c:v>50.133333333333333</c:v>
                </c:pt>
                <c:pt idx="94">
                  <c:v>50.666666666666664</c:v>
                </c:pt>
                <c:pt idx="95">
                  <c:v>51.2</c:v>
                </c:pt>
                <c:pt idx="96">
                  <c:v>51.733333333333334</c:v>
                </c:pt>
                <c:pt idx="97">
                  <c:v>52.266666666666666</c:v>
                </c:pt>
                <c:pt idx="98">
                  <c:v>52.8</c:v>
                </c:pt>
                <c:pt idx="99">
                  <c:v>53.333333333333336</c:v>
                </c:pt>
                <c:pt idx="100">
                  <c:v>53.866666666666667</c:v>
                </c:pt>
                <c:pt idx="101">
                  <c:v>54.4</c:v>
                </c:pt>
                <c:pt idx="102">
                  <c:v>54.93333333333333</c:v>
                </c:pt>
                <c:pt idx="103">
                  <c:v>55.466666666666669</c:v>
                </c:pt>
                <c:pt idx="104">
                  <c:v>56</c:v>
                </c:pt>
                <c:pt idx="105">
                  <c:v>56.533333333333331</c:v>
                </c:pt>
                <c:pt idx="106">
                  <c:v>57.066666666666663</c:v>
                </c:pt>
                <c:pt idx="107">
                  <c:v>57.6</c:v>
                </c:pt>
                <c:pt idx="108">
                  <c:v>58.133333333333333</c:v>
                </c:pt>
                <c:pt idx="109">
                  <c:v>58.666666666666664</c:v>
                </c:pt>
                <c:pt idx="110">
                  <c:v>59.199999999999996</c:v>
                </c:pt>
                <c:pt idx="111">
                  <c:v>59.733333333333334</c:v>
                </c:pt>
                <c:pt idx="112">
                  <c:v>60.266666666666666</c:v>
                </c:pt>
                <c:pt idx="113">
                  <c:v>60.8</c:v>
                </c:pt>
                <c:pt idx="114">
                  <c:v>61.333333333333336</c:v>
                </c:pt>
                <c:pt idx="115">
                  <c:v>61.866666666666667</c:v>
                </c:pt>
                <c:pt idx="116">
                  <c:v>62.4</c:v>
                </c:pt>
                <c:pt idx="117">
                  <c:v>62.93333333333333</c:v>
                </c:pt>
                <c:pt idx="118">
                  <c:v>63.466666666666669</c:v>
                </c:pt>
                <c:pt idx="119">
                  <c:v>64</c:v>
                </c:pt>
                <c:pt idx="120">
                  <c:v>64.533333333333331</c:v>
                </c:pt>
                <c:pt idx="121">
                  <c:v>65.066666666666663</c:v>
                </c:pt>
                <c:pt idx="122">
                  <c:v>65.599999999999994</c:v>
                </c:pt>
                <c:pt idx="123">
                  <c:v>66.133333333333326</c:v>
                </c:pt>
                <c:pt idx="124">
                  <c:v>66.666666666666671</c:v>
                </c:pt>
                <c:pt idx="125">
                  <c:v>67.2</c:v>
                </c:pt>
                <c:pt idx="126">
                  <c:v>67.733333333333334</c:v>
                </c:pt>
                <c:pt idx="127">
                  <c:v>68.266666666666666</c:v>
                </c:pt>
                <c:pt idx="128">
                  <c:v>68.8</c:v>
                </c:pt>
                <c:pt idx="129">
                  <c:v>69.333333333333329</c:v>
                </c:pt>
                <c:pt idx="130">
                  <c:v>69.86666666666666</c:v>
                </c:pt>
                <c:pt idx="131">
                  <c:v>70.400000000000006</c:v>
                </c:pt>
                <c:pt idx="132">
                  <c:v>70.933333333333337</c:v>
                </c:pt>
                <c:pt idx="133">
                  <c:v>71.466666666666669</c:v>
                </c:pt>
                <c:pt idx="134">
                  <c:v>72</c:v>
                </c:pt>
                <c:pt idx="135">
                  <c:v>72.533333333333331</c:v>
                </c:pt>
                <c:pt idx="136">
                  <c:v>73.066666666666663</c:v>
                </c:pt>
                <c:pt idx="137">
                  <c:v>73.599999999999994</c:v>
                </c:pt>
                <c:pt idx="138">
                  <c:v>74.133333333333326</c:v>
                </c:pt>
                <c:pt idx="139">
                  <c:v>74.666666666666671</c:v>
                </c:pt>
                <c:pt idx="140">
                  <c:v>75.2</c:v>
                </c:pt>
                <c:pt idx="141">
                  <c:v>75.733333333333334</c:v>
                </c:pt>
                <c:pt idx="142">
                  <c:v>76.266666666666666</c:v>
                </c:pt>
                <c:pt idx="143">
                  <c:v>76.8</c:v>
                </c:pt>
                <c:pt idx="144">
                  <c:v>77.333333333333329</c:v>
                </c:pt>
                <c:pt idx="145">
                  <c:v>77.86666666666666</c:v>
                </c:pt>
                <c:pt idx="146">
                  <c:v>78.400000000000006</c:v>
                </c:pt>
                <c:pt idx="147">
                  <c:v>78.933333333333337</c:v>
                </c:pt>
                <c:pt idx="148">
                  <c:v>79.466666666666669</c:v>
                </c:pt>
                <c:pt idx="149">
                  <c:v>80</c:v>
                </c:pt>
              </c:numCache>
            </c:numRef>
          </c:xVal>
          <c:yVal>
            <c:numRef>
              <c:f>Eff_vs_IOUT!$BT$8:$BT$157</c:f>
              <c:numCache>
                <c:formatCode>General</c:formatCode>
                <c:ptCount val="1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5-53D1-4006-8366-E2C9DA64EC11}"/>
            </c:ext>
          </c:extLst>
        </c:ser>
        <c:dLbls>
          <c:showLegendKey val="0"/>
          <c:showVal val="0"/>
          <c:showCatName val="0"/>
          <c:showSerName val="0"/>
          <c:showPercent val="0"/>
          <c:showBubbleSize val="0"/>
        </c:dLbls>
        <c:axId val="586827264"/>
        <c:axId val="586476928"/>
      </c:scatterChart>
      <c:valAx>
        <c:axId val="586473472"/>
        <c:scaling>
          <c:orientation val="minMax"/>
        </c:scaling>
        <c:delete val="0"/>
        <c:axPos val="b"/>
        <c:majorGridlines/>
        <c:numFmt formatCode="General" sourceLinked="1"/>
        <c:majorTickMark val="out"/>
        <c:minorTickMark val="none"/>
        <c:tickLblPos val="nextTo"/>
        <c:crossAx val="586475008"/>
        <c:crosses val="autoZero"/>
        <c:crossBetween val="midCat"/>
      </c:valAx>
      <c:valAx>
        <c:axId val="586475008"/>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586473472"/>
        <c:crosses val="autoZero"/>
        <c:crossBetween val="midCat"/>
      </c:valAx>
      <c:valAx>
        <c:axId val="586476928"/>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586827264"/>
        <c:crosses val="max"/>
        <c:crossBetween val="midCat"/>
      </c:valAx>
      <c:valAx>
        <c:axId val="586827264"/>
        <c:scaling>
          <c:orientation val="minMax"/>
        </c:scaling>
        <c:delete val="1"/>
        <c:axPos val="b"/>
        <c:title>
          <c:tx>
            <c:rich>
              <a:bodyPr/>
              <a:lstStyle/>
              <a:p>
                <a:pPr>
                  <a:defRPr sz="700"/>
                </a:pPr>
                <a:r>
                  <a:rPr lang="en-US" sz="1200" b="1" i="0" baseline="0">
                    <a:effectLst/>
                  </a:rPr>
                  <a:t>P</a:t>
                </a:r>
                <a:r>
                  <a:rPr lang="en-US" sz="1200" b="1" i="0" baseline="-25000">
                    <a:effectLst/>
                  </a:rPr>
                  <a:t>OUT</a:t>
                </a:r>
                <a:r>
                  <a:rPr lang="en-US" sz="1200" b="1" i="0" baseline="0">
                    <a:effectLst/>
                  </a:rPr>
                  <a:t> (W)</a:t>
                </a:r>
                <a:endParaRPr lang="en-US" sz="700">
                  <a:effectLst/>
                </a:endParaRPr>
              </a:p>
            </c:rich>
          </c:tx>
          <c:overlay val="0"/>
        </c:title>
        <c:numFmt formatCode="General" sourceLinked="1"/>
        <c:majorTickMark val="out"/>
        <c:minorTickMark val="none"/>
        <c:tickLblPos val="nextTo"/>
        <c:crossAx val="586476928"/>
        <c:crosses val="autoZero"/>
        <c:crossBetween val="midCat"/>
      </c:valAx>
    </c:plotArea>
    <c:legend>
      <c:legendPos val="r"/>
      <c:layout>
        <c:manualLayout>
          <c:xMode val="edge"/>
          <c:yMode val="edge"/>
          <c:x val="0.49723111871774606"/>
          <c:y val="6.4861313959085187E-3"/>
          <c:w val="0.41972466868865133"/>
          <c:h val="0.12461147870492213"/>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aseline="0"/>
              <a:t>Non-Isolated Loop Response</a:t>
            </a:r>
          </a:p>
        </c:rich>
      </c:tx>
      <c:layout>
        <c:manualLayout>
          <c:xMode val="edge"/>
          <c:yMode val="edge"/>
          <c:x val="9.4354157174953393E-2"/>
          <c:y val="3.9916010498687662E-3"/>
        </c:manualLayout>
      </c:layout>
      <c:overlay val="0"/>
    </c:title>
    <c:autoTitleDeleted val="0"/>
    <c:plotArea>
      <c:layout>
        <c:manualLayout>
          <c:layoutTarget val="inner"/>
          <c:xMode val="edge"/>
          <c:yMode val="edge"/>
          <c:x val="8.7413438847232044E-2"/>
          <c:y val="8.915804101931861E-2"/>
          <c:w val="0.85835006662757141"/>
          <c:h val="0.76159168715027026"/>
        </c:manualLayout>
      </c:layout>
      <c:scatterChart>
        <c:scatterStyle val="smoothMarker"/>
        <c:varyColors val="0"/>
        <c:ser>
          <c:idx val="0"/>
          <c:order val="0"/>
          <c:tx>
            <c:v>Gain (dB)</c:v>
          </c:tx>
          <c:spPr>
            <a:ln w="28575">
              <a:solidFill>
                <a:srgbClr val="FF0000"/>
              </a:solidFill>
            </a:ln>
          </c:spPr>
          <c:marker>
            <c:symbol val="none"/>
          </c:marker>
          <c:xVal>
            <c:numRef>
              <c:f>CCM_Loop_Modeling_non_isolated!$O$19:$O$560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CCM_Loop_Modeling_non_isolated!$AT$19:$AT$560</c:f>
              <c:numCache>
                <c:formatCode>0.000</c:formatCode>
                <c:ptCount val="542"/>
                <c:pt idx="0">
                  <c:v>77.357582100329225</c:v>
                </c:pt>
                <c:pt idx="1">
                  <c:v>77.020967552722169</c:v>
                </c:pt>
                <c:pt idx="2">
                  <c:v>76.682445604807768</c:v>
                </c:pt>
                <c:pt idx="3">
                  <c:v>76.342054035913947</c:v>
                </c:pt>
                <c:pt idx="4">
                  <c:v>75.999831763471946</c:v>
                </c:pt>
                <c:pt idx="5">
                  <c:v>75.655818733446665</c:v>
                </c:pt>
                <c:pt idx="6">
                  <c:v>75.310055811902856</c:v>
                </c:pt>
                <c:pt idx="7">
                  <c:v>74.962584678325825</c:v>
                </c:pt>
                <c:pt idx="8">
                  <c:v>74.613447721267249</c:v>
                </c:pt>
                <c:pt idx="9">
                  <c:v>74.262687936838546</c:v>
                </c:pt>
                <c:pt idx="10">
                  <c:v>73.910348830524853</c:v>
                </c:pt>
                <c:pt idx="11">
                  <c:v>73.55647432273588</c:v>
                </c:pt>
                <c:pt idx="12">
                  <c:v>73.201108658461536</c:v>
                </c:pt>
                <c:pt idx="13">
                  <c:v>72.844296321344956</c:v>
                </c:pt>
                <c:pt idx="14">
                  <c:v>72.486081952433793</c:v>
                </c:pt>
                <c:pt idx="15">
                  <c:v>72.126510273821395</c:v>
                </c:pt>
                <c:pt idx="16">
                  <c:v>71.765626017339684</c:v>
                </c:pt>
                <c:pt idx="17">
                  <c:v>71.403473858421691</c:v>
                </c:pt>
                <c:pt idx="18">
                  <c:v>71.040098355204847</c:v>
                </c:pt>
                <c:pt idx="19">
                  <c:v>70.675543892909914</c:v>
                </c:pt>
                <c:pt idx="20">
                  <c:v>70.309854633491369</c:v>
                </c:pt>
                <c:pt idx="21">
                  <c:v>69.94307447051996</c:v>
                </c:pt>
                <c:pt idx="22">
                  <c:v>69.575246989230834</c:v>
                </c:pt>
                <c:pt idx="23">
                  <c:v>69.206415431641446</c:v>
                </c:pt>
                <c:pt idx="24">
                  <c:v>68.836622666619689</c:v>
                </c:pt>
                <c:pt idx="25">
                  <c:v>68.465911164763611</c:v>
                </c:pt>
                <c:pt idx="26">
                  <c:v>68.094322977935377</c:v>
                </c:pt>
                <c:pt idx="27">
                  <c:v>67.721899723278227</c:v>
                </c:pt>
                <c:pt idx="28">
                  <c:v>67.348682571532265</c:v>
                </c:pt>
                <c:pt idx="29">
                  <c:v>66.974712239458697</c:v>
                </c:pt>
                <c:pt idx="30">
                  <c:v>66.600028986170841</c:v>
                </c:pt>
                <c:pt idx="31">
                  <c:v>66.224672613169261</c:v>
                </c:pt>
                <c:pt idx="32">
                  <c:v>65.848682467873545</c:v>
                </c:pt>
                <c:pt idx="33">
                  <c:v>65.472097450442291</c:v>
                </c:pt>
                <c:pt idx="34">
                  <c:v>65.094956023672708</c:v>
                </c:pt>
                <c:pt idx="35">
                  <c:v>64.717296225773907</c:v>
                </c:pt>
                <c:pt idx="36">
                  <c:v>64.33915568580835</c:v>
                </c:pt>
                <c:pt idx="37">
                  <c:v>63.960571641600829</c:v>
                </c:pt>
                <c:pt idx="38">
                  <c:v>63.581580959917481</c:v>
                </c:pt>
                <c:pt idx="39">
                  <c:v>63.202220158720735</c:v>
                </c:pt>
                <c:pt idx="40">
                  <c:v>62.822525431313608</c:v>
                </c:pt>
                <c:pt idx="41">
                  <c:v>62.44253267218614</c:v>
                </c:pt>
                <c:pt idx="42">
                  <c:v>62.062277504388263</c:v>
                </c:pt>
                <c:pt idx="43">
                  <c:v>61.681795308253058</c:v>
                </c:pt>
                <c:pt idx="44">
                  <c:v>61.301121251298753</c:v>
                </c:pt>
                <c:pt idx="45">
                  <c:v>60.920290319146481</c:v>
                </c:pt>
                <c:pt idx="46">
                  <c:v>60.539337347289035</c:v>
                </c:pt>
                <c:pt idx="47">
                  <c:v>60.158297053553795</c:v>
                </c:pt>
                <c:pt idx="48">
                  <c:v>59.777204071100698</c:v>
                </c:pt>
                <c:pt idx="49">
                  <c:v>59.39609298180482</c:v>
                </c:pt>
                <c:pt idx="50">
                  <c:v>59.014998349867923</c:v>
                </c:pt>
                <c:pt idx="51">
                  <c:v>58.633954755509848</c:v>
                </c:pt>
                <c:pt idx="52">
                  <c:v>58.25299682858742</c:v>
                </c:pt>
                <c:pt idx="53">
                  <c:v>57.872159281989994</c:v>
                </c:pt>
                <c:pt idx="54">
                  <c:v>57.491476944658821</c:v>
                </c:pt>
                <c:pt idx="55">
                  <c:v>57.110984794077019</c:v>
                </c:pt>
                <c:pt idx="56">
                  <c:v>56.7307179880737</c:v>
                </c:pt>
                <c:pt idx="57">
                  <c:v>56.350711895782915</c:v>
                </c:pt>
                <c:pt idx="58">
                  <c:v>55.97100212759598</c:v>
                </c:pt>
                <c:pt idx="59">
                  <c:v>55.59162456394192</c:v>
                </c:pt>
                <c:pt idx="60">
                  <c:v>55.212615382723989</c:v>
                </c:pt>
                <c:pt idx="61">
                  <c:v>54.834011085240455</c:v>
                </c:pt>
                <c:pt idx="62">
                  <c:v>54.455848520409361</c:v>
                </c:pt>
                <c:pt idx="63">
                  <c:v>54.078164907113006</c:v>
                </c:pt>
                <c:pt idx="64">
                  <c:v>53.700997854475432</c:v>
                </c:pt>
                <c:pt idx="65">
                  <c:v>53.324385379878301</c:v>
                </c:pt>
                <c:pt idx="66">
                  <c:v>52.948365924518754</c:v>
                </c:pt>
                <c:pt idx="67">
                  <c:v>52.572978366307638</c:v>
                </c:pt>
                <c:pt idx="68">
                  <c:v>52.198262029904221</c:v>
                </c:pt>
                <c:pt idx="69">
                  <c:v>51.82425669368007</c:v>
                </c:pt>
                <c:pt idx="70">
                  <c:v>51.45100259340397</c:v>
                </c:pt>
                <c:pt idx="71">
                  <c:v>51.078540422440639</c:v>
                </c:pt>
                <c:pt idx="72">
                  <c:v>50.706911328253589</c:v>
                </c:pt>
                <c:pt idx="73">
                  <c:v>50.336156905010455</c:v>
                </c:pt>
                <c:pt idx="74">
                  <c:v>49.966319182089521</c:v>
                </c:pt>
                <c:pt idx="75">
                  <c:v>49.597440608294995</c:v>
                </c:pt>
                <c:pt idx="76">
                  <c:v>49.229564031597455</c:v>
                </c:pt>
                <c:pt idx="77">
                  <c:v>48.862732674227551</c:v>
                </c:pt>
                <c:pt idx="78">
                  <c:v>48.496990102964887</c:v>
                </c:pt>
                <c:pt idx="79">
                  <c:v>48.132380194481797</c:v>
                </c:pt>
                <c:pt idx="80">
                  <c:v>47.768947095622529</c:v>
                </c:pt>
                <c:pt idx="81">
                  <c:v>47.40673517852025</c:v>
                </c:pt>
                <c:pt idx="82">
                  <c:v>47.04578899048375</c:v>
                </c:pt>
                <c:pt idx="83">
                  <c:v>46.686153198613034</c:v>
                </c:pt>
                <c:pt idx="84">
                  <c:v>46.327872529139597</c:v>
                </c:pt>
                <c:pt idx="85">
                  <c:v>45.970991701521058</c:v>
                </c:pt>
                <c:pt idx="86">
                  <c:v>45.615555357363249</c:v>
                </c:pt>
                <c:pt idx="87">
                  <c:v>45.261607984282193</c:v>
                </c:pt>
                <c:pt idx="88">
                  <c:v>44.909193834867736</c:v>
                </c:pt>
                <c:pt idx="89">
                  <c:v>44.558356840957892</c:v>
                </c:pt>
                <c:pt idx="90">
                  <c:v>44.20914052348067</c:v>
                </c:pt>
                <c:pt idx="91">
                  <c:v>43.861587898176268</c:v>
                </c:pt>
                <c:pt idx="92">
                  <c:v>43.515741377562271</c:v>
                </c:pt>
                <c:pt idx="93">
                  <c:v>43.171642669557826</c:v>
                </c:pt>
                <c:pt idx="94">
                  <c:v>42.829332673236244</c:v>
                </c:pt>
                <c:pt idx="95">
                  <c:v>42.488851372226073</c:v>
                </c:pt>
                <c:pt idx="96">
                  <c:v>42.150237726329919</c:v>
                </c:pt>
                <c:pt idx="97">
                  <c:v>41.813529561976424</c:v>
                </c:pt>
                <c:pt idx="98">
                  <c:v>41.478763462163393</c:v>
                </c:pt>
                <c:pt idx="99">
                  <c:v>41.145974656587597</c:v>
                </c:pt>
                <c:pt idx="100">
                  <c:v>40.815196912687746</c:v>
                </c:pt>
                <c:pt idx="101">
                  <c:v>40.486462428354614</c:v>
                </c:pt>
                <c:pt idx="102">
                  <c:v>40.159801727077294</c:v>
                </c:pt>
                <c:pt idx="103">
                  <c:v>39.835243556307809</c:v>
                </c:pt>
                <c:pt idx="104">
                  <c:v>39.512814789825079</c:v>
                </c:pt>
                <c:pt idx="105">
                  <c:v>39.192540334872959</c:v>
                </c:pt>
                <c:pt idx="106">
                  <c:v>38.874443044830414</c:v>
                </c:pt>
                <c:pt idx="107">
                  <c:v>38.558543638142368</c:v>
                </c:pt>
                <c:pt idx="108">
                  <c:v>38.244860624208819</c:v>
                </c:pt>
                <c:pt idx="109">
                  <c:v>37.93341023687772</c:v>
                </c:pt>
                <c:pt idx="110">
                  <c:v>37.624206376137181</c:v>
                </c:pt>
                <c:pt idx="111">
                  <c:v>37.317260558539353</c:v>
                </c:pt>
                <c:pt idx="112">
                  <c:v>37.012581876813123</c:v>
                </c:pt>
                <c:pt idx="113">
                  <c:v>36.710176969052057</c:v>
                </c:pt>
                <c:pt idx="114">
                  <c:v>36.41004999777428</c:v>
                </c:pt>
                <c:pt idx="115">
                  <c:v>36.112202639068663</c:v>
                </c:pt>
                <c:pt idx="116">
                  <c:v>35.816634081947626</c:v>
                </c:pt>
                <c:pt idx="117">
                  <c:v>35.52334103793433</c:v>
                </c:pt>
                <c:pt idx="118">
                  <c:v>35.232317760822667</c:v>
                </c:pt>
                <c:pt idx="119">
                  <c:v>34.943556076450619</c:v>
                </c:pt>
                <c:pt idx="120">
                  <c:v>34.657045422244188</c:v>
                </c:pt>
                <c:pt idx="121">
                  <c:v>34.37277289619761</c:v>
                </c:pt>
                <c:pt idx="122">
                  <c:v>34.090723314881586</c:v>
                </c:pt>
                <c:pt idx="123">
                  <c:v>33.810879279988924</c:v>
                </c:pt>
                <c:pt idx="124">
                  <c:v>33.533221252868302</c:v>
                </c:pt>
                <c:pt idx="125">
                  <c:v>33.257727636429919</c:v>
                </c:pt>
                <c:pt idx="126">
                  <c:v>32.984374863761751</c:v>
                </c:pt>
                <c:pt idx="127">
                  <c:v>32.713137492752281</c:v>
                </c:pt>
                <c:pt idx="128">
                  <c:v>32.443988305982415</c:v>
                </c:pt>
                <c:pt idx="129">
                  <c:v>32.176898415129145</c:v>
                </c:pt>
                <c:pt idx="130">
                  <c:v>31.911837369109893</c:v>
                </c:pt>
                <c:pt idx="131">
                  <c:v>31.648773265194148</c:v>
                </c:pt>
                <c:pt idx="132">
                  <c:v>31.387672862312428</c:v>
                </c:pt>
                <c:pt idx="133">
                  <c:v>31.128501695809383</c:v>
                </c:pt>
                <c:pt idx="134">
                  <c:v>30.871224192906986</c:v>
                </c:pt>
                <c:pt idx="135">
                  <c:v>30.615803788174503</c:v>
                </c:pt>
                <c:pt idx="136">
                  <c:v>30.362203038334677</c:v>
                </c:pt>
                <c:pt idx="137">
                  <c:v>30.11038373577636</c:v>
                </c:pt>
                <c:pt idx="138">
                  <c:v>29.860307020189477</c:v>
                </c:pt>
                <c:pt idx="139">
                  <c:v>29.611933487782714</c:v>
                </c:pt>
                <c:pt idx="140">
                  <c:v>29.365223297598462</c:v>
                </c:pt>
                <c:pt idx="141">
                  <c:v>29.120136274488129</c:v>
                </c:pt>
                <c:pt idx="142">
                  <c:v>28.876632008366553</c:v>
                </c:pt>
                <c:pt idx="143">
                  <c:v>28.634669949415045</c:v>
                </c:pt>
                <c:pt idx="144">
                  <c:v>28.394209498956116</c:v>
                </c:pt>
                <c:pt idx="145">
                  <c:v>28.155210095774208</c:v>
                </c:pt>
                <c:pt idx="146">
                  <c:v>27.917631297704922</c:v>
                </c:pt>
                <c:pt idx="147">
                  <c:v>27.681432858364158</c:v>
                </c:pt>
                <c:pt idx="148">
                  <c:v>27.446574798930435</c:v>
                </c:pt>
                <c:pt idx="149">
                  <c:v>27.213017474939051</c:v>
                </c:pt>
                <c:pt idx="150">
                  <c:v>26.980721638081224</c:v>
                </c:pt>
                <c:pt idx="151">
                  <c:v>26.749648493038571</c:v>
                </c:pt>
                <c:pt idx="152">
                  <c:v>26.519759749415968</c:v>
                </c:pt>
                <c:pt idx="153">
                  <c:v>26.291017668861173</c:v>
                </c:pt>
                <c:pt idx="154">
                  <c:v>26.063385107486905</c:v>
                </c:pt>
                <c:pt idx="155">
                  <c:v>25.836825553732858</c:v>
                </c:pt>
                <c:pt idx="156">
                  <c:v>25.61130316182069</c:v>
                </c:pt>
                <c:pt idx="157">
                  <c:v>25.386782780973061</c:v>
                </c:pt>
                <c:pt idx="158">
                  <c:v>25.163229980579594</c:v>
                </c:pt>
                <c:pt idx="159">
                  <c:v>24.940611071500726</c:v>
                </c:pt>
                <c:pt idx="160">
                  <c:v>24.71889312370859</c:v>
                </c:pt>
                <c:pt idx="161">
                  <c:v>24.498043980468886</c:v>
                </c:pt>
                <c:pt idx="162">
                  <c:v>24.278032269269737</c:v>
                </c:pt>
                <c:pt idx="163">
                  <c:v>24.058827409703625</c:v>
                </c:pt>
                <c:pt idx="164">
                  <c:v>23.840399618509519</c:v>
                </c:pt>
                <c:pt idx="165">
                  <c:v>23.622719911976581</c:v>
                </c:pt>
                <c:pt idx="166">
                  <c:v>23.405760105910083</c:v>
                </c:pt>
                <c:pt idx="167">
                  <c:v>23.189492813353727</c:v>
                </c:pt>
                <c:pt idx="168">
                  <c:v>22.973891440255393</c:v>
                </c:pt>
                <c:pt idx="169">
                  <c:v>22.758930179260037</c:v>
                </c:pt>
                <c:pt idx="170">
                  <c:v>22.54458400180285</c:v>
                </c:pt>
                <c:pt idx="171">
                  <c:v>22.330828648670394</c:v>
                </c:pt>
                <c:pt idx="172">
                  <c:v>22.11764061918689</c:v>
                </c:pt>
                <c:pt idx="173">
                  <c:v>21.90499715917791</c:v>
                </c:pt>
                <c:pt idx="174">
                  <c:v>21.692876247851416</c:v>
                </c:pt>
                <c:pt idx="175">
                  <c:v>21.481256583731266</c:v>
                </c:pt>
                <c:pt idx="176">
                  <c:v>21.270117569766363</c:v>
                </c:pt>
                <c:pt idx="177">
                  <c:v>21.059439297733071</c:v>
                </c:pt>
                <c:pt idx="178">
                  <c:v>20.849202532038873</c:v>
                </c:pt>
                <c:pt idx="179">
                  <c:v>20.639388693026884</c:v>
                </c:pt>
                <c:pt idx="180">
                  <c:v>20.429979839874477</c:v>
                </c:pt>
                <c:pt idx="181">
                  <c:v>20.220958653170371</c:v>
                </c:pt>
                <c:pt idx="182">
                  <c:v>20.012308417248427</c:v>
                </c:pt>
                <c:pt idx="183">
                  <c:v>19.804013002347652</c:v>
                </c:pt>
                <c:pt idx="184">
                  <c:v>19.596056846664474</c:v>
                </c:pt>
                <c:pt idx="185">
                  <c:v>19.388424938353356</c:v>
                </c:pt>
                <c:pt idx="186">
                  <c:v>19.181102797529576</c:v>
                </c:pt>
                <c:pt idx="187">
                  <c:v>18.974076458318685</c:v>
                </c:pt>
                <c:pt idx="188">
                  <c:v>18.767332450995418</c:v>
                </c:pt>
                <c:pt idx="189">
                  <c:v>18.560857784248562</c:v>
                </c:pt>
                <c:pt idx="190">
                  <c:v>18.354639927600825</c:v>
                </c:pt>
                <c:pt idx="191">
                  <c:v>18.148666794015234</c:v>
                </c:pt>
                <c:pt idx="192">
                  <c:v>17.94292672270851</c:v>
                </c:pt>
                <c:pt idx="193">
                  <c:v>17.737408462191226</c:v>
                </c:pt>
                <c:pt idx="194">
                  <c:v>17.532101153554283</c:v>
                </c:pt>
                <c:pt idx="195">
                  <c:v>17.326994314010321</c:v>
                </c:pt>
                <c:pt idx="196">
                  <c:v>17.122077820704359</c:v>
                </c:pt>
                <c:pt idx="197">
                  <c:v>16.917341894799186</c:v>
                </c:pt>
                <c:pt idx="198">
                  <c:v>16.712777085841616</c:v>
                </c:pt>
                <c:pt idx="199">
                  <c:v>16.508374256411926</c:v>
                </c:pt>
                <c:pt idx="200">
                  <c:v>16.304124567058608</c:v>
                </c:pt>
                <c:pt idx="201">
                  <c:v>16.100019461516617</c:v>
                </c:pt>
                <c:pt idx="202">
                  <c:v>15.896050652206714</c:v>
                </c:pt>
                <c:pt idx="203">
                  <c:v>15.692210106011956</c:v>
                </c:pt>
                <c:pt idx="204">
                  <c:v>15.488490030326819</c:v>
                </c:pt>
                <c:pt idx="205">
                  <c:v>15.284882859370324</c:v>
                </c:pt>
                <c:pt idx="206">
                  <c:v>15.08138124075739</c:v>
                </c:pt>
                <c:pt idx="207">
                  <c:v>14.877978022318024</c:v>
                </c:pt>
                <c:pt idx="208">
                  <c:v>14.674666239156416</c:v>
                </c:pt>
                <c:pt idx="209">
                  <c:v>14.471439100937181</c:v>
                </c:pt>
                <c:pt idx="210">
                  <c:v>14.268289979390122</c:v>
                </c:pt>
                <c:pt idx="211">
                  <c:v>14.065212396019378</c:v>
                </c:pt>
                <c:pt idx="212">
                  <c:v>13.862200010006148</c:v>
                </c:pt>
                <c:pt idx="213">
                  <c:v>13.659246606291822</c:v>
                </c:pt>
                <c:pt idx="214">
                  <c:v>13.456346083827116</c:v>
                </c:pt>
                <c:pt idx="215">
                  <c:v>13.253492443975203</c:v>
                </c:pt>
                <c:pt idx="216">
                  <c:v>13.050679779053949</c:v>
                </c:pt>
                <c:pt idx="217">
                  <c:v>12.847902261002426</c:v>
                </c:pt>
                <c:pt idx="218">
                  <c:v>12.645154130158963</c:v>
                </c:pt>
                <c:pt idx="219">
                  <c:v>12.442429684133156</c:v>
                </c:pt>
                <c:pt idx="220">
                  <c:v>12.239723266760784</c:v>
                </c:pt>
                <c:pt idx="221">
                  <c:v>12.037029257122384</c:v>
                </c:pt>
                <c:pt idx="222">
                  <c:v>11.834342058614286</c:v>
                </c:pt>
                <c:pt idx="223">
                  <c:v>11.631656088053617</c:v>
                </c:pt>
                <c:pt idx="224">
                  <c:v>11.42896576480436</c:v>
                </c:pt>
                <c:pt idx="225">
                  <c:v>11.226265499908134</c:v>
                </c:pt>
                <c:pt idx="226">
                  <c:v>11.023549685204529</c:v>
                </c:pt>
                <c:pt idx="227">
                  <c:v>10.820812682426146</c:v>
                </c:pt>
                <c:pt idx="228">
                  <c:v>10.618048812252617</c:v>
                </c:pt>
                <c:pt idx="229">
                  <c:v>10.415252343309216</c:v>
                </c:pt>
                <c:pt idx="230">
                  <c:v>10.212417481094022</c:v>
                </c:pt>
                <c:pt idx="231">
                  <c:v>10.009538356820846</c:v>
                </c:pt>
                <c:pt idx="232">
                  <c:v>9.8066090161603263</c:v>
                </c:pt>
                <c:pt idx="233">
                  <c:v>9.6036234078680689</c:v>
                </c:pt>
                <c:pt idx="234">
                  <c:v>9.4005753722823364</c:v>
                </c:pt>
                <c:pt idx="235">
                  <c:v>9.1974586296804102</c:v>
                </c:pt>
                <c:pt idx="236">
                  <c:v>8.9942667684785569</c:v>
                </c:pt>
                <c:pt idx="237">
                  <c:v>8.7909932332618546</c:v>
                </c:pt>
                <c:pt idx="238">
                  <c:v>8.5876313126328672</c:v>
                </c:pt>
                <c:pt idx="239">
                  <c:v>8.3841741268656182</c:v>
                </c:pt>
                <c:pt idx="240">
                  <c:v>8.180614615353976</c:v>
                </c:pt>
                <c:pt idx="241">
                  <c:v>7.9769455238429057</c:v>
                </c:pt>
                <c:pt idx="242">
                  <c:v>7.7731593914328379</c:v>
                </c:pt>
                <c:pt idx="243">
                  <c:v>7.5692485373474661</c:v>
                </c:pt>
                <c:pt idx="244">
                  <c:v>7.3652050474560316</c:v>
                </c:pt>
                <c:pt idx="245">
                  <c:v>7.1610207605435665</c:v>
                </c:pt>
                <c:pt idx="246">
                  <c:v>6.9566872543216238</c:v>
                </c:pt>
                <c:pt idx="247">
                  <c:v>6.7521958311752206</c:v>
                </c:pt>
                <c:pt idx="248">
                  <c:v>6.5475375036410144</c:v>
                </c:pt>
                <c:pt idx="249">
                  <c:v>6.3427029796161563</c:v>
                </c:pt>
                <c:pt idx="250">
                  <c:v>6.1376826472953683</c:v>
                </c:pt>
                <c:pt idx="251">
                  <c:v>5.9324665598395772</c:v>
                </c:pt>
                <c:pt idx="252">
                  <c:v>5.7270444197769921</c:v>
                </c:pt>
                <c:pt idx="253">
                  <c:v>5.5214055631450689</c:v>
                </c:pt>
                <c:pt idx="254">
                  <c:v>5.3155389433783355</c:v>
                </c:pt>
                <c:pt idx="255">
                  <c:v>5.1094331149547276</c:v>
                </c:pt>
                <c:pt idx="256">
                  <c:v>4.9030762168142843</c:v>
                </c:pt>
                <c:pt idx="257">
                  <c:v>4.6964559555645256</c:v>
                </c:pt>
                <c:pt idx="258">
                  <c:v>4.489559588495343</c:v>
                </c:pt>
                <c:pt idx="259">
                  <c:v>4.2823739064256285</c:v>
                </c:pt>
                <c:pt idx="260">
                  <c:v>4.0748852164092124</c:v>
                </c:pt>
                <c:pt idx="261">
                  <c:v>3.8670793243338113</c:v>
                </c:pt>
                <c:pt idx="262">
                  <c:v>3.6589415174473032</c:v>
                </c:pt>
                <c:pt idx="263">
                  <c:v>3.4504565468546526</c:v>
                </c:pt>
                <c:pt idx="264">
                  <c:v>3.2416086100312258</c:v>
                </c:pt>
                <c:pt idx="265">
                  <c:v>3.0323813334057292</c:v>
                </c:pt>
                <c:pt idx="266">
                  <c:v>2.8227577550692775</c:v>
                </c:pt>
                <c:pt idx="267">
                  <c:v>2.6127203076776544</c:v>
                </c:pt>
                <c:pt idx="268">
                  <c:v>2.402250801614934</c:v>
                </c:pt>
                <c:pt idx="269">
                  <c:v>2.1913304084986098</c:v>
                </c:pt>
                <c:pt idx="270">
                  <c:v>1.9799396451102169</c:v>
                </c:pt>
                <c:pt idx="271">
                  <c:v>1.7680583578449895</c:v>
                </c:pt>
                <c:pt idx="272">
                  <c:v>1.5556657077793044</c:v>
                </c:pt>
                <c:pt idx="273">
                  <c:v>1.3427401564671972</c:v>
                </c:pt>
                <c:pt idx="274">
                  <c:v>1.1292594525797433</c:v>
                </c:pt>
                <c:pt idx="275">
                  <c:v>0.91520061951440745</c:v>
                </c:pt>
                <c:pt idx="276">
                  <c:v>0.70053994410716047</c:v>
                </c:pt>
                <c:pt idx="277">
                  <c:v>0.48525296658968758</c:v>
                </c:pt>
                <c:pt idx="278">
                  <c:v>0.2693144719427038</c:v>
                </c:pt>
                <c:pt idx="279">
                  <c:v>5.2698482803205514E-2</c:v>
                </c:pt>
                <c:pt idx="280">
                  <c:v>-0.1646217459056479</c:v>
                </c:pt>
                <c:pt idx="281">
                  <c:v>-0.38267373044762748</c:v>
                </c:pt>
                <c:pt idx="282">
                  <c:v>-0.6014857596683747</c:v>
                </c:pt>
                <c:pt idx="283">
                  <c:v>-0.82108689412119662</c:v>
                </c:pt>
                <c:pt idx="284">
                  <c:v>-1.0415069627302889</c:v>
                </c:pt>
                <c:pt idx="285">
                  <c:v>-1.2627765567904179</c:v>
                </c:pt>
                <c:pt idx="286">
                  <c:v>-1.4849270210999368</c:v>
                </c:pt>
                <c:pt idx="287">
                  <c:v>-1.707990442019397</c:v>
                </c:pt>
                <c:pt idx="288">
                  <c:v>-1.9319996322491635</c:v>
                </c:pt>
                <c:pt idx="289">
                  <c:v>-2.1569881121172396</c:v>
                </c:pt>
                <c:pt idx="290">
                  <c:v>-2.382990087173618</c:v>
                </c:pt>
                <c:pt idx="291">
                  <c:v>-2.6100404218902611</c:v>
                </c:pt>
                <c:pt idx="292">
                  <c:v>-2.8381746092722993</c:v>
                </c:pt>
                <c:pt idx="293">
                  <c:v>-3.0674287361977646</c:v>
                </c:pt>
                <c:pt idx="294">
                  <c:v>-3.2978394443124213</c:v>
                </c:pt>
                <c:pt idx="295">
                  <c:v>-3.5294438863227144</c:v>
                </c:pt>
                <c:pt idx="296">
                  <c:v>-3.7622796775490364</c:v>
                </c:pt>
                <c:pt idx="297">
                  <c:v>-3.9963848426205901</c:v>
                </c:pt>
                <c:pt idx="298">
                  <c:v>-4.2317977572192031</c:v>
                </c:pt>
                <c:pt idx="299">
                  <c:v>-4.4685570848081069</c:v>
                </c:pt>
                <c:pt idx="300">
                  <c:v>-4.7067017083122256</c:v>
                </c:pt>
                <c:pt idx="301">
                  <c:v>-4.9462706567521737</c:v>
                </c:pt>
                <c:pt idx="302">
                  <c:v>-5.1873030268723808</c:v>
                </c:pt>
                <c:pt idx="303">
                  <c:v>-5.4298378998462349</c:v>
                </c:pt>
                <c:pt idx="304">
                  <c:v>-5.6739142531832689</c:v>
                </c:pt>
                <c:pt idx="305">
                  <c:v>-5.9195708680147909</c:v>
                </c:pt>
                <c:pt idx="306">
                  <c:v>-6.1668462319806068</c:v>
                </c:pt>
                <c:pt idx="307">
                  <c:v>-6.4157784379911575</c:v>
                </c:pt>
                <c:pt idx="308">
                  <c:v>-6.6664050791950666</c:v>
                </c:pt>
                <c:pt idx="309">
                  <c:v>-6.9187631405329597</c:v>
                </c:pt>
                <c:pt idx="310">
                  <c:v>-7.1728888873122774</c:v>
                </c:pt>
                <c:pt idx="311">
                  <c:v>-7.4288177512923523</c:v>
                </c:pt>
                <c:pt idx="312">
                  <c:v>-7.6865842148192947</c:v>
                </c:pt>
                <c:pt idx="313">
                  <c:v>-7.9462216935981376</c:v>
                </c:pt>
                <c:pt idx="314">
                  <c:v>-8.207762418738735</c:v>
                </c:pt>
                <c:pt idx="315">
                  <c:v>-8.4712373187491838</c:v>
                </c:pt>
                <c:pt idx="316">
                  <c:v>-8.7366759021911502</c:v>
                </c:pt>
                <c:pt idx="317">
                  <c:v>-9.0041061417383421</c:v>
                </c:pt>
                <c:pt idx="318">
                  <c:v>-9.2735543604070099</c:v>
                </c:pt>
                <c:pt idx="319">
                  <c:v>-9.5450451207395055</c:v>
                </c:pt>
                <c:pt idx="320">
                  <c:v>-9.8186011177340511</c:v>
                </c:pt>
                <c:pt idx="321">
                  <c:v>-10.094243076309652</c:v>
                </c:pt>
                <c:pt idx="322">
                  <c:v>-10.371989654087539</c:v>
                </c:pt>
                <c:pt idx="323">
                  <c:v>-10.651857350252502</c:v>
                </c:pt>
                <c:pt idx="324">
                  <c:v>-10.933860421223265</c:v>
                </c:pt>
                <c:pt idx="325">
                  <c:v>-11.218010803832033</c:v>
                </c:pt>
                <c:pt idx="326">
                  <c:v>-11.504318046654948</c:v>
                </c:pt>
                <c:pt idx="327">
                  <c:v>-11.792789250091651</c:v>
                </c:pt>
                <c:pt idx="328">
                  <c:v>-12.083429015716661</c:v>
                </c:pt>
                <c:pt idx="329">
                  <c:v>-12.376239405364336</c:v>
                </c:pt>
                <c:pt idx="330">
                  <c:v>-12.671219910322929</c:v>
                </c:pt>
                <c:pt idx="331">
                  <c:v>-12.968367430938347</c:v>
                </c:pt>
                <c:pt idx="332">
                  <c:v>-13.267676266837341</c:v>
                </c:pt>
                <c:pt idx="333">
                  <c:v>-13.569138117893683</c:v>
                </c:pt>
                <c:pt idx="334">
                  <c:v>-13.872742095968151</c:v>
                </c:pt>
                <c:pt idx="335">
                  <c:v>-14.178474747367623</c:v>
                </c:pt>
                <c:pt idx="336">
                  <c:v>-14.486320085875144</c:v>
                </c:pt>
                <c:pt idx="337">
                  <c:v>-14.796259636123747</c:v>
                </c:pt>
                <c:pt idx="338">
                  <c:v>-15.108272487001367</c:v>
                </c:pt>
                <c:pt idx="339">
                  <c:v>-15.422335354699797</c:v>
                </c:pt>
                <c:pt idx="340">
                  <c:v>-15.738422654953879</c:v>
                </c:pt>
                <c:pt idx="341">
                  <c:v>-16.056506583953329</c:v>
                </c:pt>
                <c:pt idx="342">
                  <c:v>-16.376557207356729</c:v>
                </c:pt>
                <c:pt idx="343">
                  <c:v>-16.698542556791498</c:v>
                </c:pt>
                <c:pt idx="344">
                  <c:v>-17.022428733190505</c:v>
                </c:pt>
                <c:pt idx="345">
                  <c:v>-17.348180016284616</c:v>
                </c:pt>
                <c:pt idx="346">
                  <c:v>-17.67575897955572</c:v>
                </c:pt>
                <c:pt idx="347">
                  <c:v>-18.005126609943851</c:v>
                </c:pt>
                <c:pt idx="348">
                  <c:v>-18.336242431602606</c:v>
                </c:pt>
                <c:pt idx="349">
                  <c:v>-18.669064633001156</c:v>
                </c:pt>
                <c:pt idx="350">
                  <c:v>-19.003550196687709</c:v>
                </c:pt>
                <c:pt idx="351">
                  <c:v>-19.339655031047908</c:v>
                </c:pt>
                <c:pt idx="352">
                  <c:v>-19.677334103416733</c:v>
                </c:pt>
                <c:pt idx="353">
                  <c:v>-20.016541573933573</c:v>
                </c:pt>
                <c:pt idx="354">
                  <c:v>-20.357230929562753</c:v>
                </c:pt>
                <c:pt idx="355">
                  <c:v>-20.699355117737156</c:v>
                </c:pt>
                <c:pt idx="356">
                  <c:v>-21.042866679119236</c:v>
                </c:pt>
                <c:pt idx="357">
                  <c:v>-21.387717879013671</c:v>
                </c:pt>
                <c:pt idx="358">
                  <c:v>-21.733860836999611</c:v>
                </c:pt>
                <c:pt idx="359">
                  <c:v>-22.081247654388648</c:v>
                </c:pt>
                <c:pt idx="360">
                  <c:v>-22.429830539148806</c:v>
                </c:pt>
                <c:pt idx="361">
                  <c:v>-22.779561927963222</c:v>
                </c:pt>
                <c:pt idx="362">
                  <c:v>-23.130394605123431</c:v>
                </c:pt>
                <c:pt idx="363">
                  <c:v>-23.482281817980851</c:v>
                </c:pt>
                <c:pt idx="364">
                  <c:v>-23.835177388697957</c:v>
                </c:pt>
                <c:pt idx="365">
                  <c:v>-24.189035822061363</c:v>
                </c:pt>
                <c:pt idx="366">
                  <c:v>-24.54381240912879</c:v>
                </c:pt>
                <c:pt idx="367">
                  <c:v>-24.899463326490153</c:v>
                </c:pt>
                <c:pt idx="368">
                  <c:v>-25.25594573093074</c:v>
                </c:pt>
                <c:pt idx="369">
                  <c:v>-25.613217849281771</c:v>
                </c:pt>
                <c:pt idx="370">
                  <c:v>-25.971239063245637</c:v>
                </c:pt>
                <c:pt idx="371">
                  <c:v>-26.329969988977862</c:v>
                </c:pt>
                <c:pt idx="372">
                  <c:v>-26.689372551201764</c:v>
                </c:pt>
                <c:pt idx="373">
                  <c:v>-27.049410051625632</c:v>
                </c:pt>
                <c:pt idx="374">
                  <c:v>-27.410047231427249</c:v>
                </c:pt>
                <c:pt idx="375">
                  <c:v>-27.771250327561066</c:v>
                </c:pt>
                <c:pt idx="376">
                  <c:v>-28.132987122641811</c:v>
                </c:pt>
                <c:pt idx="377">
                  <c:v>-28.495226988154712</c:v>
                </c:pt>
                <c:pt idx="378">
                  <c:v>-28.857940920743033</c:v>
                </c:pt>
                <c:pt idx="379">
                  <c:v>-29.221101571330635</c:v>
                </c:pt>
                <c:pt idx="380">
                  <c:v>-29.584683266843616</c:v>
                </c:pt>
                <c:pt idx="381">
                  <c:v>-29.948662024312583</c:v>
                </c:pt>
                <c:pt idx="382">
                  <c:v>-30.313015557157787</c:v>
                </c:pt>
                <c:pt idx="383">
                  <c:v>-30.677723273484641</c:v>
                </c:pt>
                <c:pt idx="384">
                  <c:v>-31.04276626625245</c:v>
                </c:pt>
                <c:pt idx="385">
                  <c:v>-31.408127295217291</c:v>
                </c:pt>
                <c:pt idx="386">
                  <c:v>-31.773790760598651</c:v>
                </c:pt>
                <c:pt idx="387">
                  <c:v>-32.139742668469971</c:v>
                </c:pt>
                <c:pt idx="388">
                  <c:v>-32.505970587931181</c:v>
                </c:pt>
                <c:pt idx="389">
                  <c:v>-32.872463600185156</c:v>
                </c:pt>
                <c:pt idx="390">
                  <c:v>-33.239212239705786</c:v>
                </c:pt>
                <c:pt idx="391">
                  <c:v>-33.60620842775549</c:v>
                </c:pt>
                <c:pt idx="392">
                  <c:v>-33.973445398578782</c:v>
                </c:pt>
                <c:pt idx="393">
                  <c:v>-34.340917618674759</c:v>
                </c:pt>
                <c:pt idx="394">
                  <c:v>-34.708620699615771</c:v>
                </c:pt>
                <c:pt idx="395">
                  <c:v>-35.076551304952226</c:v>
                </c:pt>
                <c:pt idx="396">
                  <c:v>-35.444707051804265</c:v>
                </c:pt>
                <c:pt idx="397">
                  <c:v>-35.813086407800029</c:v>
                </c:pt>
                <c:pt idx="398">
                  <c:v>-36.181688584073314</c:v>
                </c:pt>
                <c:pt idx="399">
                  <c:v>-36.550513425073859</c:v>
                </c:pt>
                <c:pt idx="400">
                  <c:v>-36.919561295980841</c:v>
                </c:pt>
                <c:pt idx="401">
                  <c:v>-37.28883296853202</c:v>
                </c:pt>
                <c:pt idx="402">
                  <c:v>-37.658329506097047</c:v>
                </c:pt>
                <c:pt idx="403">
                  <c:v>-38.028052148823761</c:v>
                </c:pt>
                <c:pt idx="404">
                  <c:v>-38.398002199679063</c:v>
                </c:pt>
                <c:pt idx="405">
                  <c:v>-38.768180912186075</c:v>
                </c:pt>
                <c:pt idx="406">
                  <c:v>-39.138589380629043</c:v>
                </c:pt>
                <c:pt idx="407">
                  <c:v>-39.509228433454091</c:v>
                </c:pt>
                <c:pt idx="408">
                  <c:v>-39.880098530549986</c:v>
                </c:pt>
                <c:pt idx="409">
                  <c:v>-40.251199665027109</c:v>
                </c:pt>
                <c:pt idx="410">
                  <c:v>-40.622531270053628</c:v>
                </c:pt>
                <c:pt idx="411">
                  <c:v>-40.994092131234311</c:v>
                </c:pt>
                <c:pt idx="412">
                  <c:v>-41.365880304942635</c:v>
                </c:pt>
                <c:pt idx="413">
                  <c:v>-41.737893042938722</c:v>
                </c:pt>
                <c:pt idx="414">
                  <c:v>-42.110126723526179</c:v>
                </c:pt>
                <c:pt idx="415">
                  <c:v>-42.482576789424257</c:v>
                </c:pt>
                <c:pt idx="416">
                  <c:v>-42.85523769245053</c:v>
                </c:pt>
                <c:pt idx="417">
                  <c:v>-43.228102845040262</c:v>
                </c:pt>
                <c:pt idx="418">
                  <c:v>-43.601164578553401</c:v>
                </c:pt>
                <c:pt idx="419">
                  <c:v>-43.974414108260675</c:v>
                </c:pt>
                <c:pt idx="420">
                  <c:v>-44.34784150483793</c:v>
                </c:pt>
                <c:pt idx="421">
                  <c:v>-44.721435672148921</c:v>
                </c:pt>
                <c:pt idx="422">
                  <c:v>-45.095184331050255</c:v>
                </c:pt>
                <c:pt idx="423">
                  <c:v>-45.469074008919591</c:v>
                </c:pt>
                <c:pt idx="424">
                  <c:v>-45.843090034573599</c:v>
                </c:pt>
                <c:pt idx="425">
                  <c:v>-46.217216538229863</c:v>
                </c:pt>
                <c:pt idx="426">
                  <c:v>-46.591436456145836</c:v>
                </c:pt>
                <c:pt idx="427">
                  <c:v>-46.965731539567443</c:v>
                </c:pt>
                <c:pt idx="428">
                  <c:v>-47.340082367620667</c:v>
                </c:pt>
                <c:pt idx="429">
                  <c:v>-47.714468363787852</c:v>
                </c:pt>
                <c:pt idx="430">
                  <c:v>-48.088867815620773</c:v>
                </c:pt>
                <c:pt idx="431">
                  <c:v>-48.463257897369907</c:v>
                </c:pt>
                <c:pt idx="432">
                  <c:v>-48.837614695223202</c:v>
                </c:pt>
                <c:pt idx="433">
                  <c:v>-49.211913234885586</c:v>
                </c:pt>
                <c:pt idx="434">
                  <c:v>-49.586127511251952</c:v>
                </c:pt>
                <c:pt idx="435">
                  <c:v>-49.960230519968491</c:v>
                </c:pt>
                <c:pt idx="436">
                  <c:v>-50.334194290705042</c:v>
                </c:pt>
                <c:pt idx="437">
                  <c:v>-50.707989922004153</c:v>
                </c:pt>
                <c:pt idx="438">
                  <c:v>-51.081587617603013</c:v>
                </c:pt>
                <c:pt idx="439">
                  <c:v>-51.454956724167516</c:v>
                </c:pt>
                <c:pt idx="440">
                  <c:v>-51.828065770407015</c:v>
                </c:pt>
                <c:pt idx="441">
                  <c:v>-52.200882507581511</c:v>
                </c:pt>
                <c:pt idx="442">
                  <c:v>-52.573373951436572</c:v>
                </c:pt>
                <c:pt idx="443">
                  <c:v>-52.945506425642364</c:v>
                </c:pt>
                <c:pt idx="444">
                  <c:v>-53.317245606833609</c:v>
                </c:pt>
                <c:pt idx="445">
                  <c:v>-53.688556571380339</c:v>
                </c:pt>
                <c:pt idx="446">
                  <c:v>-54.0594038440357</c:v>
                </c:pt>
                <c:pt idx="447">
                  <c:v>-54.429751448632942</c:v>
                </c:pt>
                <c:pt idx="448">
                  <c:v>-54.799562961014828</c:v>
                </c:pt>
                <c:pt idx="449">
                  <c:v>-55.168801564393874</c:v>
                </c:pt>
                <c:pt idx="450">
                  <c:v>-55.537430107348094</c:v>
                </c:pt>
                <c:pt idx="451">
                  <c:v>-55.90541116466224</c:v>
                </c:pt>
                <c:pt idx="452">
                  <c:v>-56.272707101222387</c:v>
                </c:pt>
                <c:pt idx="453">
                  <c:v>-56.639280139169401</c:v>
                </c:pt>
                <c:pt idx="454">
                  <c:v>-57.00509242850358</c:v>
                </c:pt>
                <c:pt idx="455">
                  <c:v>-57.370106121322912</c:v>
                </c:pt>
                <c:pt idx="456">
                  <c:v>-57.734283449852754</c:v>
                </c:pt>
                <c:pt idx="457">
                  <c:v>-58.09758680840843</c:v>
                </c:pt>
                <c:pt idx="458">
                  <c:v>-58.459978839396847</c:v>
                </c:pt>
                <c:pt idx="459">
                  <c:v>-58.821422523433576</c:v>
                </c:pt>
                <c:pt idx="460">
                  <c:v>-59.181881273616106</c:v>
                </c:pt>
                <c:pt idx="461">
                  <c:v>-59.541319033947985</c:v>
                </c:pt>
                <c:pt idx="462">
                  <c:v>-59.899700381865735</c:v>
                </c:pt>
                <c:pt idx="463">
                  <c:v>-60.256990634771618</c:v>
                </c:pt>
                <c:pt idx="464">
                  <c:v>-60.613155960418339</c:v>
                </c:pt>
                <c:pt idx="465">
                  <c:v>-60.968163490941734</c:v>
                </c:pt>
                <c:pt idx="466">
                  <c:v>-61.32198144027528</c:v>
                </c:pt>
                <c:pt idx="467">
                  <c:v>-61.674579224621304</c:v>
                </c:pt>
                <c:pt idx="468">
                  <c:v>-62.025927585594786</c:v>
                </c:pt>
                <c:pt idx="469">
                  <c:v>-62.375998715592338</c:v>
                </c:pt>
                <c:pt idx="470">
                  <c:v>-62.724766384880077</c:v>
                </c:pt>
                <c:pt idx="471">
                  <c:v>-63.072206069833697</c:v>
                </c:pt>
                <c:pt idx="472">
                  <c:v>-63.418295081707967</c:v>
                </c:pt>
                <c:pt idx="473">
                  <c:v>-63.763012695259292</c:v>
                </c:pt>
                <c:pt idx="474">
                  <c:v>-64.106340276495345</c:v>
                </c:pt>
                <c:pt idx="475">
                  <c:v>-64.448261408782002</c:v>
                </c:pt>
                <c:pt idx="476">
                  <c:v>-64.788762016499476</c:v>
                </c:pt>
                <c:pt idx="477">
                  <c:v>-65.127830485406378</c:v>
                </c:pt>
                <c:pt idx="478">
                  <c:v>-65.465457778852468</c:v>
                </c:pt>
                <c:pt idx="479">
                  <c:v>-65.801637548957871</c:v>
                </c:pt>
                <c:pt idx="480">
                  <c:v>-66.13636624187771</c:v>
                </c:pt>
                <c:pt idx="481">
                  <c:v>-66.469643196269587</c:v>
                </c:pt>
                <c:pt idx="482">
                  <c:v>-66.801470734096668</c:v>
                </c:pt>
                <c:pt idx="483">
                  <c:v>-67.131854242921364</c:v>
                </c:pt>
                <c:pt idx="484">
                  <c:v>-67.460802248878181</c:v>
                </c:pt>
                <c:pt idx="485">
                  <c:v>-67.788326479555266</c:v>
                </c:pt>
                <c:pt idx="486">
                  <c:v>-68.114441916067136</c:v>
                </c:pt>
                <c:pt idx="487">
                  <c:v>-68.439166833662924</c:v>
                </c:pt>
                <c:pt idx="488">
                  <c:v>-68.762522830277945</c:v>
                </c:pt>
                <c:pt idx="489">
                  <c:v>-69.084534842518636</c:v>
                </c:pt>
                <c:pt idx="490">
                  <c:v>-69.405231148648141</c:v>
                </c:pt>
                <c:pt idx="491">
                  <c:v>-69.724643358227397</c:v>
                </c:pt>
                <c:pt idx="492">
                  <c:v>-70.042806388159079</c:v>
                </c:pt>
                <c:pt idx="493">
                  <c:v>-70.35975842497362</c:v>
                </c:pt>
                <c:pt idx="494">
                  <c:v>-70.675540873292007</c:v>
                </c:pt>
                <c:pt idx="495">
                  <c:v>-70.990198290495357</c:v>
                </c:pt>
                <c:pt idx="496">
                  <c:v>-71.303778307725665</c:v>
                </c:pt>
                <c:pt idx="497">
                  <c:v>-71.616331537435002</c:v>
                </c:pt>
                <c:pt idx="498">
                  <c:v>-71.927911467788775</c:v>
                </c:pt>
                <c:pt idx="499">
                  <c:v>-72.238574344314529</c:v>
                </c:pt>
                <c:pt idx="500">
                  <c:v>-72.548379039271893</c:v>
                </c:pt>
                <c:pt idx="501">
                  <c:v>-72.857386909288238</c:v>
                </c:pt>
                <c:pt idx="502">
                  <c:v>-73.16566164188302</c:v>
                </c:pt>
                <c:pt idx="503">
                  <c:v>-73.473269091562202</c:v>
                </c:pt>
                <c:pt idx="504">
                  <c:v>-73.780277106224204</c:v>
                </c:pt>
                <c:pt idx="505">
                  <c:v>-74.086755344671943</c:v>
                </c:pt>
                <c:pt idx="506">
                  <c:v>-74.392775086068895</c:v>
                </c:pt>
                <c:pt idx="507">
                  <c:v>-74.698409032219587</c:v>
                </c:pt>
                <c:pt idx="508">
                  <c:v>-75.003731103587711</c:v>
                </c:pt>
                <c:pt idx="509">
                  <c:v>-75.30881622999371</c:v>
                </c:pt>
                <c:pt idx="510">
                  <c:v>-75.613740136957929</c:v>
                </c:pt>
                <c:pt idx="511">
                  <c:v>-75.918579128674097</c:v>
                </c:pt>
                <c:pt idx="512">
                  <c:v>-76.223409868611938</c:v>
                </c:pt>
                <c:pt idx="513">
                  <c:v>-76.528309158757551</c:v>
                </c:pt>
                <c:pt idx="514">
                  <c:v>-76.833353718505691</c:v>
                </c:pt>
                <c:pt idx="515">
                  <c:v>-77.138619964220084</c:v>
                </c:pt>
                <c:pt idx="516">
                  <c:v>-77.444183790476316</c:v>
                </c:pt>
                <c:pt idx="517">
                  <c:v>-77.750120353991704</c:v>
                </c:pt>
                <c:pt idx="518">
                  <c:v>-78.05650386124239</c:v>
                </c:pt>
                <c:pt idx="519">
                  <c:v>-78.363407360746422</c:v>
                </c:pt>
                <c:pt idx="520">
                  <c:v>-78.670902540973756</c:v>
                </c:pt>
                <c:pt idx="521">
                  <c:v>-78.979059534824273</c:v>
                </c:pt>
                <c:pt idx="522">
                  <c:v>-79.287946731576056</c:v>
                </c:pt>
                <c:pt idx="523">
                  <c:v>-79.59763059717956</c:v>
                </c:pt>
                <c:pt idx="524">
                  <c:v>-79.908175503726895</c:v>
                </c:pt>
                <c:pt idx="525">
                  <c:v>-80.219643568880358</c:v>
                </c:pt>
                <c:pt idx="526">
                  <c:v>-80.532094505989974</c:v>
                </c:pt>
                <c:pt idx="527">
                  <c:v>-80.845585485571831</c:v>
                </c:pt>
                <c:pt idx="528">
                  <c:v>-81.160171008752116</c:v>
                </c:pt>
                <c:pt idx="529">
                  <c:v>-81.475902793211091</c:v>
                </c:pt>
                <c:pt idx="530">
                  <c:v>-81.792829672081695</c:v>
                </c:pt>
                <c:pt idx="531">
                  <c:v>-82.110997506180112</c:v>
                </c:pt>
                <c:pt idx="532">
                  <c:v>-82.43044910985239</c:v>
                </c:pt>
                <c:pt idx="533">
                  <c:v>-82.751224190636037</c:v>
                </c:pt>
                <c:pt idx="534">
                  <c:v>-83.073359302839705</c:v>
                </c:pt>
                <c:pt idx="535">
                  <c:v>-83.396887815047847</c:v>
                </c:pt>
                <c:pt idx="536">
                  <c:v>-83.72183989146221</c:v>
                </c:pt>
                <c:pt idx="537">
                  <c:v>-84.048242486898715</c:v>
                </c:pt>
                <c:pt idx="538">
                  <c:v>-84.376119355159304</c:v>
                </c:pt>
                <c:pt idx="539">
                  <c:v>-84.705491070411085</c:v>
                </c:pt>
                <c:pt idx="540">
                  <c:v>-85.036375061115606</c:v>
                </c:pt>
                <c:pt idx="541">
                  <c:v>-85.368785655972346</c:v>
                </c:pt>
              </c:numCache>
            </c:numRef>
          </c:yVal>
          <c:smooth val="1"/>
          <c:extLst>
            <c:ext xmlns:c16="http://schemas.microsoft.com/office/drawing/2014/chart" uri="{C3380CC4-5D6E-409C-BE32-E72D297353CC}">
              <c16:uniqueId val="{00000000-1798-4659-8C8F-5766C9E652D3}"/>
            </c:ext>
          </c:extLst>
        </c:ser>
        <c:ser>
          <c:idx val="2"/>
          <c:order val="2"/>
          <c:tx>
            <c:v>f_LP</c:v>
          </c:tx>
          <c:spPr>
            <a:ln w="38100" cmpd="sng"/>
          </c:spPr>
          <c:marker>
            <c:symbol val="x"/>
            <c:size val="7"/>
            <c:spPr>
              <a:noFill/>
            </c:spPr>
          </c:marker>
          <c:dPt>
            <c:idx val="0"/>
            <c:marker>
              <c:spPr>
                <a:noFill/>
                <a:ln w="19050">
                  <a:solidFill>
                    <a:schemeClr val="tx1"/>
                  </a:solidFill>
                </a:ln>
              </c:spPr>
            </c:marker>
            <c:bubble3D val="0"/>
            <c:extLst>
              <c:ext xmlns:c16="http://schemas.microsoft.com/office/drawing/2014/chart" uri="{C3380CC4-5D6E-409C-BE32-E72D297353CC}">
                <c16:uniqueId val="{00000001-1798-4659-8C8F-5766C9E652D3}"/>
              </c:ext>
            </c:extLst>
          </c:dPt>
          <c:dLbls>
            <c:dLbl>
              <c:idx val="0"/>
              <c:tx>
                <c:rich>
                  <a:bodyPr/>
                  <a:lstStyle/>
                  <a:p>
                    <a:r>
                      <a:rPr lang="en-US" sz="1100" b="1"/>
                      <a:t>f</a:t>
                    </a:r>
                    <a:r>
                      <a:rPr lang="en-US" sz="1100" b="1" baseline="-25000"/>
                      <a:t>LP</a:t>
                    </a:r>
                    <a:endParaRPr lang="en-US" b="1" baseline="-25000"/>
                  </a:p>
                </c:rich>
              </c:tx>
              <c:dLblPos val="b"/>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798-4659-8C8F-5766C9E652D3}"/>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CCM_Loop_Modeling_non_isolated!$O$11</c:f>
              <c:numCache>
                <c:formatCode>0</c:formatCode>
                <c:ptCount val="1"/>
                <c:pt idx="0">
                  <c:v>6.9630287602704204</c:v>
                </c:pt>
              </c:numCache>
            </c:numRef>
          </c:xVal>
          <c:yVal>
            <c:numRef>
              <c:f>CCM_Loop_Modeling_non_isolated!$AT$11</c:f>
              <c:numCache>
                <c:formatCode>0.000</c:formatCode>
                <c:ptCount val="1"/>
                <c:pt idx="0">
                  <c:v>82.675523728226082</c:v>
                </c:pt>
              </c:numCache>
            </c:numRef>
          </c:yVal>
          <c:smooth val="0"/>
          <c:extLst>
            <c:ext xmlns:c16="http://schemas.microsoft.com/office/drawing/2014/chart" uri="{C3380CC4-5D6E-409C-BE32-E72D297353CC}">
              <c16:uniqueId val="{00000002-1798-4659-8C8F-5766C9E652D3}"/>
            </c:ext>
          </c:extLst>
        </c:ser>
        <c:ser>
          <c:idx val="3"/>
          <c:order val="3"/>
          <c:tx>
            <c:v>fz_rhp</c:v>
          </c:tx>
          <c:spPr>
            <a:ln>
              <a:solidFill>
                <a:schemeClr val="tx1"/>
              </a:solidFill>
            </a:ln>
          </c:spPr>
          <c:marker>
            <c:symbol val="circle"/>
            <c:size val="7"/>
            <c:spPr>
              <a:noFill/>
              <a:ln w="19050">
                <a:solidFill>
                  <a:schemeClr val="tx1"/>
                </a:solidFill>
              </a:ln>
            </c:spPr>
          </c:marker>
          <c:dLbls>
            <c:dLbl>
              <c:idx val="0"/>
              <c:layout>
                <c:manualLayout>
                  <c:x val="8.0501209561423519E-3"/>
                  <c:y val="-1.549366727850418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1798-4659-8C8F-5766C9E652D3}"/>
                </c:ext>
              </c:extLst>
            </c:dLbl>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CCM_Loop_Modeling_non_isolated!$O$9</c:f>
              <c:numCache>
                <c:formatCode>0</c:formatCode>
                <c:ptCount val="1"/>
                <c:pt idx="0">
                  <c:v>91673.24722093172</c:v>
                </c:pt>
              </c:numCache>
            </c:numRef>
          </c:xVal>
          <c:yVal>
            <c:numRef>
              <c:f>CCM_Loop_Modeling_non_isolated!$AT$9</c:f>
              <c:numCache>
                <c:formatCode>0.000</c:formatCode>
                <c:ptCount val="1"/>
                <c:pt idx="0">
                  <c:v>-35.159094950689024</c:v>
                </c:pt>
              </c:numCache>
            </c:numRef>
          </c:yVal>
          <c:smooth val="1"/>
          <c:extLst>
            <c:ext xmlns:c16="http://schemas.microsoft.com/office/drawing/2014/chart" uri="{C3380CC4-5D6E-409C-BE32-E72D297353CC}">
              <c16:uniqueId val="{00000004-1798-4659-8C8F-5766C9E652D3}"/>
            </c:ext>
          </c:extLst>
        </c:ser>
        <c:ser>
          <c:idx val="4"/>
          <c:order val="4"/>
          <c:tx>
            <c:v>f_esr</c:v>
          </c:tx>
          <c:spPr>
            <a:ln>
              <a:noFill/>
            </a:ln>
          </c:spPr>
          <c:marker>
            <c:symbol val="circle"/>
            <c:size val="5"/>
            <c:spPr>
              <a:noFill/>
              <a:ln w="19050">
                <a:solidFill>
                  <a:schemeClr val="tx1"/>
                </a:solidFill>
              </a:ln>
            </c:spPr>
          </c:marker>
          <c:dPt>
            <c:idx val="0"/>
            <c:marker>
              <c:symbol val="circle"/>
              <c:size val="7"/>
            </c:marker>
            <c:bubble3D val="0"/>
            <c:extLst>
              <c:ext xmlns:c16="http://schemas.microsoft.com/office/drawing/2014/chart" uri="{C3380CC4-5D6E-409C-BE32-E72D297353CC}">
                <c16:uniqueId val="{00000005-1798-4659-8C8F-5766C9E652D3}"/>
              </c:ext>
            </c:extLst>
          </c:dPt>
          <c:dLbls>
            <c:dLbl>
              <c:idx val="0"/>
              <c:layout>
                <c:manualLayout>
                  <c:x val="-5.990474489899654E-2"/>
                  <c:y val="-1.245719349008710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1798-4659-8C8F-5766C9E652D3}"/>
                </c:ext>
              </c:extLst>
            </c:dLbl>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CCM_Loop_Modeling_non_isolated!$O$10</c:f>
              <c:numCache>
                <c:formatCode>0</c:formatCode>
                <c:ptCount val="1"/>
                <c:pt idx="0">
                  <c:v>795774.71545947669</c:v>
                </c:pt>
              </c:numCache>
            </c:numRef>
          </c:xVal>
          <c:yVal>
            <c:numRef>
              <c:f>CCM_Loop_Modeling_non_isolated!$AT$10</c:f>
              <c:numCache>
                <c:formatCode>0.000</c:formatCode>
                <c:ptCount val="1"/>
                <c:pt idx="0">
                  <c:v>-69.109921690952447</c:v>
                </c:pt>
              </c:numCache>
            </c:numRef>
          </c:yVal>
          <c:smooth val="1"/>
          <c:extLst>
            <c:ext xmlns:c16="http://schemas.microsoft.com/office/drawing/2014/chart" uri="{C3380CC4-5D6E-409C-BE32-E72D297353CC}">
              <c16:uniqueId val="{00000006-1798-4659-8C8F-5766C9E652D3}"/>
            </c:ext>
          </c:extLst>
        </c:ser>
        <c:ser>
          <c:idx val="5"/>
          <c:order val="5"/>
          <c:tx>
            <c:v>fz_ea</c:v>
          </c:tx>
          <c:marker>
            <c:symbol val="circle"/>
            <c:size val="8"/>
            <c:spPr>
              <a:noFill/>
              <a:ln w="25400">
                <a:solidFill>
                  <a:srgbClr val="00B0F0"/>
                </a:solidFill>
              </a:ln>
            </c:spPr>
          </c:marker>
          <c:dLbls>
            <c:dLbl>
              <c:idx val="0"/>
              <c:spPr/>
              <c:txPr>
                <a:bodyPr/>
                <a:lstStyle/>
                <a:p>
                  <a:pPr>
                    <a:defRPr b="1"/>
                  </a:pPr>
                  <a:endParaRPr lang="fr-FR"/>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1798-4659-8C8F-5766C9E652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CCM_Loop_Modeling_non_isolated!$O$12</c:f>
              <c:numCache>
                <c:formatCode>General</c:formatCode>
                <c:ptCount val="1"/>
                <c:pt idx="0">
                  <c:v>140.4969483508963</c:v>
                </c:pt>
              </c:numCache>
            </c:numRef>
          </c:xVal>
          <c:yVal>
            <c:numRef>
              <c:f>CCM_Loop_Modeling_non_isolated!$AT$12</c:f>
              <c:numCache>
                <c:formatCode>0.000</c:formatCode>
                <c:ptCount val="1"/>
                <c:pt idx="0">
                  <c:v>36.479869018852057</c:v>
                </c:pt>
              </c:numCache>
            </c:numRef>
          </c:yVal>
          <c:smooth val="1"/>
          <c:extLst>
            <c:ext xmlns:c16="http://schemas.microsoft.com/office/drawing/2014/chart" uri="{C3380CC4-5D6E-409C-BE32-E72D297353CC}">
              <c16:uniqueId val="{00000008-1798-4659-8C8F-5766C9E652D3}"/>
            </c:ext>
          </c:extLst>
        </c:ser>
        <c:ser>
          <c:idx val="6"/>
          <c:order val="6"/>
          <c:tx>
            <c:v>fp_ea</c:v>
          </c:tx>
          <c:marker>
            <c:symbol val="x"/>
            <c:size val="7"/>
            <c:spPr>
              <a:noFill/>
              <a:ln w="25400">
                <a:solidFill>
                  <a:srgbClr val="00B0F0"/>
                </a:solidFill>
              </a:ln>
            </c:spPr>
          </c:marker>
          <c:dLbls>
            <c:dLbl>
              <c:idx val="0"/>
              <c:layout>
                <c:manualLayout>
                  <c:x val="-5.3995739911983948E-2"/>
                  <c:y val="3.371251000900660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1798-4659-8C8F-5766C9E652D3}"/>
                </c:ext>
              </c:extLst>
            </c:dLbl>
            <c:spPr>
              <a:noFill/>
              <a:ln>
                <a:noFill/>
              </a:ln>
              <a:effectLst/>
            </c:spPr>
            <c:txPr>
              <a:bodyPr/>
              <a:lstStyle/>
              <a:p>
                <a:pPr>
                  <a:defRPr b="1"/>
                </a:pPr>
                <a:endParaRPr lang="fr-FR"/>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CCM_Loop_Modeling_non_isolated!$O$13</c:f>
              <c:numCache>
                <c:formatCode>General</c:formatCode>
                <c:ptCount val="1"/>
                <c:pt idx="0">
                  <c:v>20576.416708481269</c:v>
                </c:pt>
              </c:numCache>
            </c:numRef>
          </c:xVal>
          <c:yVal>
            <c:numRef>
              <c:f>CCM_Loop_Modeling_non_isolated!$AT$13</c:f>
              <c:numCache>
                <c:formatCode>0.000</c:formatCode>
                <c:ptCount val="1"/>
                <c:pt idx="0">
                  <c:v>-12.771109243420952</c:v>
                </c:pt>
              </c:numCache>
            </c:numRef>
          </c:yVal>
          <c:smooth val="1"/>
          <c:extLst>
            <c:ext xmlns:c16="http://schemas.microsoft.com/office/drawing/2014/chart" uri="{C3380CC4-5D6E-409C-BE32-E72D297353CC}">
              <c16:uniqueId val="{0000000A-1798-4659-8C8F-5766C9E652D3}"/>
            </c:ext>
          </c:extLst>
        </c:ser>
        <c:dLbls>
          <c:showLegendKey val="0"/>
          <c:showVal val="0"/>
          <c:showCatName val="0"/>
          <c:showSerName val="0"/>
          <c:showPercent val="0"/>
          <c:showBubbleSize val="0"/>
        </c:dLbls>
        <c:axId val="589245056"/>
        <c:axId val="589259520"/>
      </c:scatterChart>
      <c:scatterChart>
        <c:scatterStyle val="smoothMarker"/>
        <c:varyColors val="0"/>
        <c:ser>
          <c:idx val="1"/>
          <c:order val="1"/>
          <c:tx>
            <c:v>Phase (deg)</c:v>
          </c:tx>
          <c:spPr>
            <a:ln w="28575">
              <a:solidFill>
                <a:schemeClr val="tx1">
                  <a:lumMod val="95000"/>
                  <a:lumOff val="5000"/>
                </a:schemeClr>
              </a:solidFill>
              <a:prstDash val="sysDash"/>
            </a:ln>
          </c:spPr>
          <c:marker>
            <c:symbol val="none"/>
          </c:marker>
          <c:xVal>
            <c:numRef>
              <c:f>CCM_Loop_Modeling_non_isolated!$O$19:$O$560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CCM_Loop_Modeling_non_isolated!$AU$19:$AU$560</c:f>
              <c:numCache>
                <c:formatCode>General</c:formatCode>
                <c:ptCount val="542"/>
                <c:pt idx="0">
                  <c:v>38.359528720799709</c:v>
                </c:pt>
                <c:pt idx="1">
                  <c:v>37.84431313040642</c:v>
                </c:pt>
                <c:pt idx="2">
                  <c:v>37.336719464540145</c:v>
                </c:pt>
                <c:pt idx="3">
                  <c:v>36.837017372180412</c:v>
                </c:pt>
                <c:pt idx="4">
                  <c:v>36.34546555402661</c:v>
                </c:pt>
                <c:pt idx="5">
                  <c:v>35.862311629420248</c:v>
                </c:pt>
                <c:pt idx="6">
                  <c:v>35.387792056128156</c:v>
                </c:pt>
                <c:pt idx="7">
                  <c:v>34.922132101022591</c:v>
                </c:pt>
                <c:pt idx="8">
                  <c:v>34.46554585938518</c:v>
                </c:pt>
                <c:pt idx="9">
                  <c:v>34.018236320296218</c:v>
                </c:pt>
                <c:pt idx="10">
                  <c:v>33.580395475352788</c:v>
                </c:pt>
                <c:pt idx="11">
                  <c:v>33.152204467768797</c:v>
                </c:pt>
                <c:pt idx="12">
                  <c:v>32.73383377879049</c:v>
                </c:pt>
                <c:pt idx="13">
                  <c:v>32.325443448243604</c:v>
                </c:pt>
                <c:pt idx="14">
                  <c:v>31.927183325983069</c:v>
                </c:pt>
                <c:pt idx="15">
                  <c:v>31.539193350984462</c:v>
                </c:pt>
                <c:pt idx="16">
                  <c:v>31.161603854830631</c:v>
                </c:pt>
                <c:pt idx="17">
                  <c:v>30.79453588637417</c:v>
                </c:pt>
                <c:pt idx="18">
                  <c:v>30.438101554433402</c:v>
                </c:pt>
                <c:pt idx="19">
                  <c:v>30.092404385454369</c:v>
                </c:pt>
                <c:pt idx="20">
                  <c:v>29.757539693181712</c:v>
                </c:pt>
                <c:pt idx="21">
                  <c:v>29.43359495750521</c:v>
                </c:pt>
                <c:pt idx="22">
                  <c:v>29.120650209777086</c:v>
                </c:pt>
                <c:pt idx="23">
                  <c:v>28.818778422045188</c:v>
                </c:pt>
                <c:pt idx="24">
                  <c:v>28.52804589780127</c:v>
                </c:pt>
                <c:pt idx="25">
                  <c:v>28.248512661985856</c:v>
                </c:pt>
                <c:pt idx="26">
                  <c:v>27.980232848171738</c:v>
                </c:pt>
                <c:pt idx="27">
                  <c:v>27.723255080985137</c:v>
                </c:pt>
                <c:pt idx="28">
                  <c:v>27.477622851996507</c:v>
                </c:pt>
                <c:pt idx="29">
                  <c:v>27.24337488745428</c:v>
                </c:pt>
                <c:pt idx="30">
                  <c:v>27.020545506394999</c:v>
                </c:pt>
                <c:pt idx="31">
                  <c:v>26.809164967793642</c:v>
                </c:pt>
                <c:pt idx="32">
                  <c:v>26.609259805565632</c:v>
                </c:pt>
                <c:pt idx="33">
                  <c:v>26.42085315035105</c:v>
                </c:pt>
                <c:pt idx="34">
                  <c:v>26.243965037138061</c:v>
                </c:pt>
                <c:pt idx="35">
                  <c:v>26.078612697889579</c:v>
                </c:pt>
                <c:pt idx="36">
                  <c:v>25.924810838446227</c:v>
                </c:pt>
                <c:pt idx="37">
                  <c:v>25.782571899066177</c:v>
                </c:pt>
                <c:pt idx="38">
                  <c:v>25.651906298055259</c:v>
                </c:pt>
                <c:pt idx="39">
                  <c:v>25.532822658014886</c:v>
                </c:pt>
                <c:pt idx="40">
                  <c:v>25.425328014303926</c:v>
                </c:pt>
                <c:pt idx="41">
                  <c:v>25.329428005379867</c:v>
                </c:pt>
                <c:pt idx="42">
                  <c:v>25.245127044727617</c:v>
                </c:pt>
                <c:pt idx="43">
                  <c:v>25.172428474145367</c:v>
                </c:pt>
                <c:pt idx="44">
                  <c:v>25.111334698190138</c:v>
                </c:pt>
                <c:pt idx="45">
                  <c:v>25.061847299626173</c:v>
                </c:pt>
                <c:pt idx="46">
                  <c:v>25.023967135749736</c:v>
                </c:pt>
                <c:pt idx="47">
                  <c:v>24.997694415490535</c:v>
                </c:pt>
                <c:pt idx="48">
                  <c:v>24.983028757218953</c:v>
                </c:pt>
                <c:pt idx="49">
                  <c:v>24.97996922720116</c:v>
                </c:pt>
                <c:pt idx="50">
                  <c:v>24.988514358668198</c:v>
                </c:pt>
                <c:pt idx="51">
                  <c:v>25.008662151483925</c:v>
                </c:pt>
                <c:pt idx="52">
                  <c:v>25.040410052408159</c:v>
                </c:pt>
                <c:pt idx="53">
                  <c:v>25.083754915972801</c:v>
                </c:pt>
                <c:pt idx="54">
                  <c:v>25.138692946002248</c:v>
                </c:pt>
                <c:pt idx="55">
                  <c:v>25.205219617832608</c:v>
                </c:pt>
                <c:pt idx="56">
                  <c:v>25.283329581300048</c:v>
                </c:pt>
                <c:pt idx="57">
                  <c:v>25.373016544596418</c:v>
                </c:pt>
                <c:pt idx="58">
                  <c:v>25.474273139115237</c:v>
                </c:pt>
                <c:pt idx="59">
                  <c:v>25.587090765444188</c:v>
                </c:pt>
                <c:pt idx="60">
                  <c:v>25.71145942069495</c:v>
                </c:pt>
                <c:pt idx="61">
                  <c:v>25.847367507404307</c:v>
                </c:pt>
                <c:pt idx="62">
                  <c:v>25.994801624288261</c:v>
                </c:pt>
                <c:pt idx="63">
                  <c:v>26.153746339184988</c:v>
                </c:pt>
                <c:pt idx="64">
                  <c:v>26.32418394458502</c:v>
                </c:pt>
                <c:pt idx="65">
                  <c:v>26.506094196215091</c:v>
                </c:pt>
                <c:pt idx="66">
                  <c:v>26.69945403522193</c:v>
                </c:pt>
                <c:pt idx="67">
                  <c:v>26.90423729458465</c:v>
                </c:pt>
                <c:pt idx="68">
                  <c:v>27.120414390482289</c:v>
                </c:pt>
                <c:pt idx="69">
                  <c:v>27.34795199944346</c:v>
                </c:pt>
                <c:pt idx="70">
                  <c:v>27.586812722217111</c:v>
                </c:pt>
                <c:pt idx="71">
                  <c:v>27.836954735422761</c:v>
                </c:pt>
                <c:pt idx="72">
                  <c:v>28.098331432169825</c:v>
                </c:pt>
                <c:pt idx="73">
                  <c:v>28.370891052964527</c:v>
                </c:pt>
                <c:pt idx="74">
                  <c:v>28.654576308372391</c:v>
                </c:pt>
                <c:pt idx="75">
                  <c:v>28.949323995048314</c:v>
                </c:pt>
                <c:pt idx="76">
                  <c:v>29.255064606901133</c:v>
                </c:pt>
                <c:pt idx="77">
                  <c:v>29.571721943313676</c:v>
                </c:pt>
                <c:pt idx="78">
                  <c:v>29.899212716504735</c:v>
                </c:pt>
                <c:pt idx="79">
                  <c:v>30.237446160265744</c:v>
                </c:pt>
                <c:pt idx="80">
                  <c:v>30.586323642476316</c:v>
                </c:pt>
                <c:pt idx="81">
                  <c:v>30.9457382839433</c:v>
                </c:pt>
                <c:pt idx="82">
                  <c:v>31.315574586254829</c:v>
                </c:pt>
                <c:pt idx="83">
                  <c:v>31.695708071485086</c:v>
                </c:pt>
                <c:pt idx="84">
                  <c:v>32.086004936692945</c:v>
                </c:pt>
                <c:pt idx="85">
                  <c:v>32.486321726278085</c:v>
                </c:pt>
                <c:pt idx="86">
                  <c:v>32.896505025335848</c:v>
                </c:pt>
                <c:pt idx="87">
                  <c:v>33.31639117722257</c:v>
                </c:pt>
                <c:pt idx="88">
                  <c:v>33.745806028575295</c:v>
                </c:pt>
                <c:pt idx="89">
                  <c:v>34.184564705051947</c:v>
                </c:pt>
                <c:pt idx="90">
                  <c:v>34.632471421014287</c:v>
                </c:pt>
                <c:pt idx="91">
                  <c:v>35.089319326342867</c:v>
                </c:pt>
                <c:pt idx="92">
                  <c:v>35.554890393458123</c:v>
                </c:pt>
                <c:pt idx="93">
                  <c:v>36.028955347492726</c:v>
                </c:pt>
                <c:pt idx="94">
                  <c:v>36.51127364238971</c:v>
                </c:pt>
                <c:pt idx="95">
                  <c:v>37.001593485464973</c:v>
                </c:pt>
                <c:pt idx="96">
                  <c:v>37.499651912725966</c:v>
                </c:pt>
                <c:pt idx="97">
                  <c:v>38.005174916923472</c:v>
                </c:pt>
                <c:pt idx="98">
                  <c:v>38.517877629963337</c:v>
                </c:pt>
                <c:pt idx="99">
                  <c:v>39.037464560926217</c:v>
                </c:pt>
                <c:pt idx="100">
                  <c:v>39.563629890509553</c:v>
                </c:pt>
                <c:pt idx="101">
                  <c:v>40.096057822254998</c:v>
                </c:pt>
                <c:pt idx="102">
                  <c:v>40.634422990436732</c:v>
                </c:pt>
                <c:pt idx="103">
                  <c:v>41.178390923977446</c:v>
                </c:pt>
                <c:pt idx="104">
                  <c:v>41.727618565233151</c:v>
                </c:pt>
                <c:pt idx="105">
                  <c:v>42.281754841958609</c:v>
                </c:pt>
                <c:pt idx="106">
                  <c:v>42.840441290224597</c:v>
                </c:pt>
                <c:pt idx="107">
                  <c:v>43.403312725531705</c:v>
                </c:pt>
                <c:pt idx="108">
                  <c:v>43.969997958850151</c:v>
                </c:pt>
                <c:pt idx="109">
                  <c:v>44.540120553827677</c:v>
                </c:pt>
                <c:pt idx="110">
                  <c:v>45.113299620941781</c:v>
                </c:pt>
                <c:pt idx="111">
                  <c:v>45.689150643958918</c:v>
                </c:pt>
                <c:pt idx="112">
                  <c:v>46.2672863336864</c:v>
                </c:pt>
                <c:pt idx="113">
                  <c:v>46.847317503687144</c:v>
                </c:pt>
                <c:pt idx="114">
                  <c:v>47.428853962362531</c:v>
                </c:pt>
                <c:pt idx="115">
                  <c:v>48.011505415623141</c:v>
                </c:pt>
                <c:pt idx="116">
                  <c:v>48.594882374228639</c:v>
                </c:pt>
                <c:pt idx="117">
                  <c:v>49.178597059833628</c:v>
                </c:pt>
                <c:pt idx="118">
                  <c:v>49.762264303784896</c:v>
                </c:pt>
                <c:pt idx="119">
                  <c:v>50.345502432806079</c:v>
                </c:pt>
                <c:pt idx="120">
                  <c:v>50.927934135858045</c:v>
                </c:pt>
                <c:pt idx="121">
                  <c:v>51.50918730669661</c:v>
                </c:pt>
                <c:pt idx="122">
                  <c:v>52.088895856923152</c:v>
                </c:pt>
                <c:pt idx="123">
                  <c:v>52.666700494671289</c:v>
                </c:pt>
                <c:pt idx="124">
                  <c:v>53.24224946447638</c:v>
                </c:pt>
                <c:pt idx="125">
                  <c:v>53.815199244288905</c:v>
                </c:pt>
                <c:pt idx="126">
                  <c:v>54.385215196094563</c:v>
                </c:pt>
                <c:pt idx="127">
                  <c:v>54.951972167076804</c:v>
                </c:pt>
                <c:pt idx="128">
                  <c:v>55.515155038797353</c:v>
                </c:pt>
                <c:pt idx="129">
                  <c:v>56.074459222393038</c:v>
                </c:pt>
                <c:pt idx="130">
                  <c:v>56.629591098318123</c:v>
                </c:pt>
                <c:pt idx="131">
                  <c:v>57.180268399695251</c:v>
                </c:pt>
                <c:pt idx="132">
                  <c:v>57.726220538847436</c:v>
                </c:pt>
                <c:pt idx="133">
                  <c:v>58.267188877082468</c:v>
                </c:pt>
                <c:pt idx="134">
                  <c:v>58.80292693827348</c:v>
                </c:pt>
                <c:pt idx="135">
                  <c:v>59.33320056720823</c:v>
                </c:pt>
                <c:pt idx="136">
                  <c:v>59.857788034101219</c:v>
                </c:pt>
                <c:pt idx="137">
                  <c:v>60.376480087008382</c:v>
                </c:pt>
                <c:pt idx="138">
                  <c:v>60.889079954228237</c:v>
                </c:pt>
                <c:pt idx="139">
                  <c:v>61.395403299040687</c:v>
                </c:pt>
                <c:pt idx="140">
                  <c:v>61.895278129383598</c:v>
                </c:pt>
                <c:pt idx="141">
                  <c:v>62.388544665257072</c:v>
                </c:pt>
                <c:pt idx="142">
                  <c:v>62.875055166802746</c:v>
                </c:pt>
                <c:pt idx="143">
                  <c:v>63.354673726110988</c:v>
                </c:pt>
                <c:pt idx="144">
                  <c:v>63.827276025892083</c:v>
                </c:pt>
                <c:pt idx="145">
                  <c:v>64.292749068172753</c:v>
                </c:pt>
                <c:pt idx="146">
                  <c:v>64.750990876184616</c:v>
                </c:pt>
                <c:pt idx="147">
                  <c:v>65.201910172587745</c:v>
                </c:pt>
                <c:pt idx="148">
                  <c:v>65.645426037100705</c:v>
                </c:pt>
                <c:pt idx="149">
                  <c:v>66.081467546544459</c:v>
                </c:pt>
                <c:pt idx="150">
                  <c:v>66.50997340018786</c:v>
                </c:pt>
                <c:pt idx="151">
                  <c:v>66.930891533170779</c:v>
                </c:pt>
                <c:pt idx="152">
                  <c:v>67.344178720640116</c:v>
                </c:pt>
                <c:pt idx="153">
                  <c:v>67.749800175089646</c:v>
                </c:pt>
                <c:pt idx="154">
                  <c:v>68.14772913923079</c:v>
                </c:pt>
                <c:pt idx="155">
                  <c:v>68.537946476569203</c:v>
                </c:pt>
                <c:pt idx="156">
                  <c:v>68.920440261682359</c:v>
                </c:pt>
                <c:pt idx="157">
                  <c:v>69.295205372036023</c:v>
                </c:pt>
                <c:pt idx="158">
                  <c:v>69.662243083006317</c:v>
                </c:pt>
                <c:pt idx="159">
                  <c:v>70.021560667603751</c:v>
                </c:pt>
                <c:pt idx="160">
                  <c:v>70.37317100224557</c:v>
                </c:pt>
                <c:pt idx="161">
                  <c:v>70.717092179751759</c:v>
                </c:pt>
                <c:pt idx="162">
                  <c:v>71.05334713060607</c:v>
                </c:pt>
                <c:pt idx="163">
                  <c:v>71.381963253363722</c:v>
                </c:pt>
                <c:pt idx="164">
                  <c:v>71.702972054968981</c:v>
                </c:pt>
                <c:pt idx="165">
                  <c:v>72.016408801601216</c:v>
                </c:pt>
                <c:pt idx="166">
                  <c:v>72.322312180563884</c:v>
                </c:pt>
                <c:pt idx="167">
                  <c:v>72.620723973611646</c:v>
                </c:pt>
                <c:pt idx="168">
                  <c:v>72.911688742010455</c:v>
                </c:pt>
                <c:pt idx="169">
                  <c:v>73.195253523536593</c:v>
                </c:pt>
                <c:pt idx="170">
                  <c:v>73.471467541529975</c:v>
                </c:pt>
                <c:pt idx="171">
                  <c:v>73.740381926044719</c:v>
                </c:pt>
                <c:pt idx="172">
                  <c:v>74.002049447069339</c:v>
                </c:pt>
                <c:pt idx="173">
                  <c:v>74.25652425972855</c:v>
                </c:pt>
                <c:pt idx="174">
                  <c:v>74.503861661323867</c:v>
                </c:pt>
                <c:pt idx="175">
                  <c:v>74.744117860025824</c:v>
                </c:pt>
                <c:pt idx="176">
                  <c:v>74.977349754984786</c:v>
                </c:pt>
                <c:pt idx="177">
                  <c:v>75.203614727597454</c:v>
                </c:pt>
                <c:pt idx="178">
                  <c:v>75.422970443634711</c:v>
                </c:pt>
                <c:pt idx="179">
                  <c:v>75.635474665910635</c:v>
                </c:pt>
                <c:pt idx="180">
                  <c:v>75.841185077156155</c:v>
                </c:pt>
                <c:pt idx="181">
                  <c:v>76.04015911274287</c:v>
                </c:pt>
                <c:pt idx="182">
                  <c:v>76.232453802891399</c:v>
                </c:pt>
                <c:pt idx="183">
                  <c:v>76.418125623990306</c:v>
                </c:pt>
                <c:pt idx="184">
                  <c:v>76.59723035864836</c:v>
                </c:pt>
                <c:pt idx="185">
                  <c:v>76.769822964097429</c:v>
                </c:pt>
                <c:pt idx="186">
                  <c:v>76.935957448565787</c:v>
                </c:pt>
                <c:pt idx="187">
                  <c:v>77.09568675524325</c:v>
                </c:pt>
                <c:pt idx="188">
                  <c:v>77.249062653462474</c:v>
                </c:pt>
                <c:pt idx="189">
                  <c:v>77.396135636729056</c:v>
                </c:pt>
                <c:pt idx="190">
                  <c:v>77.536954827236073</c:v>
                </c:pt>
                <c:pt idx="191">
                  <c:v>77.671567886512136</c:v>
                </c:pt>
                <c:pt idx="192">
                  <c:v>77.800020931855784</c:v>
                </c:pt>
                <c:pt idx="193">
                  <c:v>77.922358458222533</c:v>
                </c:pt>
                <c:pt idx="194">
                  <c:v>78.038623265242961</c:v>
                </c:pt>
                <c:pt idx="195">
                  <c:v>78.148856389053805</c:v>
                </c:pt>
                <c:pt idx="196">
                  <c:v>78.253097038647084</c:v>
                </c:pt>
                <c:pt idx="197">
                  <c:v>78.351382536442046</c:v>
                </c:pt>
                <c:pt idx="198">
                  <c:v>78.443748262807119</c:v>
                </c:pt>
                <c:pt idx="199">
                  <c:v>78.53022760426272</c:v>
                </c:pt>
                <c:pt idx="200">
                  <c:v>78.610851905114643</c:v>
                </c:pt>
                <c:pt idx="201">
                  <c:v>78.685650422274648</c:v>
                </c:pt>
                <c:pt idx="202">
                  <c:v>78.754650283039794</c:v>
                </c:pt>
                <c:pt idx="203">
                  <c:v>78.817876445612967</c:v>
                </c:pt>
                <c:pt idx="204">
                  <c:v>78.875351662159161</c:v>
                </c:pt>
                <c:pt idx="205">
                  <c:v>78.927096444202519</c:v>
                </c:pt>
                <c:pt idx="206">
                  <c:v>78.973129030181155</c:v>
                </c:pt>
                <c:pt idx="207">
                  <c:v>79.013465354989094</c:v>
                </c:pt>
                <c:pt idx="208">
                  <c:v>79.048119021341563</c:v>
                </c:pt>
                <c:pt idx="209">
                  <c:v>79.077101272815042</c:v>
                </c:pt>
                <c:pt idx="210">
                  <c:v>79.100420968420778</c:v>
                </c:pt>
                <c:pt idx="211">
                  <c:v>79.118084558581856</c:v>
                </c:pt>
                <c:pt idx="212">
                  <c:v>79.130096062391644</c:v>
                </c:pt>
                <c:pt idx="213">
                  <c:v>79.136457046044669</c:v>
                </c:pt>
                <c:pt idx="214">
                  <c:v>79.137166602336649</c:v>
                </c:pt>
                <c:pt idx="215">
                  <c:v>79.132221331141437</c:v>
                </c:pt>
                <c:pt idx="216">
                  <c:v>79.121615320780862</c:v>
                </c:pt>
                <c:pt idx="217">
                  <c:v>79.105340130212795</c:v>
                </c:pt>
                <c:pt idx="218">
                  <c:v>79.083384771970373</c:v>
                </c:pt>
                <c:pt idx="219">
                  <c:v>79.05573569579424</c:v>
                </c:pt>
                <c:pt idx="220">
                  <c:v>79.022376772908331</c:v>
                </c:pt>
                <c:pt idx="221">
                  <c:v>78.983289280896273</c:v>
                </c:pt>
                <c:pt idx="222">
                  <c:v>78.938451889146435</c:v>
                </c:pt>
                <c:pt idx="223">
                  <c:v>78.887840644837013</c:v>
                </c:pt>
                <c:pt idx="224">
                  <c:v>78.831428959446384</c:v>
                </c:pt>
                <c:pt idx="225">
                  <c:v>78.769187595775776</c:v>
                </c:pt>
                <c:pt idx="226">
                  <c:v>78.701084655484152</c:v>
                </c:pt>
                <c:pt idx="227">
                  <c:v>78.627085567139702</c:v>
                </c:pt>
                <c:pt idx="228">
                  <c:v>78.547153074801969</c:v>
                </c:pt>
                <c:pt idx="229">
                  <c:v>78.461247227156022</c:v>
                </c:pt>
                <c:pt idx="230">
                  <c:v>78.369325367228583</c:v>
                </c:pt>
                <c:pt idx="231">
                  <c:v>78.271342122723283</c:v>
                </c:pt>
                <c:pt idx="232">
                  <c:v>78.16724939702145</c:v>
                </c:pt>
                <c:pt idx="233">
                  <c:v>78.056996360902602</c:v>
                </c:pt>
                <c:pt idx="234">
                  <c:v>77.940529445047559</c:v>
                </c:pt>
                <c:pt idx="235">
                  <c:v>77.817792333396284</c:v>
                </c:pt>
                <c:pt idx="236">
                  <c:v>77.688725957440624</c:v>
                </c:pt>
                <c:pt idx="237">
                  <c:v>77.553268491541573</c:v>
                </c:pt>
                <c:pt idx="238">
                  <c:v>77.411355349371021</c:v>
                </c:pt>
                <c:pt idx="239">
                  <c:v>77.262919181585602</c:v>
                </c:pt>
                <c:pt idx="240">
                  <c:v>77.107889874852717</c:v>
                </c:pt>
                <c:pt idx="241">
                  <c:v>76.946194552355479</c:v>
                </c:pt>
                <c:pt idx="242">
                  <c:v>76.777757575918059</c:v>
                </c:pt>
                <c:pt idx="243">
                  <c:v>76.602500549899318</c:v>
                </c:pt>
                <c:pt idx="244">
                  <c:v>76.420342327015746</c:v>
                </c:pt>
                <c:pt idx="245">
                  <c:v>76.231199016266814</c:v>
                </c:pt>
                <c:pt idx="246">
                  <c:v>76.034983993144351</c:v>
                </c:pt>
                <c:pt idx="247">
                  <c:v>75.831607912322141</c:v>
                </c:pt>
                <c:pt idx="248">
                  <c:v>75.620978723031911</c:v>
                </c:pt>
                <c:pt idx="249">
                  <c:v>75.403001687344741</c:v>
                </c:pt>
                <c:pt idx="250">
                  <c:v>75.177579401589085</c:v>
                </c:pt>
                <c:pt idx="251">
                  <c:v>74.94461182114992</c:v>
                </c:pt>
                <c:pt idx="252">
                  <c:v>74.703996288903028</c:v>
                </c:pt>
                <c:pt idx="253">
                  <c:v>74.45562756755416</c:v>
                </c:pt>
                <c:pt idx="254">
                  <c:v>74.199397876164412</c:v>
                </c:pt>
                <c:pt idx="255">
                  <c:v>73.935196931153143</c:v>
                </c:pt>
                <c:pt idx="256">
                  <c:v>73.662911992085526</c:v>
                </c:pt>
                <c:pt idx="257">
                  <c:v>73.382427912559905</c:v>
                </c:pt>
                <c:pt idx="258">
                  <c:v>73.093627196525162</c:v>
                </c:pt>
                <c:pt idx="259">
                  <c:v>72.796390060363905</c:v>
                </c:pt>
                <c:pt idx="260">
                  <c:v>72.49059450109317</c:v>
                </c:pt>
                <c:pt idx="261">
                  <c:v>72.176116371039498</c:v>
                </c:pt>
                <c:pt idx="262">
                  <c:v>71.8528294593536</c:v>
                </c:pt>
                <c:pt idx="263">
                  <c:v>71.520605580737566</c:v>
                </c:pt>
                <c:pt idx="264">
                  <c:v>71.179314671762484</c:v>
                </c:pt>
                <c:pt idx="265">
                  <c:v>70.828824895158462</c:v>
                </c:pt>
                <c:pt idx="266">
                  <c:v>70.469002752457087</c:v>
                </c:pt>
                <c:pt idx="267">
                  <c:v>70.099713205371202</c:v>
                </c:pt>
                <c:pt idx="268">
                  <c:v>69.720819806287324</c:v>
                </c:pt>
                <c:pt idx="269">
                  <c:v>69.332184838244373</c:v>
                </c:pt>
                <c:pt idx="270">
                  <c:v>68.933669464759078</c:v>
                </c:pt>
                <c:pt idx="271">
                  <c:v>68.525133889847964</c:v>
                </c:pt>
                <c:pt idx="272">
                  <c:v>68.106437528575015</c:v>
                </c:pt>
                <c:pt idx="273">
                  <c:v>67.677439188435869</c:v>
                </c:pt>
                <c:pt idx="274">
                  <c:v>67.237997261859462</c:v>
                </c:pt>
                <c:pt idx="275">
                  <c:v>66.787969930076486</c:v>
                </c:pt>
                <c:pt idx="276">
                  <c:v>66.327215378569548</c:v>
                </c:pt>
                <c:pt idx="277">
                  <c:v>65.855592024268432</c:v>
                </c:pt>
                <c:pt idx="278">
                  <c:v>65.372958754614118</c:v>
                </c:pt>
                <c:pt idx="279">
                  <c:v>64.879175178545296</c:v>
                </c:pt>
                <c:pt idx="280">
                  <c:v>64.374101889407612</c:v>
                </c:pt>
                <c:pt idx="281">
                  <c:v>63.857600739706157</c:v>
                </c:pt>
                <c:pt idx="282">
                  <c:v>63.329535127543068</c:v>
                </c:pt>
                <c:pt idx="283">
                  <c:v>62.789770294496307</c:v>
                </c:pt>
                <c:pt idx="284">
                  <c:v>62.238173634594141</c:v>
                </c:pt>
                <c:pt idx="285">
                  <c:v>61.67461501393943</c:v>
                </c:pt>
                <c:pt idx="286">
                  <c:v>61.098967100420204</c:v>
                </c:pt>
                <c:pt idx="287">
                  <c:v>60.511105702823791</c:v>
                </c:pt>
                <c:pt idx="288">
                  <c:v>59.910910118542532</c:v>
                </c:pt>
                <c:pt idx="289">
                  <c:v>59.298263488919943</c:v>
                </c:pt>
                <c:pt idx="290">
                  <c:v>58.673053161143677</c:v>
                </c:pt>
                <c:pt idx="291">
                  <c:v>58.035171055446384</c:v>
                </c:pt>
                <c:pt idx="292">
                  <c:v>57.384514036212565</c:v>
                </c:pt>
                <c:pt idx="293">
                  <c:v>56.720984285438206</c:v>
                </c:pt>
                <c:pt idx="294">
                  <c:v>56.044489676832072</c:v>
                </c:pt>
                <c:pt idx="295">
                  <c:v>55.354944148677845</c:v>
                </c:pt>
                <c:pt idx="296">
                  <c:v>54.652268073428893</c:v>
                </c:pt>
                <c:pt idx="297">
                  <c:v>53.936388621846405</c:v>
                </c:pt>
                <c:pt idx="298">
                  <c:v>53.207240119340121</c:v>
                </c:pt>
                <c:pt idx="299">
                  <c:v>52.464764392047002</c:v>
                </c:pt>
                <c:pt idx="300">
                  <c:v>51.708911100033049</c:v>
                </c:pt>
                <c:pt idx="301">
                  <c:v>50.939638054913274</c:v>
                </c:pt>
                <c:pt idx="302">
                  <c:v>50.156911519077333</c:v>
                </c:pt>
                <c:pt idx="303">
                  <c:v>49.360706483641735</c:v>
                </c:pt>
                <c:pt idx="304">
                  <c:v>48.551006922200571</c:v>
                </c:pt>
                <c:pt idx="305">
                  <c:v>47.727806017429359</c:v>
                </c:pt>
                <c:pt idx="306">
                  <c:v>46.891106357605338</c:v>
                </c:pt>
                <c:pt idx="307">
                  <c:v>46.04092010016273</c:v>
                </c:pt>
                <c:pt idx="308">
                  <c:v>45.177269099474245</c:v>
                </c:pt>
                <c:pt idx="309">
                  <c:v>44.300184996185067</c:v>
                </c:pt>
                <c:pt idx="310">
                  <c:v>43.409709265583423</c:v>
                </c:pt>
                <c:pt idx="311">
                  <c:v>42.505893222708863</c:v>
                </c:pt>
                <c:pt idx="312">
                  <c:v>41.588797982141173</c:v>
                </c:pt>
                <c:pt idx="313">
                  <c:v>40.658494370719588</c:v>
                </c:pt>
                <c:pt idx="314">
                  <c:v>39.715062791780518</c:v>
                </c:pt>
                <c:pt idx="315">
                  <c:v>38.758593039876075</c:v>
                </c:pt>
                <c:pt idx="316">
                  <c:v>37.789184065366825</c:v>
                </c:pt>
                <c:pt idx="317">
                  <c:v>36.806943688732289</c:v>
                </c:pt>
                <c:pt idx="318">
                  <c:v>35.811988264935067</c:v>
                </c:pt>
                <c:pt idx="319">
                  <c:v>34.804442298687675</c:v>
                </c:pt>
                <c:pt idx="320">
                  <c:v>33.784438012004181</c:v>
                </c:pt>
                <c:pt idx="321">
                  <c:v>32.752114865974697</c:v>
                </c:pt>
                <c:pt idx="322">
                  <c:v>31.707619039246957</c:v>
                </c:pt>
                <c:pt idx="323">
                  <c:v>30.651102866258451</c:v>
                </c:pt>
                <c:pt idx="324">
                  <c:v>29.582724238799599</c:v>
                </c:pt>
                <c:pt idx="325">
                  <c:v>28.502645975022631</c:v>
                </c:pt>
                <c:pt idx="326">
                  <c:v>27.411035160493075</c:v>
                </c:pt>
                <c:pt idx="327">
                  <c:v>26.30806246634619</c:v>
                </c:pt>
                <c:pt idx="328">
                  <c:v>25.193901450041825</c:v>
                </c:pt>
                <c:pt idx="329">
                  <c:v>24.068727844535189</c:v>
                </c:pt>
                <c:pt idx="330">
                  <c:v>22.93271884204599</c:v>
                </c:pt>
                <c:pt idx="331">
                  <c:v>21.786052378787822</c:v>
                </c:pt>
                <c:pt idx="332">
                  <c:v>20.628906427237702</c:v>
                </c:pt>
                <c:pt idx="333">
                  <c:v>19.461458302602828</c:v>
                </c:pt>
                <c:pt idx="334">
                  <c:v>18.283883990172523</c:v>
                </c:pt>
                <c:pt idx="335">
                  <c:v>17.096357500186762</c:v>
                </c:pt>
                <c:pt idx="336">
                  <c:v>15.899050256742294</c:v>
                </c:pt>
                <c:pt idx="337">
                  <c:v>14.692130527021071</c:v>
                </c:pt>
                <c:pt idx="338">
                  <c:v>13.47576289689647</c:v>
                </c:pt>
                <c:pt idx="339">
                  <c:v>12.250107798598087</c:v>
                </c:pt>
                <c:pt idx="340">
                  <c:v>11.015321095731876</c:v>
                </c:pt>
                <c:pt idx="341">
                  <c:v>9.7715537304897904</c:v>
                </c:pt>
                <c:pt idx="342">
                  <c:v>8.5189514373727739</c:v>
                </c:pt>
                <c:pt idx="343">
                  <c:v>7.257654527210236</c:v>
                </c:pt>
                <c:pt idx="344">
                  <c:v>5.987797744662914</c:v>
                </c:pt>
                <c:pt idx="345">
                  <c:v>4.7095102017950934</c:v>
                </c:pt>
                <c:pt idx="346">
                  <c:v>3.4229153896634021</c:v>
                </c:pt>
                <c:pt idx="347">
                  <c:v>2.12813126924042</c:v>
                </c:pt>
                <c:pt idx="348">
                  <c:v>0.82527044231949664</c:v>
                </c:pt>
                <c:pt idx="349">
                  <c:v>-0.48555959757320666</c:v>
                </c:pt>
                <c:pt idx="350">
                  <c:v>-1.8042561348828765</c:v>
                </c:pt>
                <c:pt idx="351">
                  <c:v>-3.1307208236032622</c:v>
                </c:pt>
                <c:pt idx="352">
                  <c:v>-4.4648592025748179</c:v>
                </c:pt>
                <c:pt idx="353">
                  <c:v>-5.8065801369513919</c:v>
                </c:pt>
                <c:pt idx="354">
                  <c:v>-7.1557951888480265</c:v>
                </c:pt>
                <c:pt idx="355">
                  <c:v>-8.5124179206970947</c:v>
                </c:pt>
                <c:pt idx="356">
                  <c:v>-9.8763631353787957</c:v>
                </c:pt>
                <c:pt idx="357">
                  <c:v>-11.247546057642632</c:v>
                </c:pt>
                <c:pt idx="358">
                  <c:v>-12.625881461793739</c:v>
                </c:pt>
                <c:pt idx="359">
                  <c:v>-14.011282751038804</c:v>
                </c:pt>
                <c:pt idx="360">
                  <c:v>-15.403660994260177</c:v>
                </c:pt>
                <c:pt idx="361">
                  <c:v>-16.802923926345038</c:v>
                </c:pt>
                <c:pt idx="362">
                  <c:v>-18.208974918518891</c:v>
                </c:pt>
                <c:pt idx="363">
                  <c:v>-19.6217119254237</c:v>
                </c:pt>
                <c:pt idx="364">
                  <c:v>-21.041026415932194</c:v>
                </c:pt>
                <c:pt idx="365">
                  <c:v>-22.46680229492333</c:v>
                </c:pt>
                <c:pt idx="366">
                  <c:v>-23.898914823441348</c:v>
                </c:pt>
                <c:pt idx="367">
                  <c:v>-25.337229544798632</c:v>
                </c:pt>
                <c:pt idx="368">
                  <c:v>-26.781601224334377</c:v>
                </c:pt>
                <c:pt idx="369">
                  <c:v>-28.231872810603829</c:v>
                </c:pt>
                <c:pt idx="370">
                  <c:v>-29.687874425822013</c:v>
                </c:pt>
                <c:pt idx="371">
                  <c:v>-31.149422393399846</c:v>
                </c:pt>
                <c:pt idx="372">
                  <c:v>-32.616318310349783</c:v>
                </c:pt>
                <c:pt idx="373">
                  <c:v>-34.088348172253809</c:v>
                </c:pt>
                <c:pt idx="374">
                  <c:v>-35.565281558346058</c:v>
                </c:pt>
                <c:pt idx="375">
                  <c:v>-37.046870884049547</c:v>
                </c:pt>
                <c:pt idx="376">
                  <c:v>-38.532850728062691</c:v>
                </c:pt>
                <c:pt idx="377">
                  <c:v>-40.022937240762296</c:v>
                </c:pt>
                <c:pt idx="378">
                  <c:v>-41.516827640312108</c:v>
                </c:pt>
                <c:pt idx="379">
                  <c:v>-43.014199802419476</c:v>
                </c:pt>
                <c:pt idx="380">
                  <c:v>-44.514711949170952</c:v>
                </c:pt>
                <c:pt idx="381">
                  <c:v>-46.018002441800853</c:v>
                </c:pt>
                <c:pt idx="382">
                  <c:v>-47.523689681606037</c:v>
                </c:pt>
                <c:pt idx="383">
                  <c:v>-49.031372122522264</c:v>
                </c:pt>
                <c:pt idx="384">
                  <c:v>-50.54062839810716</c:v>
                </c:pt>
                <c:pt idx="385">
                  <c:v>-52.051017564872623</c:v>
                </c:pt>
                <c:pt idx="386">
                  <c:v>-53.562079463039225</c:v>
                </c:pt>
                <c:pt idx="387">
                  <c:v>-55.073335194895336</c:v>
                </c:pt>
                <c:pt idx="388">
                  <c:v>-56.584287719992503</c:v>
                </c:pt>
                <c:pt idx="389">
                  <c:v>-58.094422565476151</c:v>
                </c:pt>
                <c:pt idx="390">
                  <c:v>-59.603208648868289</c:v>
                </c:pt>
                <c:pt idx="391">
                  <c:v>-61.110099209666757</c:v>
                </c:pt>
                <c:pt idx="392">
                  <c:v>-62.614532845162316</c:v>
                </c:pt>
                <c:pt idx="393">
                  <c:v>-64.115934644960021</c:v>
                </c:pt>
                <c:pt idx="394">
                  <c:v>-65.61371741779412</c:v>
                </c:pt>
                <c:pt idx="395">
                  <c:v>-67.107283003398265</c:v>
                </c:pt>
                <c:pt idx="396">
                  <c:v>-68.596023661407671</c:v>
                </c:pt>
                <c:pt idx="397">
                  <c:v>-70.079323528590166</c:v>
                </c:pt>
                <c:pt idx="398">
                  <c:v>-71.556560135073084</c:v>
                </c:pt>
                <c:pt idx="399">
                  <c:v>-73.027105969730712</c:v>
                </c:pt>
                <c:pt idx="400">
                  <c:v>-74.490330084483858</c:v>
                </c:pt>
                <c:pt idx="401">
                  <c:v>-75.945599726958932</c:v>
                </c:pt>
                <c:pt idx="402">
                  <c:v>-77.392281990776752</c:v>
                </c:pt>
                <c:pt idx="403">
                  <c:v>-78.829745472670709</c:v>
                </c:pt>
                <c:pt idx="404">
                  <c:v>-80.257361925695605</c:v>
                </c:pt>
                <c:pt idx="405">
                  <c:v>-81.674507897954683</c:v>
                </c:pt>
                <c:pt idx="406">
                  <c:v>-83.080566346570464</c:v>
                </c:pt>
                <c:pt idx="407">
                  <c:v>-84.474928217018544</c:v>
                </c:pt>
                <c:pt idx="408">
                  <c:v>-85.856993978455719</c:v>
                </c:pt>
                <c:pt idx="409">
                  <c:v>-87.226175106267519</c:v>
                </c:pt>
                <c:pt idx="410">
                  <c:v>-88.581895503748939</c:v>
                </c:pt>
                <c:pt idx="411">
                  <c:v>-89.923592855593952</c:v>
                </c:pt>
                <c:pt idx="412">
                  <c:v>-91.250719906692254</c:v>
                </c:pt>
                <c:pt idx="413">
                  <c:v>-92.562745660596363</c:v>
                </c:pt>
                <c:pt idx="414">
                  <c:v>-93.859156492940997</c:v>
                </c:pt>
                <c:pt idx="415">
                  <c:v>-95.139457176017856</c:v>
                </c:pt>
                <c:pt idx="416">
                  <c:v>-96.403171811653763</c:v>
                </c:pt>
                <c:pt idx="417">
                  <c:v>-97.64984467047087</c:v>
                </c:pt>
                <c:pt idx="418">
                  <c:v>-98.87904093652962</c:v>
                </c:pt>
                <c:pt idx="419">
                  <c:v>-100.09034735724282</c:v>
                </c:pt>
                <c:pt idx="420">
                  <c:v>-101.28337279930862</c:v>
                </c:pt>
                <c:pt idx="421">
                  <c:v>-102.45774871220506</c:v>
                </c:pt>
                <c:pt idx="422">
                  <c:v>-103.61312950154128</c:v>
                </c:pt>
                <c:pt idx="423">
                  <c:v>-104.74919281525321</c:v>
                </c:pt>
                <c:pt idx="424">
                  <c:v>-105.86563974623316</c:v>
                </c:pt>
                <c:pt idx="425">
                  <c:v>-106.96219495554561</c:v>
                </c:pt>
                <c:pt idx="426">
                  <c:v>-108.0386067208411</c:v>
                </c:pt>
                <c:pt idx="427">
                  <c:v>-109.09464691497061</c:v>
                </c:pt>
                <c:pt idx="428">
                  <c:v>-110.13011092013032</c:v>
                </c:pt>
                <c:pt idx="429">
                  <c:v>-111.14481748310875</c:v>
                </c:pt>
                <c:pt idx="430">
                  <c:v>-112.13860851735174</c:v>
                </c:pt>
                <c:pt idx="431">
                  <c:v>-113.11134885769809</c:v>
                </c:pt>
                <c:pt idx="432">
                  <c:v>-114.06292597362402</c:v>
                </c:pt>
                <c:pt idx="433">
                  <c:v>-114.99324964683944</c:v>
                </c:pt>
                <c:pt idx="434">
                  <c:v>-115.90225161894722</c:v>
                </c:pt>
                <c:pt idx="435">
                  <c:v>-116.78988521475989</c:v>
                </c:pt>
                <c:pt idx="436">
                  <c:v>-117.65612494665363</c:v>
                </c:pt>
                <c:pt idx="437">
                  <c:v>-118.50096610509745</c:v>
                </c:pt>
                <c:pt idx="438">
                  <c:v>-119.32442434022332</c:v>
                </c:pt>
                <c:pt idx="439">
                  <c:v>-120.12653523897812</c:v>
                </c:pt>
                <c:pt idx="440">
                  <c:v>-120.90735390205977</c:v>
                </c:pt>
                <c:pt idx="441">
                  <c:v>-121.66695452447009</c:v>
                </c:pt>
                <c:pt idx="442">
                  <c:v>-122.40542998312323</c:v>
                </c:pt>
                <c:pt idx="443">
                  <c:v>-123.1228914345495</c:v>
                </c:pt>
                <c:pt idx="444">
                  <c:v>-123.81946792531177</c:v>
                </c:pt>
                <c:pt idx="445">
                  <c:v>-124.49530601733044</c:v>
                </c:pt>
                <c:pt idx="446">
                  <c:v>-125.15056942987317</c:v>
                </c:pt>
                <c:pt idx="447">
                  <c:v>-125.78543869954183</c:v>
                </c:pt>
                <c:pt idx="448">
                  <c:v>-126.40011085915036</c:v>
                </c:pt>
                <c:pt idx="449">
                  <c:v>-126.99479913595195</c:v>
                </c:pt>
                <c:pt idx="450">
                  <c:v>-127.56973266926487</c:v>
                </c:pt>
                <c:pt idx="451">
                  <c:v>-128.12515624710846</c:v>
                </c:pt>
                <c:pt idx="452">
                  <c:v>-128.66133006107347</c:v>
                </c:pt>
                <c:pt idx="453">
                  <c:v>-129.17852947824574</c:v>
                </c:pt>
                <c:pt idx="454">
                  <c:v>-129.67704482862266</c:v>
                </c:pt>
                <c:pt idx="455">
                  <c:v>-130.15718120610615</c:v>
                </c:pt>
                <c:pt idx="456">
                  <c:v>-130.61925828080575</c:v>
                </c:pt>
                <c:pt idx="457">
                  <c:v>-131.0636101200665</c:v>
                </c:pt>
                <c:pt idx="458">
                  <c:v>-131.49058501533443</c:v>
                </c:pt>
                <c:pt idx="459">
                  <c:v>-131.90054531170858</c:v>
                </c:pt>
                <c:pt idx="460">
                  <c:v>-132.29386723677845</c:v>
                </c:pt>
                <c:pt idx="461">
                  <c:v>-132.6709407251372</c:v>
                </c:pt>
                <c:pt idx="462">
                  <c:v>-133.03216923479167</c:v>
                </c:pt>
                <c:pt idx="463">
                  <c:v>-133.37796955154028</c:v>
                </c:pt>
                <c:pt idx="464">
                  <c:v>-133.70877157730382</c:v>
                </c:pt>
                <c:pt idx="465">
                  <c:v>-134.02501809832935</c:v>
                </c:pt>
                <c:pt idx="466">
                  <c:v>-134.32716452918683</c:v>
                </c:pt>
                <c:pt idx="467">
                  <c:v>-134.61567862850009</c:v>
                </c:pt>
                <c:pt idx="468">
                  <c:v>-134.89104018245936</c:v>
                </c:pt>
                <c:pt idx="469">
                  <c:v>-135.15374065228346</c:v>
                </c:pt>
                <c:pt idx="470">
                  <c:v>-135.40428278199622</c:v>
                </c:pt>
                <c:pt idx="471">
                  <c:v>-135.64318016311489</c:v>
                </c:pt>
                <c:pt idx="472">
                  <c:v>-135.87095675315058</c:v>
                </c:pt>
                <c:pt idx="473">
                  <c:v>-136.08814634514636</c:v>
                </c:pt>
                <c:pt idx="474">
                  <c:v>-136.29529198588403</c:v>
                </c:pt>
                <c:pt idx="475">
                  <c:v>-136.49294534081127</c:v>
                </c:pt>
                <c:pt idx="476">
                  <c:v>-136.68166600422879</c:v>
                </c:pt>
                <c:pt idx="477">
                  <c:v>-136.86202075378654</c:v>
                </c:pt>
                <c:pt idx="478">
                  <c:v>-137.0345827488797</c:v>
                </c:pt>
                <c:pt idx="479">
                  <c:v>-137.19993067311827</c:v>
                </c:pt>
                <c:pt idx="480">
                  <c:v>-137.35864782162528</c:v>
                </c:pt>
                <c:pt idx="481">
                  <c:v>-137.51132113452809</c:v>
                </c:pt>
                <c:pt idx="482">
                  <c:v>-137.65854017861167</c:v>
                </c:pt>
                <c:pt idx="483">
                  <c:v>-137.8008960797091</c:v>
                </c:pt>
                <c:pt idx="484">
                  <c:v>-137.9389804089935</c:v>
                </c:pt>
                <c:pt idx="485">
                  <c:v>-138.07338402690584</c:v>
                </c:pt>
                <c:pt idx="486">
                  <c:v>-138.204695888998</c:v>
                </c:pt>
                <c:pt idx="487">
                  <c:v>-138.33350181847553</c:v>
                </c:pt>
                <c:pt idx="488">
                  <c:v>-138.46038325068113</c:v>
                </c:pt>
                <c:pt idx="489">
                  <c:v>-138.58591595518843</c:v>
                </c:pt>
                <c:pt idx="490">
                  <c:v>-138.71066874151128</c:v>
                </c:pt>
                <c:pt idx="491">
                  <c:v>-138.83520215475903</c:v>
                </c:pt>
                <c:pt idx="492">
                  <c:v>-138.96006716777677</c:v>
                </c:pt>
                <c:pt idx="493">
                  <c:v>-139.08580387650943</c:v>
                </c:pt>
                <c:pt idx="494">
                  <c:v>-139.21294020541032</c:v>
                </c:pt>
                <c:pt idx="495">
                  <c:v>-139.34199062977328</c:v>
                </c:pt>
                <c:pt idx="496">
                  <c:v>-139.47345492183547</c:v>
                </c:pt>
                <c:pt idx="497">
                  <c:v>-139.60781692741472</c:v>
                </c:pt>
                <c:pt idx="498">
                  <c:v>-139.74554337971111</c:v>
                </c:pt>
                <c:pt idx="499">
                  <c:v>-139.8870827566937</c:v>
                </c:pt>
                <c:pt idx="500">
                  <c:v>-140.03286418825877</c:v>
                </c:pt>
                <c:pt idx="501">
                  <c:v>-140.18329641905703</c:v>
                </c:pt>
                <c:pt idx="502">
                  <c:v>-140.33876683255153</c:v>
                </c:pt>
                <c:pt idx="503">
                  <c:v>-140.49964054152045</c:v>
                </c:pt>
                <c:pt idx="504">
                  <c:v>-140.66625954982783</c:v>
                </c:pt>
                <c:pt idx="505">
                  <c:v>-140.83894198986542</c:v>
                </c:pt>
                <c:pt idx="506">
                  <c:v>-141.01798143967034</c:v>
                </c:pt>
                <c:pt idx="507">
                  <c:v>-141.20364632324967</c:v>
                </c:pt>
                <c:pt idx="508">
                  <c:v>-141.39617939722822</c:v>
                </c:pt>
                <c:pt idx="509">
                  <c:v>-141.59579732645003</c:v>
                </c:pt>
                <c:pt idx="510">
                  <c:v>-141.80269035073476</c:v>
                </c:pt>
                <c:pt idx="511">
                  <c:v>-142.01702204450842</c:v>
                </c:pt>
                <c:pt idx="512">
                  <c:v>-142.2389291705712</c:v>
                </c:pt>
                <c:pt idx="513">
                  <c:v>-142.46852162881413</c:v>
                </c:pt>
                <c:pt idx="514">
                  <c:v>-142.705882500211</c:v>
                </c:pt>
                <c:pt idx="515">
                  <c:v>-142.95106818597637</c:v>
                </c:pt>
                <c:pt idx="516">
                  <c:v>-143.20410864129317</c:v>
                </c:pt>
                <c:pt idx="517">
                  <c:v>-143.4650077025652</c:v>
                </c:pt>
                <c:pt idx="518">
                  <c:v>-143.73374350667987</c:v>
                </c:pt>
                <c:pt idx="519">
                  <c:v>-144.01026900029768</c:v>
                </c:pt>
                <c:pt idx="520">
                  <c:v>-144.29451253673233</c:v>
                </c:pt>
                <c:pt idx="521">
                  <c:v>-144.58637855750985</c:v>
                </c:pt>
                <c:pt idx="522">
                  <c:v>-144.88574835524474</c:v>
                </c:pt>
                <c:pt idx="523">
                  <c:v>-145.19248091401496</c:v>
                </c:pt>
                <c:pt idx="524">
                  <c:v>-145.50641382297357</c:v>
                </c:pt>
                <c:pt idx="525">
                  <c:v>-145.8273642585032</c:v>
                </c:pt>
                <c:pt idx="526">
                  <c:v>-146.15513002981021</c:v>
                </c:pt>
                <c:pt idx="527">
                  <c:v>-146.48949068245483</c:v>
                </c:pt>
                <c:pt idx="528">
                  <c:v>-146.83020865395594</c:v>
                </c:pt>
                <c:pt idx="529">
                  <c:v>-147.1770304752809</c:v>
                </c:pt>
                <c:pt idx="530">
                  <c:v>-147.52968801172148</c:v>
                </c:pt>
                <c:pt idx="531">
                  <c:v>-147.88789973642787</c:v>
                </c:pt>
                <c:pt idx="532">
                  <c:v>-148.25137202965576</c:v>
                </c:pt>
                <c:pt idx="533">
                  <c:v>-148.61980049664635</c:v>
                </c:pt>
                <c:pt idx="534">
                  <c:v>-148.99287129695935</c:v>
                </c:pt>
                <c:pt idx="535">
                  <c:v>-149.37026247805846</c:v>
                </c:pt>
                <c:pt idx="536">
                  <c:v>-149.75164530598485</c:v>
                </c:pt>
                <c:pt idx="537">
                  <c:v>-150.13668558604402</c:v>
                </c:pt>
                <c:pt idx="538">
                  <c:v>-150.5250449666099</c:v>
                </c:pt>
                <c:pt idx="539">
                  <c:v>-150.91638221936893</c:v>
                </c:pt>
                <c:pt idx="540">
                  <c:v>-151.31035448961634</c:v>
                </c:pt>
                <c:pt idx="541">
                  <c:v>-151.70661851057287</c:v>
                </c:pt>
              </c:numCache>
            </c:numRef>
          </c:yVal>
          <c:smooth val="1"/>
          <c:extLst>
            <c:ext xmlns:c16="http://schemas.microsoft.com/office/drawing/2014/chart" uri="{C3380CC4-5D6E-409C-BE32-E72D297353CC}">
              <c16:uniqueId val="{0000000B-1798-4659-8C8F-5766C9E652D3}"/>
            </c:ext>
          </c:extLst>
        </c:ser>
        <c:dLbls>
          <c:showLegendKey val="0"/>
          <c:showVal val="0"/>
          <c:showCatName val="0"/>
          <c:showSerName val="0"/>
          <c:showPercent val="0"/>
          <c:showBubbleSize val="0"/>
        </c:dLbls>
        <c:axId val="589267712"/>
        <c:axId val="589261440"/>
      </c:scatterChart>
      <c:valAx>
        <c:axId val="589245056"/>
        <c:scaling>
          <c:logBase val="10"/>
          <c:orientation val="minMax"/>
          <c:max val="2000000"/>
          <c:min val="10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txPr>
          <a:bodyPr/>
          <a:lstStyle/>
          <a:p>
            <a:pPr>
              <a:defRPr b="1"/>
            </a:pPr>
            <a:endParaRPr lang="fr-FR"/>
          </a:p>
        </c:txPr>
        <c:crossAx val="589259520"/>
        <c:crosses val="autoZero"/>
        <c:crossBetween val="midCat"/>
      </c:valAx>
      <c:valAx>
        <c:axId val="589259520"/>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b="1">
                <a:solidFill>
                  <a:srgbClr val="FF0000"/>
                </a:solidFill>
              </a:defRPr>
            </a:pPr>
            <a:endParaRPr lang="fr-FR"/>
          </a:p>
        </c:txPr>
        <c:crossAx val="589245056"/>
        <c:crosses val="autoZero"/>
        <c:crossBetween val="midCat"/>
        <c:majorUnit val="20"/>
        <c:minorUnit val="10"/>
      </c:valAx>
      <c:valAx>
        <c:axId val="589261440"/>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txPr>
          <a:bodyPr/>
          <a:lstStyle/>
          <a:p>
            <a:pPr>
              <a:defRPr b="1">
                <a:solidFill>
                  <a:schemeClr val="tx1">
                    <a:lumMod val="95000"/>
                    <a:lumOff val="5000"/>
                  </a:schemeClr>
                </a:solidFill>
              </a:defRPr>
            </a:pPr>
            <a:endParaRPr lang="fr-FR"/>
          </a:p>
        </c:txPr>
        <c:crossAx val="589267712"/>
        <c:crosses val="max"/>
        <c:crossBetween val="midCat"/>
        <c:majorUnit val="90"/>
        <c:minorUnit val="45"/>
      </c:valAx>
      <c:valAx>
        <c:axId val="589267712"/>
        <c:scaling>
          <c:logBase val="10"/>
          <c:orientation val="minMax"/>
        </c:scaling>
        <c:delete val="1"/>
        <c:axPos val="b"/>
        <c:numFmt formatCode="0.00" sourceLinked="1"/>
        <c:majorTickMark val="out"/>
        <c:minorTickMark val="none"/>
        <c:tickLblPos val="nextTo"/>
        <c:crossAx val="589261440"/>
        <c:crosses val="autoZero"/>
        <c:crossBetween val="midCat"/>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1392536510371165"/>
          <c:y val="7.0381012799940294E-3"/>
          <c:w val="0.28497500584606611"/>
          <c:h val="7.9643865606846526E-2"/>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rPr>
              <a:t>Isolated Loop Response</a:t>
            </a:r>
            <a:endParaRPr lang="en-US" sz="1600">
              <a:effectLst/>
            </a:endParaRPr>
          </a:p>
        </c:rich>
      </c:tx>
      <c:layout>
        <c:manualLayout>
          <c:xMode val="edge"/>
          <c:yMode val="edge"/>
          <c:x val="9.4354157174953393E-2"/>
          <c:y val="3.9916010498687662E-3"/>
        </c:manualLayout>
      </c:layout>
      <c:overlay val="0"/>
    </c:title>
    <c:autoTitleDeleted val="0"/>
    <c:plotArea>
      <c:layout>
        <c:manualLayout>
          <c:layoutTarget val="inner"/>
          <c:xMode val="edge"/>
          <c:yMode val="edge"/>
          <c:x val="8.7413438847232044E-2"/>
          <c:y val="8.915804101931861E-2"/>
          <c:w val="0.80965876742891785"/>
          <c:h val="0.76159168715027026"/>
        </c:manualLayout>
      </c:layout>
      <c:scatterChart>
        <c:scatterStyle val="smoothMarker"/>
        <c:varyColors val="0"/>
        <c:ser>
          <c:idx val="0"/>
          <c:order val="0"/>
          <c:tx>
            <c:v>Gain (dB)</c:v>
          </c:tx>
          <c:spPr>
            <a:ln w="28575">
              <a:solidFill>
                <a:srgbClr val="FF0000"/>
              </a:solidFill>
            </a:ln>
          </c:spPr>
          <c:marker>
            <c:symbol val="none"/>
          </c:marker>
          <c:xVal>
            <c:numRef>
              <c:f>CCM_Loop_Modeling_Isolated!$O$19:$O$560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CCM_Loop_Modeling_Isolated!$AW$19:$AW$560</c:f>
              <c:numCache>
                <c:formatCode>0.000</c:formatCode>
                <c:ptCount val="542"/>
                <c:pt idx="0">
                  <c:v>95.469317545919736</c:v>
                </c:pt>
                <c:pt idx="1">
                  <c:v>95.133753255803398</c:v>
                </c:pt>
                <c:pt idx="2">
                  <c:v>94.796330206663256</c:v>
                </c:pt>
                <c:pt idx="3">
                  <c:v>94.457088388810106</c:v>
                </c:pt>
                <c:pt idx="4">
                  <c:v>94.116069027173396</c:v>
                </c:pt>
                <c:pt idx="5">
                  <c:v>93.773314475563723</c:v>
                </c:pt>
                <c:pt idx="6">
                  <c:v>93.428868112185214</c:v>
                </c:pt>
                <c:pt idx="7">
                  <c:v>93.082774237018455</c:v>
                </c:pt>
                <c:pt idx="8">
                  <c:v>92.735077971640493</c:v>
                </c:pt>
                <c:pt idx="9">
                  <c:v>92.385825162006242</c:v>
                </c:pt>
                <c:pt idx="10">
                  <c:v>92.03506228465929</c:v>
                </c:pt>
                <c:pt idx="11">
                  <c:v>91.682836356787789</c:v>
                </c:pt>
                <c:pt idx="12">
                  <c:v>91.329194850487966</c:v>
                </c:pt>
                <c:pt idx="13">
                  <c:v>90.974185611544812</c:v>
                </c:pt>
                <c:pt idx="14">
                  <c:v>90.617856782984504</c:v>
                </c:pt>
                <c:pt idx="15">
                  <c:v>90.260256733604081</c:v>
                </c:pt>
                <c:pt idx="16">
                  <c:v>89.901433991632146</c:v>
                </c:pt>
                <c:pt idx="17">
                  <c:v>89.541437183630109</c:v>
                </c:pt>
                <c:pt idx="18">
                  <c:v>89.180314978694753</c:v>
                </c:pt>
                <c:pt idx="19">
                  <c:v>88.818116037984453</c:v>
                </c:pt>
                <c:pt idx="20">
                  <c:v>88.454888969552528</c:v>
                </c:pt>
                <c:pt idx="21">
                  <c:v>88.090682288431864</c:v>
                </c:pt>
                <c:pt idx="22">
                  <c:v>87.725544381889122</c:v>
                </c:pt>
                <c:pt idx="23">
                  <c:v>87.359523479730115</c:v>
                </c:pt>
                <c:pt idx="24">
                  <c:v>86.992667629520213</c:v>
                </c:pt>
                <c:pt idx="25">
                  <c:v>86.62502467655122</c:v>
                </c:pt>
                <c:pt idx="26">
                  <c:v>86.256642248376934</c:v>
                </c:pt>
                <c:pt idx="27">
                  <c:v>85.887567743712552</c:v>
                </c:pt>
                <c:pt idx="28">
                  <c:v>85.517848325483271</c:v>
                </c:pt>
                <c:pt idx="29">
                  <c:v>85.147530917798221</c:v>
                </c:pt>
                <c:pt idx="30">
                  <c:v>84.77666220660447</c:v>
                </c:pt>
                <c:pt idx="31">
                  <c:v>84.405288643783209</c:v>
                </c:pt>
                <c:pt idx="32">
                  <c:v>84.033456454429469</c:v>
                </c:pt>
                <c:pt idx="33">
                  <c:v>83.661211647059659</c:v>
                </c:pt>
                <c:pt idx="34">
                  <c:v>83.288600026485966</c:v>
                </c:pt>
                <c:pt idx="35">
                  <c:v>82.915667209091822</c:v>
                </c:pt>
                <c:pt idx="36">
                  <c:v>82.542458640242785</c:v>
                </c:pt>
                <c:pt idx="37">
                  <c:v>82.169019613565865</c:v>
                </c:pt>
                <c:pt idx="38">
                  <c:v>81.795395291827475</c:v>
                </c:pt>
                <c:pt idx="39">
                  <c:v>81.421630729144113</c:v>
                </c:pt>
                <c:pt idx="40">
                  <c:v>81.047770894255407</c:v>
                </c:pt>
                <c:pt idx="41">
                  <c:v>80.673860694592179</c:v>
                </c:pt>
                <c:pt idx="42">
                  <c:v>80.299945000871205</c:v>
                </c:pt>
                <c:pt idx="43">
                  <c:v>79.926068671951157</c:v>
                </c:pt>
                <c:pt idx="44">
                  <c:v>79.552276579678889</c:v>
                </c:pt>
                <c:pt idx="45">
                  <c:v>79.178613633462831</c:v>
                </c:pt>
                <c:pt idx="46">
                  <c:v>78.805124804304938</c:v>
                </c:pt>
                <c:pt idx="47">
                  <c:v>78.431855148025164</c:v>
                </c:pt>
                <c:pt idx="48">
                  <c:v>78.058849827412317</c:v>
                </c:pt>
                <c:pt idx="49">
                  <c:v>77.686154133035984</c:v>
                </c:pt>
                <c:pt idx="50">
                  <c:v>77.313813502454011</c:v>
                </c:pt>
                <c:pt idx="51">
                  <c:v>76.941873537551629</c:v>
                </c:pt>
                <c:pt idx="52">
                  <c:v>76.570380019748697</c:v>
                </c:pt>
                <c:pt idx="53">
                  <c:v>76.199378922815015</c:v>
                </c:pt>
                <c:pt idx="54">
                  <c:v>75.828916423034016</c:v>
                </c:pt>
                <c:pt idx="55">
                  <c:v>75.459038906460677</c:v>
                </c:pt>
                <c:pt idx="56">
                  <c:v>75.089792973022924</c:v>
                </c:pt>
                <c:pt idx="57">
                  <c:v>74.721225437221534</c:v>
                </c:pt>
                <c:pt idx="58">
                  <c:v>74.353383325191373</c:v>
                </c:pt>
                <c:pt idx="59">
                  <c:v>73.986313867896584</c:v>
                </c:pt>
                <c:pt idx="60">
                  <c:v>73.62006449024031</c:v>
                </c:pt>
                <c:pt idx="61">
                  <c:v>73.254682795886737</c:v>
                </c:pt>
                <c:pt idx="62">
                  <c:v>72.890216547605334</c:v>
                </c:pt>
                <c:pt idx="63">
                  <c:v>72.526713642966001</c:v>
                </c:pt>
                <c:pt idx="64">
                  <c:v>72.164222085235423</c:v>
                </c:pt>
                <c:pt idx="65">
                  <c:v>71.8027899493473</c:v>
                </c:pt>
                <c:pt idx="66">
                  <c:v>71.44246534284477</c:v>
                </c:pt>
                <c:pt idx="67">
                  <c:v>71.083296361724891</c:v>
                </c:pt>
                <c:pt idx="68">
                  <c:v>70.725331041145409</c:v>
                </c:pt>
                <c:pt idx="69">
                  <c:v>70.368617300990309</c:v>
                </c:pt>
                <c:pt idx="70">
                  <c:v>70.01320288632877</c:v>
                </c:pt>
                <c:pt idx="71">
                  <c:v>69.659135302844632</c:v>
                </c:pt>
                <c:pt idx="72">
                  <c:v>69.306461747355016</c:v>
                </c:pt>
                <c:pt idx="73">
                  <c:v>68.955229033584601</c:v>
                </c:pt>
                <c:pt idx="74">
                  <c:v>68.60548351341042</c:v>
                </c:pt>
                <c:pt idx="75">
                  <c:v>68.257270993839981</c:v>
                </c:pt>
                <c:pt idx="76">
                  <c:v>67.910636650038484</c:v>
                </c:pt>
                <c:pt idx="77">
                  <c:v>67.565624934769716</c:v>
                </c:pt>
                <c:pt idx="78">
                  <c:v>67.222279484668249</c:v>
                </c:pt>
                <c:pt idx="79">
                  <c:v>66.8806430238091</c:v>
                </c:pt>
                <c:pt idx="80">
                  <c:v>66.540757265089496</c:v>
                </c:pt>
                <c:pt idx="81">
                  <c:v>66.202662809983678</c:v>
                </c:pt>
                <c:pt idx="82">
                  <c:v>65.866399047273688</c:v>
                </c:pt>
                <c:pt idx="83">
                  <c:v>65.532004051396498</c:v>
                </c:pt>
                <c:pt idx="84">
                  <c:v>65.199514481081863</c:v>
                </c:pt>
                <c:pt idx="85">
                  <c:v>64.868965478981522</c:v>
                </c:pt>
                <c:pt idx="86">
                  <c:v>64.54039057301182</c:v>
                </c:pt>
                <c:pt idx="87">
                  <c:v>64.213821580143374</c:v>
                </c:pt>
                <c:pt idx="88">
                  <c:v>63.889288513377252</c:v>
                </c:pt>
                <c:pt idx="89">
                  <c:v>63.566819492645536</c:v>
                </c:pt>
                <c:pt idx="90">
                  <c:v>63.246440660357266</c:v>
                </c:pt>
                <c:pt idx="91">
                  <c:v>62.928176102295517</c:v>
                </c:pt>
                <c:pt idx="92">
                  <c:v>62.612047774537409</c:v>
                </c:pt>
                <c:pt idx="93">
                  <c:v>62.298075437029432</c:v>
                </c:pt>
                <c:pt idx="94">
                  <c:v>61.986276594406363</c:v>
                </c:pt>
                <c:pt idx="95">
                  <c:v>61.676666444582466</c:v>
                </c:pt>
                <c:pt idx="96">
                  <c:v>61.36925783558388</c:v>
                </c:pt>
                <c:pt idx="97">
                  <c:v>61.064061231018414</c:v>
                </c:pt>
                <c:pt idx="98">
                  <c:v>60.761084684506969</c:v>
                </c:pt>
                <c:pt idx="99">
                  <c:v>60.4603338233185</c:v>
                </c:pt>
                <c:pt idx="100">
                  <c:v>60.161811841369058</c:v>
                </c:pt>
                <c:pt idx="101">
                  <c:v>59.865519501660167</c:v>
                </c:pt>
                <c:pt idx="102">
                  <c:v>59.571455148145994</c:v>
                </c:pt>
                <c:pt idx="103">
                  <c:v>59.279614726934398</c:v>
                </c:pt>
                <c:pt idx="104">
                  <c:v>58.989991816643268</c:v>
                </c:pt>
                <c:pt idx="105">
                  <c:v>58.702577667654261</c:v>
                </c:pt>
                <c:pt idx="106">
                  <c:v>58.417361249931929</c:v>
                </c:pt>
                <c:pt idx="107">
                  <c:v>58.13432930900295</c:v>
                </c:pt>
                <c:pt idx="108">
                  <c:v>57.853466429632086</c:v>
                </c:pt>
                <c:pt idx="109">
                  <c:v>57.574755106669322</c:v>
                </c:pt>
                <c:pt idx="110">
                  <c:v>57.298175822498223</c:v>
                </c:pt>
                <c:pt idx="111">
                  <c:v>57.023707130475202</c:v>
                </c:pt>
                <c:pt idx="112">
                  <c:v>56.751325743713608</c:v>
                </c:pt>
                <c:pt idx="113">
                  <c:v>56.481006628549167</c:v>
                </c:pt>
                <c:pt idx="114">
                  <c:v>56.212723102002812</c:v>
                </c:pt>
                <c:pt idx="115">
                  <c:v>55.946446932555283</c:v>
                </c:pt>
                <c:pt idx="116">
                  <c:v>55.682148443546673</c:v>
                </c:pt>
                <c:pt idx="117">
                  <c:v>55.419796618521453</c:v>
                </c:pt>
                <c:pt idx="118">
                  <c:v>55.159359207861336</c:v>
                </c:pt>
                <c:pt idx="119">
                  <c:v>54.900802836061558</c:v>
                </c:pt>
                <c:pt idx="120">
                  <c:v>54.644093109041378</c:v>
                </c:pt>
                <c:pt idx="121">
                  <c:v>54.38919472090528</c:v>
                </c:pt>
                <c:pt idx="122">
                  <c:v>54.136071559612787</c:v>
                </c:pt>
                <c:pt idx="123">
                  <c:v>53.884686811047189</c:v>
                </c:pt>
                <c:pt idx="124">
                  <c:v>53.635003061022992</c:v>
                </c:pt>
                <c:pt idx="125">
                  <c:v>53.386982394805472</c:v>
                </c:pt>
                <c:pt idx="126">
                  <c:v>53.140586493767323</c:v>
                </c:pt>
                <c:pt idx="127">
                  <c:v>52.89577672884856</c:v>
                </c:pt>
                <c:pt idx="128">
                  <c:v>52.652514250527567</c:v>
                </c:pt>
                <c:pt idx="129">
                  <c:v>52.410760075058491</c:v>
                </c:pt>
                <c:pt idx="130">
                  <c:v>52.170475166769037</c:v>
                </c:pt>
                <c:pt idx="131">
                  <c:v>51.931620516254981</c:v>
                </c:pt>
                <c:pt idx="132">
                  <c:v>51.694157214344301</c:v>
                </c:pt>
                <c:pt idx="133">
                  <c:v>51.458046521742247</c:v>
                </c:pt>
                <c:pt idx="134">
                  <c:v>51.223249934300966</c:v>
                </c:pt>
                <c:pt idx="135">
                  <c:v>50.989729243890324</c:v>
                </c:pt>
                <c:pt idx="136">
                  <c:v>50.757446594874679</c:v>
                </c:pt>
                <c:pt idx="137">
                  <c:v>50.526364536226282</c:v>
                </c:pt>
                <c:pt idx="138">
                  <c:v>50.296446069332383</c:v>
                </c:pt>
                <c:pt idx="139">
                  <c:v>50.067654691570652</c:v>
                </c:pt>
                <c:pt idx="140">
                  <c:v>49.839954435750286</c:v>
                </c:pt>
                <c:pt idx="141">
                  <c:v>49.613309905528666</c:v>
                </c:pt>
                <c:pt idx="142">
                  <c:v>49.387686306931258</c:v>
                </c:pt>
                <c:pt idx="143">
                  <c:v>49.16304947611102</c:v>
                </c:pt>
                <c:pt idx="144">
                  <c:v>48.939365903494902</c:v>
                </c:pt>
                <c:pt idx="145">
                  <c:v>48.716602754473499</c:v>
                </c:pt>
                <c:pt idx="146">
                  <c:v>48.4947278867931</c:v>
                </c:pt>
                <c:pt idx="147">
                  <c:v>48.273709864817171</c:v>
                </c:pt>
                <c:pt idx="148">
                  <c:v>48.05351797082308</c:v>
                </c:pt>
                <c:pt idx="149">
                  <c:v>47.834122213505665</c:v>
                </c:pt>
                <c:pt idx="150">
                  <c:v>47.615493333853664</c:v>
                </c:pt>
                <c:pt idx="151">
                  <c:v>47.397602808569552</c:v>
                </c:pt>
                <c:pt idx="152">
                  <c:v>47.180422851196838</c:v>
                </c:pt>
                <c:pt idx="153">
                  <c:v>46.963926411117932</c:v>
                </c:pt>
                <c:pt idx="154">
                  <c:v>46.748087170581066</c:v>
                </c:pt>
                <c:pt idx="155">
                  <c:v>46.532879539910887</c:v>
                </c:pt>
                <c:pt idx="156">
                  <c:v>46.31827865105106</c:v>
                </c:pt>
                <c:pt idx="157">
                  <c:v>46.104260349583193</c:v>
                </c:pt>
                <c:pt idx="158">
                  <c:v>45.890801185359223</c:v>
                </c:pt>
                <c:pt idx="159">
                  <c:v>45.677878401878537</c:v>
                </c:pt>
                <c:pt idx="160">
                  <c:v>45.46546992453613</c:v>
                </c:pt>
                <c:pt idx="161">
                  <c:v>45.253554347858099</c:v>
                </c:pt>
                <c:pt idx="162">
                  <c:v>45.042110921838059</c:v>
                </c:pt>
                <c:pt idx="163">
                  <c:v>44.831119537479054</c:v>
                </c:pt>
                <c:pt idx="164">
                  <c:v>44.620560711639634</c:v>
                </c:pt>
                <c:pt idx="165">
                  <c:v>44.410415571275337</c:v>
                </c:pt>
                <c:pt idx="166">
                  <c:v>44.200665837162354</c:v>
                </c:pt>
                <c:pt idx="167">
                  <c:v>43.991293807181329</c:v>
                </c:pt>
                <c:pt idx="168">
                  <c:v>43.782282339235373</c:v>
                </c:pt>
                <c:pt idx="169">
                  <c:v>43.57361483386812</c:v>
                </c:pt>
                <c:pt idx="170">
                  <c:v>43.365275216644726</c:v>
                </c:pt>
                <c:pt idx="171">
                  <c:v>43.157247920349697</c:v>
                </c:pt>
                <c:pt idx="172">
                  <c:v>42.949517867053459</c:v>
                </c:pt>
                <c:pt idx="173">
                  <c:v>42.742070450092378</c:v>
                </c:pt>
                <c:pt idx="174">
                  <c:v>42.534891516003022</c:v>
                </c:pt>
                <c:pt idx="175">
                  <c:v>42.327967346446222</c:v>
                </c:pt>
                <c:pt idx="176">
                  <c:v>42.121284640152581</c:v>
                </c:pt>
                <c:pt idx="177">
                  <c:v>41.914830494918064</c:v>
                </c:pt>
                <c:pt idx="178">
                  <c:v>41.708592389671644</c:v>
                </c:pt>
                <c:pt idx="179">
                  <c:v>41.502558166635872</c:v>
                </c:pt>
                <c:pt idx="180">
                  <c:v>41.296716013598001</c:v>
                </c:pt>
                <c:pt idx="181">
                  <c:v>41.09105444630309</c:v>
                </c:pt>
                <c:pt idx="182">
                  <c:v>40.885562290981937</c:v>
                </c:pt>
                <c:pt idx="183">
                  <c:v>40.680228667020188</c:v>
                </c:pt>
                <c:pt idx="184">
                  <c:v>40.475042969774641</c:v>
                </c:pt>
                <c:pt idx="185">
                  <c:v>40.269994853539153</c:v>
                </c:pt>
                <c:pt idx="186">
                  <c:v>40.065074214662744</c:v>
                </c:pt>
                <c:pt idx="187">
                  <c:v>39.860271174815544</c:v>
                </c:pt>
                <c:pt idx="188">
                  <c:v>39.655576064403519</c:v>
                </c:pt>
                <c:pt idx="189">
                  <c:v>39.450979406124702</c:v>
                </c:pt>
                <c:pt idx="190">
                  <c:v>39.246471898661071</c:v>
                </c:pt>
                <c:pt idx="191">
                  <c:v>39.042044400500231</c:v>
                </c:pt>
                <c:pt idx="192">
                  <c:v>38.837687913876813</c:v>
                </c:pt>
                <c:pt idx="193">
                  <c:v>38.633393568823628</c:v>
                </c:pt>
                <c:pt idx="194">
                  <c:v>38.42915260732341</c:v>
                </c:pt>
                <c:pt idx="195">
                  <c:v>38.224956367547158</c:v>
                </c:pt>
                <c:pt idx="196">
                  <c:v>38.020796268169164</c:v>
                </c:pt>
                <c:pt idx="197">
                  <c:v>37.816663792743725</c:v>
                </c:pt>
                <c:pt idx="198">
                  <c:v>37.612550474130757</c:v>
                </c:pt>
                <c:pt idx="199">
                  <c:v>37.408447878956387</c:v>
                </c:pt>
                <c:pt idx="200">
                  <c:v>37.204347592093548</c:v>
                </c:pt>
                <c:pt idx="201">
                  <c:v>37.000241201148349</c:v>
                </c:pt>
                <c:pt idx="202">
                  <c:v>36.79612028093679</c:v>
                </c:pt>
                <c:pt idx="203">
                  <c:v>36.5919763779373</c:v>
                </c:pt>
                <c:pt idx="204">
                  <c:v>36.387800994704342</c:v>
                </c:pt>
                <c:pt idx="205">
                  <c:v>36.183585574227067</c:v>
                </c:pt>
                <c:pt idx="206">
                  <c:v>35.979321484218936</c:v>
                </c:pt>
                <c:pt idx="207">
                  <c:v>35.775000001324791</c:v>
                </c:pt>
                <c:pt idx="208">
                  <c:v>35.570612295229374</c:v>
                </c:pt>
                <c:pt idx="209">
                  <c:v>35.366149412654806</c:v>
                </c:pt>
                <c:pt idx="210">
                  <c:v>35.161602261234542</c:v>
                </c:pt>
                <c:pt idx="211">
                  <c:v>34.956961593248948</c:v>
                </c:pt>
                <c:pt idx="212">
                  <c:v>34.752217989214621</c:v>
                </c:pt>
                <c:pt idx="213">
                  <c:v>34.547361841313695</c:v>
                </c:pt>
                <c:pt idx="214">
                  <c:v>34.342383336654002</c:v>
                </c:pt>
                <c:pt idx="215">
                  <c:v>34.137272440353364</c:v>
                </c:pt>
                <c:pt idx="216">
                  <c:v>33.9320188784395</c:v>
                </c:pt>
                <c:pt idx="217">
                  <c:v>33.726612120559132</c:v>
                </c:pt>
                <c:pt idx="218">
                  <c:v>33.521041362495268</c:v>
                </c:pt>
                <c:pt idx="219">
                  <c:v>33.315295508486287</c:v>
                </c:pt>
                <c:pt idx="220">
                  <c:v>33.109363153351111</c:v>
                </c:pt>
                <c:pt idx="221">
                  <c:v>32.903232564419476</c:v>
                </c:pt>
                <c:pt idx="222">
                  <c:v>32.696891663272815</c:v>
                </c:pt>
                <c:pt idx="223">
                  <c:v>32.490328007302942</c:v>
                </c:pt>
                <c:pt idx="224">
                  <c:v>32.283528771099526</c:v>
                </c:pt>
                <c:pt idx="225">
                  <c:v>32.076480727677044</c:v>
                </c:pt>
                <c:pt idx="226">
                  <c:v>31.869170229560915</c:v>
                </c:pt>
                <c:pt idx="227">
                  <c:v>31.661583189751241</c:v>
                </c:pt>
                <c:pt idx="228">
                  <c:v>31.453705062588281</c:v>
                </c:pt>
                <c:pt idx="229">
                  <c:v>31.245520824550155</c:v>
                </c:pt>
                <c:pt idx="230">
                  <c:v>31.037014955012904</c:v>
                </c:pt>
                <c:pt idx="231">
                  <c:v>30.828171417014293</c:v>
                </c:pt>
                <c:pt idx="232">
                  <c:v>30.618973638061711</c:v>
                </c:pt>
                <c:pt idx="233">
                  <c:v>30.409404491035804</c:v>
                </c:pt>
                <c:pt idx="234">
                  <c:v>30.199446275241005</c:v>
                </c:pt>
                <c:pt idx="235">
                  <c:v>29.989080697668399</c:v>
                </c:pt>
                <c:pt idx="236">
                  <c:v>29.778288854534903</c:v>
                </c:pt>
                <c:pt idx="237">
                  <c:v>29.567051213174615</c:v>
                </c:pt>
                <c:pt idx="238">
                  <c:v>29.355347594364719</c:v>
                </c:pt>
                <c:pt idx="239">
                  <c:v>29.143157155173597</c:v>
                </c:pt>
                <c:pt idx="240">
                  <c:v>28.930458372430074</c:v>
                </c:pt>
                <c:pt idx="241">
                  <c:v>28.717229026916975</c:v>
                </c:pt>
                <c:pt idx="242">
                  <c:v>28.503446188403991</c:v>
                </c:pt>
                <c:pt idx="243">
                  <c:v>28.289086201640114</c:v>
                </c:pt>
                <c:pt idx="244">
                  <c:v>28.07412467343778</c:v>
                </c:pt>
                <c:pt idx="245">
                  <c:v>27.858536460985476</c:v>
                </c:pt>
                <c:pt idx="246">
                  <c:v>27.642295661537517</c:v>
                </c:pt>
                <c:pt idx="247">
                  <c:v>27.425375603637114</c:v>
                </c:pt>
                <c:pt idx="248">
                  <c:v>27.207748840035094</c:v>
                </c:pt>
                <c:pt idx="249">
                  <c:v>26.989387142478538</c:v>
                </c:pt>
                <c:pt idx="250">
                  <c:v>26.77026149854624</c:v>
                </c:pt>
                <c:pt idx="251">
                  <c:v>26.550342110719086</c:v>
                </c:pt>
                <c:pt idx="252">
                  <c:v>26.329598397876719</c:v>
                </c:pt>
                <c:pt idx="253">
                  <c:v>26.107998999418594</c:v>
                </c:pt>
                <c:pt idx="254">
                  <c:v>25.885511782210195</c:v>
                </c:pt>
                <c:pt idx="255">
                  <c:v>25.662103850559895</c:v>
                </c:pt>
                <c:pt idx="256">
                  <c:v>25.437741559432343</c:v>
                </c:pt>
                <c:pt idx="257">
                  <c:v>25.212390531103679</c:v>
                </c:pt>
                <c:pt idx="258">
                  <c:v>24.986015675462617</c:v>
                </c:pt>
                <c:pt idx="259">
                  <c:v>24.758581214157218</c:v>
                </c:pt>
                <c:pt idx="260">
                  <c:v>24.530050708779896</c:v>
                </c:pt>
                <c:pt idx="261">
                  <c:v>24.300387093274782</c:v>
                </c:pt>
                <c:pt idx="262">
                  <c:v>24.069552710740837</c:v>
                </c:pt>
                <c:pt idx="263">
                  <c:v>23.837509354787187</c:v>
                </c:pt>
                <c:pt idx="264">
                  <c:v>23.60421831558206</c:v>
                </c:pt>
                <c:pt idx="265">
                  <c:v>23.369640430714092</c:v>
                </c:pt>
                <c:pt idx="266">
                  <c:v>23.133736140962004</c:v>
                </c:pt>
                <c:pt idx="267">
                  <c:v>22.896465551038681</c:v>
                </c:pt>
                <c:pt idx="268">
                  <c:v>22.657788495349386</c:v>
                </c:pt>
                <c:pt idx="269">
                  <c:v>22.41766460876228</c:v>
                </c:pt>
                <c:pt idx="270">
                  <c:v>22.176053402359944</c:v>
                </c:pt>
                <c:pt idx="271">
                  <c:v>21.93291434409246</c:v>
                </c:pt>
                <c:pt idx="272">
                  <c:v>21.688206944213164</c:v>
                </c:pt>
                <c:pt idx="273">
                  <c:v>21.441890845330143</c:v>
                </c:pt>
                <c:pt idx="274">
                  <c:v>21.193925916857172</c:v>
                </c:pt>
                <c:pt idx="275">
                  <c:v>20.944272353597743</c:v>
                </c:pt>
                <c:pt idx="276">
                  <c:v>20.692890778142914</c:v>
                </c:pt>
                <c:pt idx="277">
                  <c:v>20.439742346713039</c:v>
                </c:pt>
                <c:pt idx="278">
                  <c:v>20.18478885801607</c:v>
                </c:pt>
                <c:pt idx="279">
                  <c:v>19.927992864647873</c:v>
                </c:pt>
                <c:pt idx="280">
                  <c:v>19.669317786505619</c:v>
                </c:pt>
                <c:pt idx="281">
                  <c:v>19.4087280256397</c:v>
                </c:pt>
                <c:pt idx="282">
                  <c:v>19.146189081920369</c:v>
                </c:pt>
                <c:pt idx="283">
                  <c:v>18.881667668860509</c:v>
                </c:pt>
                <c:pt idx="284">
                  <c:v>18.615131828893254</c:v>
                </c:pt>
                <c:pt idx="285">
                  <c:v>18.346551047378554</c:v>
                </c:pt>
                <c:pt idx="286">
                  <c:v>18.075896364586161</c:v>
                </c:pt>
                <c:pt idx="287">
                  <c:v>17.803140484888768</c:v>
                </c:pt>
                <c:pt idx="288">
                  <c:v>17.528257882390342</c:v>
                </c:pt>
                <c:pt idx="289">
                  <c:v>17.251224902216947</c:v>
                </c:pt>
                <c:pt idx="290">
                  <c:v>16.972019856707426</c:v>
                </c:pt>
                <c:pt idx="291">
                  <c:v>16.690623115760161</c:v>
                </c:pt>
                <c:pt idx="292">
                  <c:v>16.407017190624838</c:v>
                </c:pt>
                <c:pt idx="293">
                  <c:v>16.121186810463602</c:v>
                </c:pt>
                <c:pt idx="294">
                  <c:v>15.833118991056192</c:v>
                </c:pt>
                <c:pt idx="295">
                  <c:v>15.542803095081194</c:v>
                </c:pt>
                <c:pt idx="296">
                  <c:v>15.250230883470255</c:v>
                </c:pt>
                <c:pt idx="297">
                  <c:v>14.955396557402917</c:v>
                </c:pt>
                <c:pt idx="298">
                  <c:v>14.658296790594083</c:v>
                </c:pt>
                <c:pt idx="299">
                  <c:v>14.358930751604397</c:v>
                </c:pt>
                <c:pt idx="300">
                  <c:v>14.057300115995648</c:v>
                </c:pt>
                <c:pt idx="301">
                  <c:v>13.753409068244435</c:v>
                </c:pt>
                <c:pt idx="302">
                  <c:v>13.447264293419197</c:v>
                </c:pt>
                <c:pt idx="303">
                  <c:v>13.138874958716432</c:v>
                </c:pt>
                <c:pt idx="304">
                  <c:v>12.828252685047183</c:v>
                </c:pt>
                <c:pt idx="305">
                  <c:v>12.515411508946336</c:v>
                </c:pt>
                <c:pt idx="306">
                  <c:v>12.200367835166686</c:v>
                </c:pt>
                <c:pt idx="307">
                  <c:v>11.883140380395727</c:v>
                </c:pt>
                <c:pt idx="308">
                  <c:v>11.563750108601774</c:v>
                </c:pt>
                <c:pt idx="309">
                  <c:v>11.242220158585654</c:v>
                </c:pt>
                <c:pt idx="310">
                  <c:v>10.918575764364117</c:v>
                </c:pt>
                <c:pt idx="311">
                  <c:v>10.592844169062623</c:v>
                </c:pt>
                <c:pt idx="312">
                  <c:v>10.265054533027037</c:v>
                </c:pt>
                <c:pt idx="313">
                  <c:v>9.935237836899006</c:v>
                </c:pt>
                <c:pt idx="314">
                  <c:v>9.6034267804075686</c:v>
                </c:pt>
                <c:pt idx="315">
                  <c:v>9.2696556776485028</c:v>
                </c:pt>
                <c:pt idx="316">
                  <c:v>8.9339603496147841</c:v>
                </c:pt>
                <c:pt idx="317">
                  <c:v>8.5963780147342188</c:v>
                </c:pt>
                <c:pt idx="318">
                  <c:v>8.2569471781528634</c:v>
                </c:pt>
                <c:pt idx="319">
                  <c:v>7.915707520477449</c:v>
                </c:pt>
                <c:pt idx="320">
                  <c:v>7.572699786654673</c:v>
                </c:pt>
                <c:pt idx="321">
                  <c:v>7.2279656756338806</c:v>
                </c:pt>
                <c:pt idx="322">
                  <c:v>6.8815477314077178</c:v>
                </c:pt>
                <c:pt idx="323">
                  <c:v>6.533489235983434</c:v>
                </c:pt>
                <c:pt idx="324">
                  <c:v>6.1838341047876044</c:v>
                </c:pt>
                <c:pt idx="325">
                  <c:v>5.8326267849472293</c:v>
                </c:pt>
                <c:pt idx="326">
                  <c:v>5.4799121568462708</c:v>
                </c:pt>
                <c:pt idx="327">
                  <c:v>5.1257354392886967</c:v>
                </c:pt>
                <c:pt idx="328">
                  <c:v>4.7701420985551577</c:v>
                </c:pt>
                <c:pt idx="329">
                  <c:v>4.4131777615766348</c:v>
                </c:pt>
                <c:pt idx="330">
                  <c:v>4.0548881334050115</c:v>
                </c:pt>
                <c:pt idx="331">
                  <c:v>3.6953189190971298</c:v>
                </c:pt>
                <c:pt idx="332">
                  <c:v>3.3345157500899192</c:v>
                </c:pt>
                <c:pt idx="333">
                  <c:v>2.9725241150931319</c:v>
                </c:pt>
                <c:pt idx="334">
                  <c:v>2.6093892954823792</c:v>
                </c:pt>
                <c:pt idx="335">
                  <c:v>2.2451563051362373</c:v>
                </c:pt>
                <c:pt idx="336">
                  <c:v>1.8798698346257789</c:v>
                </c:pt>
                <c:pt idx="337">
                  <c:v>1.513574199625058</c:v>
                </c:pt>
                <c:pt idx="338">
                  <c:v>1.1463132933905116</c:v>
                </c:pt>
                <c:pt idx="339">
                  <c:v>0.77813054312249619</c:v>
                </c:pt>
                <c:pt idx="340">
                  <c:v>0.40906887000492487</c:v>
                </c:pt>
                <c:pt idx="341">
                  <c:v>3.917065269426874E-2</c:v>
                </c:pt>
                <c:pt idx="342">
                  <c:v>-0.3315223059804917</c:v>
                </c:pt>
                <c:pt idx="343">
                  <c:v>-0.7029688093647366</c:v>
                </c:pt>
                <c:pt idx="344">
                  <c:v>-1.0751282946340208</c:v>
                </c:pt>
                <c:pt idx="345">
                  <c:v>-1.4479608580327485</c:v>
                </c:pt>
                <c:pt idx="346">
                  <c:v>-1.8214272779688199</c:v>
                </c:pt>
                <c:pt idx="347">
                  <c:v>-2.1954890362406427</c:v>
                </c:pt>
                <c:pt idx="348">
                  <c:v>-2.5701083376730258</c:v>
                </c:pt>
                <c:pt idx="349">
                  <c:v>-2.9452481284303458</c:v>
                </c:pt>
                <c:pt idx="350">
                  <c:v>-3.3208721132720935</c:v>
                </c:pt>
                <c:pt idx="351">
                  <c:v>-3.6969447720063302</c:v>
                </c:pt>
                <c:pt idx="352">
                  <c:v>-4.0734313753837466</c:v>
                </c:pt>
                <c:pt idx="353">
                  <c:v>-4.4502980006632153</c:v>
                </c:pt>
                <c:pt idx="354">
                  <c:v>-4.8275115470653311</c:v>
                </c:pt>
                <c:pt idx="355">
                  <c:v>-5.2050397513077513</c:v>
                </c:pt>
                <c:pt idx="356">
                  <c:v>-5.5828512034031252</c:v>
                </c:pt>
                <c:pt idx="357">
                  <c:v>-5.9609153628731404</c:v>
                </c:pt>
                <c:pt idx="358">
                  <c:v>-6.3392025755114467</c:v>
                </c:pt>
                <c:pt idx="359">
                  <c:v>-6.7176840908009305</c:v>
                </c:pt>
                <c:pt idx="360">
                  <c:v>-7.0963320800655527</c:v>
                </c:pt>
                <c:pt idx="361">
                  <c:v>-7.4751196554049182</c:v>
                </c:pt>
                <c:pt idx="362">
                  <c:v>-7.8540208894311947</c:v>
                </c:pt>
                <c:pt idx="363">
                  <c:v>-8.2330108357958096</c:v>
                </c:pt>
                <c:pt idx="364">
                  <c:v>-8.6120655504577677</c:v>
                </c:pt>
                <c:pt idx="365">
                  <c:v>-8.9911621136135267</c:v>
                </c:pt>
                <c:pt idx="366">
                  <c:v>-9.3702786521725461</c:v>
                </c:pt>
                <c:pt idx="367">
                  <c:v>-9.7493943626252708</c:v>
                </c:pt>
                <c:pt idx="368">
                  <c:v>-10.128489534117268</c:v>
                </c:pt>
                <c:pt idx="369">
                  <c:v>-10.507545571506745</c:v>
                </c:pt>
                <c:pt idx="370">
                  <c:v>-10.886545018146576</c:v>
                </c:pt>
                <c:pt idx="371">
                  <c:v>-11.265471578103135</c:v>
                </c:pt>
                <c:pt idx="372">
                  <c:v>-11.644310137488699</c:v>
                </c:pt>
                <c:pt idx="373">
                  <c:v>-12.023046784557714</c:v>
                </c:pt>
                <c:pt idx="374">
                  <c:v>-12.401668828192157</c:v>
                </c:pt>
                <c:pt idx="375">
                  <c:v>-12.780164814378722</c:v>
                </c:pt>
                <c:pt idx="376">
                  <c:v>-13.158524540263084</c:v>
                </c:pt>
                <c:pt idx="377">
                  <c:v>-13.536739065356</c:v>
                </c:pt>
                <c:pt idx="378">
                  <c:v>-13.914800719457785</c:v>
                </c:pt>
                <c:pt idx="379">
                  <c:v>-14.292703106869322</c:v>
                </c:pt>
                <c:pt idx="380">
                  <c:v>-14.670441106463763</c:v>
                </c:pt>
                <c:pt idx="381">
                  <c:v>-15.048010867205967</c:v>
                </c:pt>
                <c:pt idx="382">
                  <c:v>-15.425409798730596</c:v>
                </c:pt>
                <c:pt idx="383">
                  <c:v>-15.802636556616429</c:v>
                </c:pt>
                <c:pt idx="384">
                  <c:v>-16.179691022033069</c:v>
                </c:pt>
                <c:pt idx="385">
                  <c:v>-16.556574275478301</c:v>
                </c:pt>
                <c:pt idx="386">
                  <c:v>-16.933288564378742</c:v>
                </c:pt>
                <c:pt idx="387">
                  <c:v>-17.309837264383066</c:v>
                </c:pt>
                <c:pt idx="388">
                  <c:v>-17.686224834240324</c:v>
                </c:pt>
                <c:pt idx="389">
                  <c:v>-18.062456764228976</c:v>
                </c:pt>
                <c:pt idx="390">
                  <c:v>-18.438539518172618</c:v>
                </c:pt>
                <c:pt idx="391">
                  <c:v>-18.814480469158262</c:v>
                </c:pt>
                <c:pt idx="392">
                  <c:v>-19.190287829147962</c:v>
                </c:pt>
                <c:pt idx="393">
                  <c:v>-19.565970572759941</c:v>
                </c:pt>
                <c:pt idx="394">
                  <c:v>-19.941538355564958</c:v>
                </c:pt>
                <c:pt idx="395">
                  <c:v>-20.317001427328091</c:v>
                </c:pt>
                <c:pt idx="396">
                  <c:v>-20.692370540688461</c:v>
                </c:pt>
                <c:pt idx="397">
                  <c:v>-21.067656855843083</c:v>
                </c:pt>
                <c:pt idx="398">
                  <c:v>-21.442871841851691</c:v>
                </c:pt>
                <c:pt idx="399">
                  <c:v>-21.818027175237887</c:v>
                </c:pt>
                <c:pt idx="400">
                  <c:v>-22.193134636594763</c:v>
                </c:pt>
                <c:pt idx="401">
                  <c:v>-22.568206005939597</c:v>
                </c:pt>
                <c:pt idx="402">
                  <c:v>-22.943252957578405</c:v>
                </c:pt>
                <c:pt idx="403">
                  <c:v>-23.318286955252418</c:v>
                </c:pt>
                <c:pt idx="404">
                  <c:v>-23.693319148330882</c:v>
                </c:pt>
                <c:pt idx="405">
                  <c:v>-24.068360269805147</c:v>
                </c:pt>
                <c:pt idx="406">
                  <c:v>-24.443420536808663</c:v>
                </c:pt>
                <c:pt idx="407">
                  <c:v>-24.818509554353405</c:v>
                </c:pt>
                <c:pt idx="408">
                  <c:v>-25.193636222928056</c:v>
                </c:pt>
                <c:pt idx="409">
                  <c:v>-25.56880865054665</c:v>
                </c:pt>
                <c:pt idx="410">
                  <c:v>-25.944034069776201</c:v>
                </c:pt>
                <c:pt idx="411">
                  <c:v>-26.319318760204983</c:v>
                </c:pt>
                <c:pt idx="412">
                  <c:v>-26.694667976738046</c:v>
                </c:pt>
                <c:pt idx="413">
                  <c:v>-27.070085884035173</c:v>
                </c:pt>
                <c:pt idx="414">
                  <c:v>-27.445575497326558</c:v>
                </c:pt>
                <c:pt idx="415">
                  <c:v>-27.821138629767248</c:v>
                </c:pt>
                <c:pt idx="416">
                  <c:v>-28.196775846416081</c:v>
                </c:pt>
                <c:pt idx="417">
                  <c:v>-28.57248642485246</c:v>
                </c:pt>
                <c:pt idx="418">
                  <c:v>-28.948268322374204</c:v>
                </c:pt>
                <c:pt idx="419">
                  <c:v>-29.3241181496617</c:v>
                </c:pt>
                <c:pt idx="420">
                  <c:v>-29.700031150732897</c:v>
                </c:pt>
                <c:pt idx="421">
                  <c:v>-30.076001188962842</c:v>
                </c:pt>
                <c:pt idx="422">
                  <c:v>-30.452020738901521</c:v>
                </c:pt>
                <c:pt idx="423">
                  <c:v>-30.828080883588708</c:v>
                </c:pt>
                <c:pt idx="424">
                  <c:v>-31.204171317030109</c:v>
                </c:pt>
                <c:pt idx="425">
                  <c:v>-31.580280351491623</c:v>
                </c:pt>
                <c:pt idx="426">
                  <c:v>-31.956394929244535</c:v>
                </c:pt>
                <c:pt idx="427">
                  <c:v>-32.332500638395253</c:v>
                </c:pt>
                <c:pt idx="428">
                  <c:v>-32.708581732436699</c:v>
                </c:pt>
                <c:pt idx="429">
                  <c:v>-33.084621153165429</c:v>
                </c:pt>
                <c:pt idx="430">
                  <c:v>-33.460600556618104</c:v>
                </c:pt>
                <c:pt idx="431">
                  <c:v>-33.83650034171346</c:v>
                </c:pt>
                <c:pt idx="432">
                  <c:v>-34.212299681293459</c:v>
                </c:pt>
                <c:pt idx="433">
                  <c:v>-34.587976555302816</c:v>
                </c:pt>
                <c:pt idx="434">
                  <c:v>-34.96350778586033</c:v>
                </c:pt>
                <c:pt idx="435">
                  <c:v>-35.338869074024537</c:v>
                </c:pt>
                <c:pt idx="436">
                  <c:v>-35.714035038079643</c:v>
                </c:pt>
                <c:pt idx="437">
                  <c:v>-36.088979253212045</c:v>
                </c:pt>
                <c:pt idx="438">
                  <c:v>-36.463674292480299</c:v>
                </c:pt>
                <c:pt idx="439">
                  <c:v>-36.838091769020195</c:v>
                </c:pt>
                <c:pt idx="440">
                  <c:v>-37.212202379461502</c:v>
                </c:pt>
                <c:pt idx="441">
                  <c:v>-37.585975948570535</c:v>
                </c:pt>
                <c:pt idx="442">
                  <c:v>-37.959381475160868</c:v>
                </c:pt>
                <c:pt idx="443">
                  <c:v>-38.332387179352203</c:v>
                </c:pt>
                <c:pt idx="444">
                  <c:v>-38.70496055128045</c:v>
                </c:pt>
                <c:pt idx="445">
                  <c:v>-39.077068401392339</c:v>
                </c:pt>
                <c:pt idx="446">
                  <c:v>-39.448676912477531</c:v>
                </c:pt>
                <c:pt idx="447">
                  <c:v>-39.819751693613064</c:v>
                </c:pt>
                <c:pt idx="448">
                  <c:v>-40.190257836209938</c:v>
                </c:pt>
                <c:pt idx="449">
                  <c:v>-40.56015997236338</c:v>
                </c:pt>
                <c:pt idx="450">
                  <c:v>-40.929422335717604</c:v>
                </c:pt>
                <c:pt idx="451">
                  <c:v>-41.298008825056883</c:v>
                </c:pt>
                <c:pt idx="452">
                  <c:v>-41.665883070838717</c:v>
                </c:pt>
                <c:pt idx="453">
                  <c:v>-42.033008504874985</c:v>
                </c:pt>
                <c:pt idx="454">
                  <c:v>-42.39934843336043</c:v>
                </c:pt>
                <c:pt idx="455">
                  <c:v>-42.764866113433158</c:v>
                </c:pt>
                <c:pt idx="456">
                  <c:v>-43.129524833429528</c:v>
                </c:pt>
                <c:pt idx="457">
                  <c:v>-43.493287996978665</c:v>
                </c:pt>
                <c:pt idx="458">
                  <c:v>-43.856119211045829</c:v>
                </c:pt>
                <c:pt idx="459">
                  <c:v>-44.217982378005459</c:v>
                </c:pt>
                <c:pt idx="460">
                  <c:v>-44.578841791786857</c:v>
                </c:pt>
                <c:pt idx="461">
                  <c:v>-44.938662238091645</c:v>
                </c:pt>
                <c:pt idx="462">
                  <c:v>-45.297409098637253</c:v>
                </c:pt>
                <c:pt idx="463">
                  <c:v>-45.655048459332932</c:v>
                </c:pt>
                <c:pt idx="464">
                  <c:v>-46.011547222237823</c:v>
                </c:pt>
                <c:pt idx="465">
                  <c:v>-46.366873221098388</c:v>
                </c:pt>
                <c:pt idx="466">
                  <c:v>-46.720995340203743</c:v>
                </c:pt>
                <c:pt idx="467">
                  <c:v>-47.073883636235614</c:v>
                </c:pt>
                <c:pt idx="468">
                  <c:v>-47.425509462730375</c:v>
                </c:pt>
                <c:pt idx="469">
                  <c:v>-47.775845596710454</c:v>
                </c:pt>
                <c:pt idx="470">
                  <c:v>-48.124866366978779</c:v>
                </c:pt>
                <c:pt idx="471">
                  <c:v>-48.472547783513626</c:v>
                </c:pt>
                <c:pt idx="472">
                  <c:v>-48.81886766734241</c:v>
                </c:pt>
                <c:pt idx="473">
                  <c:v>-49.163805780220507</c:v>
                </c:pt>
                <c:pt idx="474">
                  <c:v>-49.507343953390873</c:v>
                </c:pt>
                <c:pt idx="475">
                  <c:v>-49.84946621465717</c:v>
                </c:pt>
                <c:pt idx="476">
                  <c:v>-50.19015891296295</c:v>
                </c:pt>
                <c:pt idx="477">
                  <c:v>-50.52941083963978</c:v>
                </c:pt>
                <c:pt idx="478">
                  <c:v>-50.867213345463597</c:v>
                </c:pt>
                <c:pt idx="479">
                  <c:v>-51.203560452641582</c:v>
                </c:pt>
                <c:pt idx="480">
                  <c:v>-51.538448960848754</c:v>
                </c:pt>
                <c:pt idx="481">
                  <c:v>-51.871878546432782</c:v>
                </c:pt>
                <c:pt idx="482">
                  <c:v>-52.20385185392292</c:v>
                </c:pt>
                <c:pt idx="483">
                  <c:v>-52.534374578997415</c:v>
                </c:pt>
                <c:pt idx="484">
                  <c:v>-52.863455542101015</c:v>
                </c:pt>
                <c:pt idx="485">
                  <c:v>-53.191106751942343</c:v>
                </c:pt>
                <c:pt idx="486">
                  <c:v>-53.517343458155423</c:v>
                </c:pt>
                <c:pt idx="487">
                  <c:v>-53.842184192470469</c:v>
                </c:pt>
                <c:pt idx="488">
                  <c:v>-54.165650797802854</c:v>
                </c:pt>
                <c:pt idx="489">
                  <c:v>-54.487768444752689</c:v>
                </c:pt>
                <c:pt idx="490">
                  <c:v>-54.808565635080548</c:v>
                </c:pt>
                <c:pt idx="491">
                  <c:v>-55.128074191818435</c:v>
                </c:pt>
                <c:pt idx="492">
                  <c:v>-55.446329235761993</c:v>
                </c:pt>
                <c:pt idx="493">
                  <c:v>-55.763369148184907</c:v>
                </c:pt>
                <c:pt idx="494">
                  <c:v>-56.079235519711112</c:v>
                </c:pt>
                <c:pt idx="495">
                  <c:v>-56.393973085375791</c:v>
                </c:pt>
                <c:pt idx="496">
                  <c:v>-56.707629645999504</c:v>
                </c:pt>
                <c:pt idx="497">
                  <c:v>-57.0202559760952</c:v>
                </c:pt>
                <c:pt idx="498">
                  <c:v>-57.331905718612035</c:v>
                </c:pt>
                <c:pt idx="499">
                  <c:v>-57.642635266910467</c:v>
                </c:pt>
                <c:pt idx="500">
                  <c:v>-57.952503634443644</c:v>
                </c:pt>
                <c:pt idx="501">
                  <c:v>-58.261572312690795</c:v>
                </c:pt>
                <c:pt idx="502">
                  <c:v>-58.569905117965575</c:v>
                </c:pt>
                <c:pt idx="503">
                  <c:v>-58.877568027782402</c:v>
                </c:pt>
                <c:pt idx="504">
                  <c:v>-59.18462900752138</c:v>
                </c:pt>
                <c:pt idx="505">
                  <c:v>-59.491157828188683</c:v>
                </c:pt>
                <c:pt idx="506">
                  <c:v>-59.797225876109401</c:v>
                </c:pt>
                <c:pt idx="507">
                  <c:v>-60.102905955433961</c:v>
                </c:pt>
                <c:pt idx="508">
                  <c:v>-60.408272084372157</c:v>
                </c:pt>
                <c:pt idx="509">
                  <c:v>-60.713399286097818</c:v>
                </c:pt>
                <c:pt idx="510">
                  <c:v>-61.018363375288686</c:v>
                </c:pt>
                <c:pt idx="511">
                  <c:v>-61.323240741288039</c:v>
                </c:pt>
                <c:pt idx="512">
                  <c:v>-61.62810812888776</c:v>
                </c:pt>
                <c:pt idx="513">
                  <c:v>-61.933042417740189</c:v>
                </c:pt>
                <c:pt idx="514">
                  <c:v>-62.238120401414619</c:v>
                </c:pt>
                <c:pt idx="515">
                  <c:v>-62.543418567114728</c:v>
                </c:pt>
                <c:pt idx="516">
                  <c:v>-62.849012877070578</c:v>
                </c:pt>
                <c:pt idx="517">
                  <c:v>-63.154978552612363</c:v>
                </c:pt>
                <c:pt idx="518">
                  <c:v>-63.461389861923621</c:v>
                </c:pt>
                <c:pt idx="519">
                  <c:v>-63.76831991245492</c:v>
                </c:pt>
                <c:pt idx="520">
                  <c:v>-64.075840448958672</c:v>
                </c:pt>
                <c:pt idx="521">
                  <c:v>-64.384021658085985</c:v>
                </c:pt>
                <c:pt idx="522">
                  <c:v>-64.692931980449089</c:v>
                </c:pt>
                <c:pt idx="523">
                  <c:v>-65.002637931023614</c:v>
                </c:pt>
                <c:pt idx="524">
                  <c:v>-65.313203928722089</c:v>
                </c:pt>
                <c:pt idx="525">
                  <c:v>-65.624692135921364</c:v>
                </c:pt>
                <c:pt idx="526">
                  <c:v>-65.937162308674829</c:v>
                </c:pt>
                <c:pt idx="527">
                  <c:v>-66.250671658281007</c:v>
                </c:pt>
                <c:pt idx="528">
                  <c:v>-66.565274724814159</c:v>
                </c:pt>
                <c:pt idx="529">
                  <c:v>-66.881023263150936</c:v>
                </c:pt>
                <c:pt idx="530">
                  <c:v>-67.197966141946978</c:v>
                </c:pt>
                <c:pt idx="531">
                  <c:v>-67.516149255943617</c:v>
                </c:pt>
                <c:pt idx="532">
                  <c:v>-67.835615451885459</c:v>
                </c:pt>
                <c:pt idx="533">
                  <c:v>-68.156404468251608</c:v>
                </c:pt>
                <c:pt idx="534">
                  <c:v>-68.478552888899912</c:v>
                </c:pt>
                <c:pt idx="535">
                  <c:v>-68.80209411063494</c:v>
                </c:pt>
                <c:pt idx="536">
                  <c:v>-69.127058324608697</c:v>
                </c:pt>
                <c:pt idx="537">
                  <c:v>-69.453472511375011</c:v>
                </c:pt>
                <c:pt idx="538">
                  <c:v>-69.781360449315784</c:v>
                </c:pt>
                <c:pt idx="539">
                  <c:v>-70.110742736072169</c:v>
                </c:pt>
                <c:pt idx="540">
                  <c:v>-70.441636822523705</c:v>
                </c:pt>
                <c:pt idx="541">
                  <c:v>-70.774057058778965</c:v>
                </c:pt>
              </c:numCache>
            </c:numRef>
          </c:yVal>
          <c:smooth val="1"/>
          <c:extLst>
            <c:ext xmlns:c16="http://schemas.microsoft.com/office/drawing/2014/chart" uri="{C3380CC4-5D6E-409C-BE32-E72D297353CC}">
              <c16:uniqueId val="{00000000-2366-45D5-89AB-25312676E0B6}"/>
            </c:ext>
          </c:extLst>
        </c:ser>
        <c:ser>
          <c:idx val="2"/>
          <c:order val="2"/>
          <c:tx>
            <c:v>f_LP</c:v>
          </c:tx>
          <c:spPr>
            <a:ln w="38100" cmpd="sng"/>
          </c:spPr>
          <c:marker>
            <c:symbol val="x"/>
            <c:size val="7"/>
            <c:spPr>
              <a:noFill/>
            </c:spPr>
          </c:marker>
          <c:dPt>
            <c:idx val="0"/>
            <c:marker>
              <c:spPr>
                <a:noFill/>
                <a:ln w="19050">
                  <a:solidFill>
                    <a:schemeClr val="tx1"/>
                  </a:solidFill>
                </a:ln>
              </c:spPr>
            </c:marker>
            <c:bubble3D val="0"/>
            <c:extLst>
              <c:ext xmlns:c16="http://schemas.microsoft.com/office/drawing/2014/chart" uri="{C3380CC4-5D6E-409C-BE32-E72D297353CC}">
                <c16:uniqueId val="{00000001-2366-45D5-89AB-25312676E0B6}"/>
              </c:ext>
            </c:extLst>
          </c:dPt>
          <c:dLbls>
            <c:dLbl>
              <c:idx val="0"/>
              <c:tx>
                <c:rich>
                  <a:bodyPr/>
                  <a:lstStyle/>
                  <a:p>
                    <a:r>
                      <a:rPr lang="en-US" sz="1100" b="1"/>
                      <a:t>f</a:t>
                    </a:r>
                    <a:r>
                      <a:rPr lang="en-US" sz="1100" b="1" baseline="-25000"/>
                      <a:t>LP</a:t>
                    </a:r>
                    <a:endParaRPr lang="en-US" b="1" baseline="-25000"/>
                  </a:p>
                </c:rich>
              </c:tx>
              <c:dLblPos val="b"/>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366-45D5-89AB-25312676E0B6}"/>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CCM_Loop_Modeling_Isolated!$O$11</c:f>
              <c:numCache>
                <c:formatCode>0</c:formatCode>
                <c:ptCount val="1"/>
                <c:pt idx="0">
                  <c:v>6.9630287602704204</c:v>
                </c:pt>
              </c:numCache>
            </c:numRef>
          </c:xVal>
          <c:yVal>
            <c:numRef>
              <c:f>CCM_Loop_Modeling_Isolated!$AW$11</c:f>
              <c:numCache>
                <c:formatCode>0.000</c:formatCode>
                <c:ptCount val="1"/>
                <c:pt idx="0">
                  <c:v>100.77523583947782</c:v>
                </c:pt>
              </c:numCache>
            </c:numRef>
          </c:yVal>
          <c:smooth val="0"/>
          <c:extLst>
            <c:ext xmlns:c16="http://schemas.microsoft.com/office/drawing/2014/chart" uri="{C3380CC4-5D6E-409C-BE32-E72D297353CC}">
              <c16:uniqueId val="{00000002-2366-45D5-89AB-25312676E0B6}"/>
            </c:ext>
          </c:extLst>
        </c:ser>
        <c:ser>
          <c:idx val="3"/>
          <c:order val="3"/>
          <c:tx>
            <c:v>fz_rhp</c:v>
          </c:tx>
          <c:spPr>
            <a:ln>
              <a:solidFill>
                <a:schemeClr val="tx1"/>
              </a:solidFill>
            </a:ln>
          </c:spPr>
          <c:marker>
            <c:symbol val="circle"/>
            <c:size val="7"/>
            <c:spPr>
              <a:noFill/>
              <a:ln w="19050">
                <a:solidFill>
                  <a:schemeClr val="tx1"/>
                </a:solidFill>
              </a:ln>
            </c:spPr>
          </c:marker>
          <c:dLbls>
            <c:dLbl>
              <c:idx val="0"/>
              <c:layout>
                <c:manualLayout>
                  <c:x val="8.0501209561423519E-3"/>
                  <c:y val="-1.549366727850418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2366-45D5-89AB-25312676E0B6}"/>
                </c:ext>
              </c:extLst>
            </c:dLbl>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CCM_Loop_Modeling_Isolated!$O$9</c:f>
              <c:numCache>
                <c:formatCode>0</c:formatCode>
                <c:ptCount val="1"/>
                <c:pt idx="0">
                  <c:v>91673.24722093172</c:v>
                </c:pt>
              </c:numCache>
            </c:numRef>
          </c:xVal>
          <c:yVal>
            <c:numRef>
              <c:f>CCM_Loop_Modeling_Isolated!$AW$9</c:f>
              <c:numCache>
                <c:formatCode>0.000</c:formatCode>
                <c:ptCount val="1"/>
                <c:pt idx="0">
                  <c:v>-20.401190052664315</c:v>
                </c:pt>
              </c:numCache>
            </c:numRef>
          </c:yVal>
          <c:smooth val="1"/>
          <c:extLst>
            <c:ext xmlns:c16="http://schemas.microsoft.com/office/drawing/2014/chart" uri="{C3380CC4-5D6E-409C-BE32-E72D297353CC}">
              <c16:uniqueId val="{00000004-2366-45D5-89AB-25312676E0B6}"/>
            </c:ext>
          </c:extLst>
        </c:ser>
        <c:ser>
          <c:idx val="4"/>
          <c:order val="4"/>
          <c:tx>
            <c:v>f_esr</c:v>
          </c:tx>
          <c:spPr>
            <a:ln>
              <a:noFill/>
            </a:ln>
          </c:spPr>
          <c:marker>
            <c:symbol val="circle"/>
            <c:size val="5"/>
            <c:spPr>
              <a:noFill/>
              <a:ln w="19050">
                <a:solidFill>
                  <a:schemeClr val="tx1"/>
                </a:solidFill>
              </a:ln>
            </c:spPr>
          </c:marker>
          <c:dPt>
            <c:idx val="0"/>
            <c:marker>
              <c:symbol val="circle"/>
              <c:size val="7"/>
            </c:marker>
            <c:bubble3D val="0"/>
            <c:extLst>
              <c:ext xmlns:c16="http://schemas.microsoft.com/office/drawing/2014/chart" uri="{C3380CC4-5D6E-409C-BE32-E72D297353CC}">
                <c16:uniqueId val="{00000005-2366-45D5-89AB-25312676E0B6}"/>
              </c:ext>
            </c:extLst>
          </c:dPt>
          <c:dLbls>
            <c:dLbl>
              <c:idx val="0"/>
              <c:layout>
                <c:manualLayout>
                  <c:x val="-5.990474489899654E-2"/>
                  <c:y val="-1.245719349008710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2366-45D5-89AB-25312676E0B6}"/>
                </c:ext>
              </c:extLst>
            </c:dLbl>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CCM_Loop_Modeling_Isolated!$O$10</c:f>
              <c:numCache>
                <c:formatCode>0</c:formatCode>
                <c:ptCount val="1"/>
                <c:pt idx="0">
                  <c:v>795774.71545947669</c:v>
                </c:pt>
              </c:numCache>
            </c:numRef>
          </c:xVal>
          <c:yVal>
            <c:numRef>
              <c:f>CCM_Loop_Modeling_Isolated!$AW$10</c:f>
              <c:numCache>
                <c:formatCode>0.000</c:formatCode>
                <c:ptCount val="1"/>
                <c:pt idx="0">
                  <c:v>-54.513163434402891</c:v>
                </c:pt>
              </c:numCache>
            </c:numRef>
          </c:yVal>
          <c:smooth val="1"/>
          <c:extLst>
            <c:ext xmlns:c16="http://schemas.microsoft.com/office/drawing/2014/chart" uri="{C3380CC4-5D6E-409C-BE32-E72D297353CC}">
              <c16:uniqueId val="{00000006-2366-45D5-89AB-25312676E0B6}"/>
            </c:ext>
          </c:extLst>
        </c:ser>
        <c:ser>
          <c:idx val="5"/>
          <c:order val="5"/>
          <c:tx>
            <c:v>fz_ea</c:v>
          </c:tx>
          <c:marker>
            <c:symbol val="circle"/>
            <c:size val="8"/>
            <c:spPr>
              <a:noFill/>
              <a:ln w="25400">
                <a:solidFill>
                  <a:srgbClr val="00B0F0"/>
                </a:solidFill>
              </a:ln>
            </c:spPr>
          </c:marker>
          <c:dLbls>
            <c:dLbl>
              <c:idx val="0"/>
              <c:spPr/>
              <c:txPr>
                <a:bodyPr/>
                <a:lstStyle/>
                <a:p>
                  <a:pPr>
                    <a:defRPr b="1"/>
                  </a:pPr>
                  <a:endParaRPr lang="fr-FR"/>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366-45D5-89AB-25312676E0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CCM_Loop_Modeling_Isolated!$O$12</c:f>
              <c:numCache>
                <c:formatCode>General</c:formatCode>
                <c:ptCount val="1"/>
                <c:pt idx="0">
                  <c:v>140.4969483508963</c:v>
                </c:pt>
              </c:numCache>
            </c:numRef>
          </c:xVal>
          <c:yVal>
            <c:numRef>
              <c:f>CCM_Loop_Modeling_Isolated!$AW$12</c:f>
              <c:numCache>
                <c:formatCode>0.000</c:formatCode>
                <c:ptCount val="1"/>
                <c:pt idx="0">
                  <c:v>56.275135967918501</c:v>
                </c:pt>
              </c:numCache>
            </c:numRef>
          </c:yVal>
          <c:smooth val="1"/>
          <c:extLst>
            <c:ext xmlns:c16="http://schemas.microsoft.com/office/drawing/2014/chart" uri="{C3380CC4-5D6E-409C-BE32-E72D297353CC}">
              <c16:uniqueId val="{00000008-2366-45D5-89AB-25312676E0B6}"/>
            </c:ext>
          </c:extLst>
        </c:ser>
        <c:dLbls>
          <c:showLegendKey val="0"/>
          <c:showVal val="0"/>
          <c:showCatName val="0"/>
          <c:showSerName val="0"/>
          <c:showPercent val="0"/>
          <c:showBubbleSize val="0"/>
        </c:dLbls>
        <c:axId val="589404800"/>
        <c:axId val="589419264"/>
      </c:scatterChart>
      <c:scatterChart>
        <c:scatterStyle val="smoothMarker"/>
        <c:varyColors val="0"/>
        <c:ser>
          <c:idx val="1"/>
          <c:order val="1"/>
          <c:tx>
            <c:v>Phase (deg)</c:v>
          </c:tx>
          <c:spPr>
            <a:ln w="28575">
              <a:solidFill>
                <a:schemeClr val="tx1">
                  <a:lumMod val="95000"/>
                  <a:lumOff val="5000"/>
                </a:schemeClr>
              </a:solidFill>
              <a:prstDash val="sysDash"/>
            </a:ln>
          </c:spPr>
          <c:marker>
            <c:symbol val="none"/>
          </c:marker>
          <c:xVal>
            <c:numRef>
              <c:f>CCM_Loop_Modeling_Isolated!$O$19:$O$560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CCM_Loop_Modeling_Isolated!$AX$19:$AX$560</c:f>
              <c:numCache>
                <c:formatCode>General</c:formatCode>
                <c:ptCount val="542"/>
                <c:pt idx="0">
                  <c:v>39.994054499155332</c:v>
                </c:pt>
                <c:pt idx="1">
                  <c:v>39.516275016528709</c:v>
                </c:pt>
                <c:pt idx="2">
                  <c:v>39.046944447683899</c:v>
                </c:pt>
                <c:pt idx="3">
                  <c:v>38.586348550735231</c:v>
                </c:pt>
                <c:pt idx="4">
                  <c:v>38.134762292998253</c:v>
                </c:pt>
                <c:pt idx="5">
                  <c:v>37.692449706937857</c:v>
                </c:pt>
                <c:pt idx="6">
                  <c:v>37.25966379778518</c:v>
                </c:pt>
                <c:pt idx="7">
                  <c:v>36.836646500775494</c:v>
                </c:pt>
                <c:pt idx="8">
                  <c:v>36.423628685648623</c:v>
                </c:pt>
                <c:pt idx="9">
                  <c:v>36.020830205782268</c:v>
                </c:pt>
                <c:pt idx="10">
                  <c:v>35.628459989106055</c:v>
                </c:pt>
                <c:pt idx="11">
                  <c:v>35.246716167748971</c:v>
                </c:pt>
                <c:pt idx="12">
                  <c:v>34.875786243250076</c:v>
                </c:pt>
                <c:pt idx="13">
                  <c:v>34.515847284036688</c:v>
                </c:pt>
                <c:pt idx="14">
                  <c:v>34.167066151829417</c:v>
                </c:pt>
                <c:pt idx="15">
                  <c:v>33.829599753590031</c:v>
                </c:pt>
                <c:pt idx="16">
                  <c:v>33.503595315645782</c:v>
                </c:pt>
                <c:pt idx="17">
                  <c:v>33.189190676639036</c:v>
                </c:pt>
                <c:pt idx="18">
                  <c:v>32.88651459602675</c:v>
                </c:pt>
                <c:pt idx="19">
                  <c:v>32.595687074926452</c:v>
                </c:pt>
                <c:pt idx="20">
                  <c:v>32.316819686206493</c:v>
                </c:pt>
                <c:pt idx="21">
                  <c:v>32.050015910845595</c:v>
                </c:pt>
                <c:pt idx="22">
                  <c:v>31.795371477704229</c:v>
                </c:pt>
                <c:pt idx="23">
                  <c:v>31.552974704000899</c:v>
                </c:pt>
                <c:pt idx="24">
                  <c:v>31.322906833942195</c:v>
                </c:pt>
                <c:pt idx="25">
                  <c:v>31.105242373084341</c:v>
                </c:pt>
                <c:pt idx="26">
                  <c:v>30.900049416199003</c:v>
                </c:pt>
                <c:pt idx="27">
                  <c:v>30.70738996653866</c:v>
                </c:pt>
                <c:pt idx="28">
                  <c:v>30.52732024458119</c:v>
                </c:pt>
                <c:pt idx="29">
                  <c:v>30.359890984470912</c:v>
                </c:pt>
                <c:pt idx="30">
                  <c:v>30.205147716540498</c:v>
                </c:pt>
                <c:pt idx="31">
                  <c:v>30.063131034429258</c:v>
                </c:pt>
                <c:pt idx="32">
                  <c:v>29.93387684547697</c:v>
                </c:pt>
                <c:pt idx="33">
                  <c:v>29.817416603187731</c:v>
                </c:pt>
                <c:pt idx="34">
                  <c:v>29.713777520706209</c:v>
                </c:pt>
                <c:pt idx="35">
                  <c:v>29.622982764365513</c:v>
                </c:pt>
                <c:pt idx="36">
                  <c:v>29.545051626490494</c:v>
                </c:pt>
                <c:pt idx="37">
                  <c:v>29.479999676745468</c:v>
                </c:pt>
                <c:pt idx="38">
                  <c:v>29.4278388914388</c:v>
                </c:pt>
                <c:pt idx="39">
                  <c:v>29.388577760282139</c:v>
                </c:pt>
                <c:pt idx="40">
                  <c:v>29.362221370215366</c:v>
                </c:pt>
                <c:pt idx="41">
                  <c:v>29.348771465999956</c:v>
                </c:pt>
                <c:pt idx="42">
                  <c:v>29.348226487372312</c:v>
                </c:pt>
                <c:pt idx="43">
                  <c:v>29.360581582644144</c:v>
                </c:pt>
                <c:pt idx="44">
                  <c:v>29.385828598724331</c:v>
                </c:pt>
                <c:pt idx="45">
                  <c:v>29.423956047625857</c:v>
                </c:pt>
                <c:pt idx="46">
                  <c:v>29.474949049610121</c:v>
                </c:pt>
                <c:pt idx="47">
                  <c:v>29.538789253210982</c:v>
                </c:pt>
                <c:pt idx="48">
                  <c:v>29.61545473247557</c:v>
                </c:pt>
                <c:pt idx="49">
                  <c:v>29.704919861852257</c:v>
                </c:pt>
                <c:pt idx="50">
                  <c:v>29.807155169249686</c:v>
                </c:pt>
                <c:pt idx="51">
                  <c:v>29.922127167907064</c:v>
                </c:pt>
                <c:pt idx="52">
                  <c:v>30.049798167806635</c:v>
                </c:pt>
                <c:pt idx="53">
                  <c:v>30.190126067482591</c:v>
                </c:pt>
                <c:pt idx="54">
                  <c:v>30.343064127193127</c:v>
                </c:pt>
                <c:pt idx="55">
                  <c:v>30.508560724549589</c:v>
                </c:pt>
                <c:pt idx="56">
                  <c:v>30.686559093817529</c:v>
                </c:pt>
                <c:pt idx="57">
                  <c:v>30.876997050250623</c:v>
                </c:pt>
                <c:pt idx="58">
                  <c:v>31.079806700941063</c:v>
                </c:pt>
                <c:pt idx="59">
                  <c:v>31.29491414383088</c:v>
                </c:pt>
                <c:pt idx="60">
                  <c:v>31.522239156663744</c:v>
                </c:pt>
                <c:pt idx="61">
                  <c:v>31.761694877806473</c:v>
                </c:pt>
                <c:pt idx="62">
                  <c:v>32.013187481032894</c:v>
                </c:pt>
                <c:pt idx="63">
                  <c:v>32.276615846495162</c:v>
                </c:pt>
                <c:pt idx="64">
                  <c:v>32.551871230276404</c:v>
                </c:pt>
                <c:pt idx="65">
                  <c:v>32.838836935044249</c:v>
                </c:pt>
                <c:pt idx="66">
                  <c:v>33.137387984483276</c:v>
                </c:pt>
                <c:pt idx="67">
                  <c:v>33.447390804298081</c:v>
                </c:pt>
                <c:pt idx="68">
                  <c:v>33.768702912710957</c:v>
                </c:pt>
                <c:pt idx="69">
                  <c:v>34.101172623473211</c:v>
                </c:pt>
                <c:pt idx="70">
                  <c:v>34.444638764506664</c:v>
                </c:pt>
                <c:pt idx="71">
                  <c:v>34.798930415349851</c:v>
                </c:pt>
                <c:pt idx="72">
                  <c:v>35.163866666634846</c:v>
                </c:pt>
                <c:pt idx="73">
                  <c:v>35.539256404838426</c:v>
                </c:pt>
                <c:pt idx="74">
                  <c:v>35.924898125533915</c:v>
                </c:pt>
                <c:pt idx="75">
                  <c:v>36.320579778332977</c:v>
                </c:pt>
                <c:pt idx="76">
                  <c:v>36.726078646621851</c:v>
                </c:pt>
                <c:pt idx="77">
                  <c:v>37.141161265089018</c:v>
                </c:pt>
                <c:pt idx="78">
                  <c:v>37.56558337787677</c:v>
                </c:pt>
                <c:pt idx="79">
                  <c:v>37.999089940000935</c:v>
                </c:pt>
                <c:pt idx="80">
                  <c:v>38.441415164446127</c:v>
                </c:pt>
                <c:pt idx="81">
                  <c:v>38.892282617071082</c:v>
                </c:pt>
                <c:pt idx="82">
                  <c:v>39.351405361130979</c:v>
                </c:pt>
                <c:pt idx="83">
                  <c:v>39.818486152887623</c:v>
                </c:pt>
                <c:pt idx="84">
                  <c:v>40.293217689372398</c:v>
                </c:pt>
                <c:pt idx="85">
                  <c:v>40.7752829089522</c:v>
                </c:pt>
                <c:pt idx="86">
                  <c:v>41.264355344898384</c:v>
                </c:pt>
                <c:pt idx="87">
                  <c:v>41.760099531680922</c:v>
                </c:pt>
                <c:pt idx="88">
                  <c:v>42.262171463224163</c:v>
                </c:pt>
                <c:pt idx="89">
                  <c:v>42.770219101850962</c:v>
                </c:pt>
                <c:pt idx="90">
                  <c:v>43.283882936143861</c:v>
                </c:pt>
                <c:pt idx="91">
                  <c:v>43.802796585447794</c:v>
                </c:pt>
                <c:pt idx="92">
                  <c:v>44.326587448239209</c:v>
                </c:pt>
                <c:pt idx="93">
                  <c:v>44.854877391131616</c:v>
                </c:pt>
                <c:pt idx="94">
                  <c:v>45.387283474827903</c:v>
                </c:pt>
                <c:pt idx="95">
                  <c:v>45.923418712928978</c:v>
                </c:pt>
                <c:pt idx="96">
                  <c:v>46.462892859138016</c:v>
                </c:pt>
                <c:pt idx="97">
                  <c:v>47.005313218082463</c:v>
                </c:pt>
                <c:pt idx="98">
                  <c:v>47.550285474711089</c:v>
                </c:pt>
                <c:pt idx="99">
                  <c:v>48.097414537016348</c:v>
                </c:pt>
                <c:pt idx="100">
                  <c:v>48.646305386690258</c:v>
                </c:pt>
                <c:pt idx="101">
                  <c:v>49.196563932246036</c:v>
                </c:pt>
                <c:pt idx="102">
                  <c:v>49.747797859122663</c:v>
                </c:pt>
                <c:pt idx="103">
                  <c:v>50.299617471345265</c:v>
                </c:pt>
                <c:pt idx="104">
                  <c:v>50.851636519435488</c:v>
                </c:pt>
                <c:pt idx="105">
                  <c:v>51.403473009437647</c:v>
                </c:pt>
                <c:pt idx="106">
                  <c:v>51.954749988179145</c:v>
                </c:pt>
                <c:pt idx="107">
                  <c:v>52.505096300162563</c:v>
                </c:pt>
                <c:pt idx="108">
                  <c:v>53.05414731183027</c:v>
                </c:pt>
                <c:pt idx="109">
                  <c:v>53.601545599325142</c:v>
                </c:pt>
                <c:pt idx="110">
                  <c:v>54.146941596279191</c:v>
                </c:pt>
                <c:pt idx="111">
                  <c:v>54.689994198603458</c:v>
                </c:pt>
                <c:pt idx="112">
                  <c:v>55.230371323711964</c:v>
                </c:pt>
                <c:pt idx="113">
                  <c:v>55.767750422079082</c:v>
                </c:pt>
                <c:pt idx="114">
                  <c:v>56.301818939499547</c:v>
                </c:pt>
                <c:pt idx="115">
                  <c:v>56.832274728899243</c:v>
                </c:pt>
                <c:pt idx="116">
                  <c:v>57.358826410990204</c:v>
                </c:pt>
                <c:pt idx="117">
                  <c:v>57.881193683510425</c:v>
                </c:pt>
                <c:pt idx="118">
                  <c:v>58.399107579223646</c:v>
                </c:pt>
                <c:pt idx="119">
                  <c:v>58.912310673220347</c:v>
                </c:pt>
                <c:pt idx="120">
                  <c:v>59.42055724045634</c:v>
                </c:pt>
                <c:pt idx="121">
                  <c:v>59.923613364784927</c:v>
                </c:pt>
                <c:pt idx="122">
                  <c:v>60.421257001031535</c:v>
                </c:pt>
                <c:pt idx="123">
                  <c:v>60.913277991939026</c:v>
                </c:pt>
                <c:pt idx="124">
                  <c:v>61.399478042026011</c:v>
                </c:pt>
                <c:pt idx="125">
                  <c:v>61.879670650591144</c:v>
                </c:pt>
                <c:pt idx="126">
                  <c:v>62.353681006264665</c:v>
                </c:pt>
                <c:pt idx="127">
                  <c:v>62.821345845607823</c:v>
                </c:pt>
                <c:pt idx="128">
                  <c:v>63.282513278367055</c:v>
                </c:pt>
                <c:pt idx="129">
                  <c:v>63.73704258204193</c:v>
                </c:pt>
                <c:pt idx="130">
                  <c:v>64.184803968441813</c:v>
                </c:pt>
                <c:pt idx="131">
                  <c:v>64.625678324927904</c:v>
                </c:pt>
                <c:pt idx="132">
                  <c:v>65.059556933001687</c:v>
                </c:pt>
                <c:pt idx="133">
                  <c:v>65.486341166860797</c:v>
                </c:pt>
                <c:pt idx="134">
                  <c:v>65.905942174481623</c:v>
                </c:pt>
                <c:pt idx="135">
                  <c:v>66.318280543713058</c:v>
                </c:pt>
                <c:pt idx="136">
                  <c:v>66.723285955771544</c:v>
                </c:pt>
                <c:pt idx="137">
                  <c:v>67.120896828418537</c:v>
                </c:pt>
                <c:pt idx="138">
                  <c:v>67.511059951002636</c:v>
                </c:pt>
                <c:pt idx="139">
                  <c:v>67.893730113416453</c:v>
                </c:pt>
                <c:pt idx="140">
                  <c:v>68.268869730902026</c:v>
                </c:pt>
                <c:pt idx="141">
                  <c:v>68.636448466502515</c:v>
                </c:pt>
                <c:pt idx="142">
                  <c:v>68.996442852838427</c:v>
                </c:pt>
                <c:pt idx="143">
                  <c:v>69.348835914743546</c:v>
                </c:pt>
                <c:pt idx="144">
                  <c:v>69.693616794176521</c:v>
                </c:pt>
                <c:pt idx="145">
                  <c:v>70.030780378689684</c:v>
                </c:pt>
                <c:pt idx="146">
                  <c:v>70.360326934613028</c:v>
                </c:pt>
                <c:pt idx="147">
                  <c:v>70.682261745990289</c:v>
                </c:pt>
                <c:pt idx="148">
                  <c:v>70.996594760183839</c:v>
                </c:pt>
                <c:pt idx="149">
                  <c:v>71.303340240954</c:v>
                </c:pt>
                <c:pt idx="150">
                  <c:v>71.602516429715337</c:v>
                </c:pt>
                <c:pt idx="151">
                  <c:v>71.894145215555213</c:v>
                </c:pt>
                <c:pt idx="152">
                  <c:v>72.178251814524998</c:v>
                </c:pt>
                <c:pt idx="153">
                  <c:v>72.454864458607204</c:v>
                </c:pt>
                <c:pt idx="154">
                  <c:v>72.724014094680896</c:v>
                </c:pt>
                <c:pt idx="155">
                  <c:v>72.98573409373769</c:v>
                </c:pt>
                <c:pt idx="156">
                  <c:v>73.240059970516654</c:v>
                </c:pt>
                <c:pt idx="157">
                  <c:v>73.487029113668939</c:v>
                </c:pt>
                <c:pt idx="158">
                  <c:v>73.726680526499692</c:v>
                </c:pt>
                <c:pt idx="159">
                  <c:v>73.959054578276081</c:v>
                </c:pt>
                <c:pt idx="160">
                  <c:v>74.184192766049605</c:v>
                </c:pt>
                <c:pt idx="161">
                  <c:v>74.402137486887938</c:v>
                </c:pt>
                <c:pt idx="162">
                  <c:v>74.612931820378208</c:v>
                </c:pt>
                <c:pt idx="163">
                  <c:v>74.816619321226995</c:v>
                </c:pt>
                <c:pt idx="164">
                  <c:v>75.013243821753917</c:v>
                </c:pt>
                <c:pt idx="165">
                  <c:v>75.202849244047457</c:v>
                </c:pt>
                <c:pt idx="166">
                  <c:v>75.385479421535138</c:v>
                </c:pt>
                <c:pt idx="167">
                  <c:v>75.561177929695063</c:v>
                </c:pt>
                <c:pt idx="168">
                  <c:v>75.729987925629615</c:v>
                </c:pt>
                <c:pt idx="169">
                  <c:v>75.891951996203147</c:v>
                </c:pt>
                <c:pt idx="170">
                  <c:v>76.047112014442845</c:v>
                </c:pt>
                <c:pt idx="171">
                  <c:v>76.195509003892127</c:v>
                </c:pt>
                <c:pt idx="172">
                  <c:v>76.337183010605315</c:v>
                </c:pt>
                <c:pt idx="173">
                  <c:v>76.472172982469104</c:v>
                </c:pt>
                <c:pt idx="174">
                  <c:v>76.600516655539053</c:v>
                </c:pt>
                <c:pt idx="175">
                  <c:v>76.722250447078267</c:v>
                </c:pt>
                <c:pt idx="176">
                  <c:v>76.837409354994449</c:v>
                </c:pt>
                <c:pt idx="177">
                  <c:v>76.946026863372666</c:v>
                </c:pt>
                <c:pt idx="178">
                  <c:v>77.048134853809316</c:v>
                </c:pt>
                <c:pt idx="179">
                  <c:v>77.143763522260002</c:v>
                </c:pt>
                <c:pt idx="180">
                  <c:v>77.232941301125109</c:v>
                </c:pt>
                <c:pt idx="181">
                  <c:v>77.315694786300156</c:v>
                </c:pt>
                <c:pt idx="182">
                  <c:v>77.3920486689359</c:v>
                </c:pt>
                <c:pt idx="183">
                  <c:v>77.462025671656164</c:v>
                </c:pt>
                <c:pt idx="184">
                  <c:v>77.525646488998888</c:v>
                </c:pt>
                <c:pt idx="185">
                  <c:v>77.582929731851493</c:v>
                </c:pt>
                <c:pt idx="186">
                  <c:v>77.633891875669107</c:v>
                </c:pt>
                <c:pt idx="187">
                  <c:v>77.678547212269677</c:v>
                </c:pt>
                <c:pt idx="188">
                  <c:v>77.716907805020725</c:v>
                </c:pt>
                <c:pt idx="189">
                  <c:v>77.748983447234153</c:v>
                </c:pt>
                <c:pt idx="190">
                  <c:v>77.774781623608291</c:v>
                </c:pt>
                <c:pt idx="191">
                  <c:v>77.79430747456199</c:v>
                </c:pt>
                <c:pt idx="192">
                  <c:v>77.807563763320701</c:v>
                </c:pt>
                <c:pt idx="193">
                  <c:v>77.814550845627764</c:v>
                </c:pt>
                <c:pt idx="194">
                  <c:v>77.815266641964115</c:v>
                </c:pt>
                <c:pt idx="195">
                  <c:v>77.809706612175376</c:v>
                </c:pt>
                <c:pt idx="196">
                  <c:v>77.797863732415721</c:v>
                </c:pt>
                <c:pt idx="197">
                  <c:v>77.779728474331918</c:v>
                </c:pt>
                <c:pt idx="198">
                  <c:v>77.755288786420891</c:v>
                </c:pt>
                <c:pt idx="199">
                  <c:v>77.724530077512597</c:v>
                </c:pt>
                <c:pt idx="200">
                  <c:v>77.687435202333745</c:v>
                </c:pt>
                <c:pt idx="201">
                  <c:v>77.643984449130869</c:v>
                </c:pt>
                <c:pt idx="202">
                  <c:v>77.594155529333648</c:v>
                </c:pt>
                <c:pt idx="203">
                  <c:v>77.537923569261864</c:v>
                </c:pt>
                <c:pt idx="204">
                  <c:v>77.475261103882588</c:v>
                </c:pt>
                <c:pt idx="205">
                  <c:v>77.406138072646812</c:v>
                </c:pt>
                <c:pt idx="206">
                  <c:v>77.330521817436463</c:v>
                </c:pt>
                <c:pt idx="207">
                  <c:v>77.248377082679042</c:v>
                </c:pt>
                <c:pt idx="208">
                  <c:v>77.159666017686064</c:v>
                </c:pt>
                <c:pt idx="209">
                  <c:v>77.064348181296694</c:v>
                </c:pt>
                <c:pt idx="210">
                  <c:v>76.962380548912307</c:v>
                </c:pt>
                <c:pt idx="211">
                  <c:v>76.853717522027949</c:v>
                </c:pt>
                <c:pt idx="212">
                  <c:v>76.738310940374589</c:v>
                </c:pt>
                <c:pt idx="213">
                  <c:v>76.61611009680405</c:v>
                </c:pt>
                <c:pt idx="214">
                  <c:v>76.487061755058178</c:v>
                </c:pt>
                <c:pt idx="215">
                  <c:v>76.351110170582331</c:v>
                </c:pt>
                <c:pt idx="216">
                  <c:v>76.208197114551595</c:v>
                </c:pt>
                <c:pt idx="217">
                  <c:v>76.058261901297797</c:v>
                </c:pt>
                <c:pt idx="218">
                  <c:v>75.901241419334355</c:v>
                </c:pt>
                <c:pt idx="219">
                  <c:v>75.737070166193035</c:v>
                </c:pt>
                <c:pt idx="220">
                  <c:v>75.565680287300111</c:v>
                </c:pt>
                <c:pt idx="221">
                  <c:v>75.38700161913134</c:v>
                </c:pt>
                <c:pt idx="222">
                  <c:v>75.200961736902443</c:v>
                </c:pt>
                <c:pt idx="223">
                  <c:v>75.007486007059768</c:v>
                </c:pt>
                <c:pt idx="224">
                  <c:v>74.806497644855156</c:v>
                </c:pt>
                <c:pt idx="225">
                  <c:v>74.597917777295564</c:v>
                </c:pt>
                <c:pt idx="226">
                  <c:v>74.381665511775353</c:v>
                </c:pt>
                <c:pt idx="227">
                  <c:v>74.157658010705362</c:v>
                </c:pt>
                <c:pt idx="228">
                  <c:v>73.925810572469047</c:v>
                </c:pt>
                <c:pt idx="229">
                  <c:v>73.686036719037375</c:v>
                </c:pt>
                <c:pt idx="230">
                  <c:v>73.438248290594856</c:v>
                </c:pt>
                <c:pt idx="231">
                  <c:v>73.182355547520658</c:v>
                </c:pt>
                <c:pt idx="232">
                  <c:v>72.918267280088116</c:v>
                </c:pt>
                <c:pt idx="233">
                  <c:v>72.645890926238948</c:v>
                </c:pt>
                <c:pt idx="234">
                  <c:v>72.365132697797719</c:v>
                </c:pt>
                <c:pt idx="235">
                  <c:v>72.075897715484459</c:v>
                </c:pt>
                <c:pt idx="236">
                  <c:v>71.778090153084662</c:v>
                </c:pt>
                <c:pt idx="237">
                  <c:v>71.47161339112499</c:v>
                </c:pt>
                <c:pt idx="238">
                  <c:v>71.156370180396678</c:v>
                </c:pt>
                <c:pt idx="239">
                  <c:v>70.832262815650296</c:v>
                </c:pt>
                <c:pt idx="240">
                  <c:v>70.499193319772473</c:v>
                </c:pt>
                <c:pt idx="241">
                  <c:v>70.157063638725901</c:v>
                </c:pt>
                <c:pt idx="242">
                  <c:v>69.805775847512962</c:v>
                </c:pt>
                <c:pt idx="243">
                  <c:v>69.445232367385344</c:v>
                </c:pt>
                <c:pt idx="244">
                  <c:v>69.075336194485871</c:v>
                </c:pt>
                <c:pt idx="245">
                  <c:v>68.695991140060571</c:v>
                </c:pt>
                <c:pt idx="246">
                  <c:v>68.30710208233036</c:v>
                </c:pt>
                <c:pt idx="247">
                  <c:v>67.908575230049749</c:v>
                </c:pt>
                <c:pt idx="248">
                  <c:v>67.500318397717336</c:v>
                </c:pt>
                <c:pt idx="249">
                  <c:v>67.082241292320646</c:v>
                </c:pt>
                <c:pt idx="250">
                  <c:v>66.65425581142695</c:v>
                </c:pt>
                <c:pt idx="251">
                  <c:v>66.21627635232835</c:v>
                </c:pt>
                <c:pt idx="252">
                  <c:v>65.768220131862321</c:v>
                </c:pt>
                <c:pt idx="253">
                  <c:v>65.31000751640768</c:v>
                </c:pt>
                <c:pt idx="254">
                  <c:v>64.841562361451523</c:v>
                </c:pt>
                <c:pt idx="255">
                  <c:v>64.362812359991054</c:v>
                </c:pt>
                <c:pt idx="256">
                  <c:v>63.873689398900616</c:v>
                </c:pt>
                <c:pt idx="257">
                  <c:v>63.374129922257048</c:v>
                </c:pt>
                <c:pt idx="258">
                  <c:v>62.864075300465771</c:v>
                </c:pt>
                <c:pt idx="259">
                  <c:v>62.343472203875109</c:v>
                </c:pt>
                <c:pt idx="260">
                  <c:v>61.812272979408988</c:v>
                </c:pt>
                <c:pt idx="261">
                  <c:v>61.270436028583845</c:v>
                </c:pt>
                <c:pt idx="262">
                  <c:v>60.717926185107743</c:v>
                </c:pt>
                <c:pt idx="263">
                  <c:v>60.154715090092992</c:v>
                </c:pt>
                <c:pt idx="264">
                  <c:v>59.580781562747696</c:v>
                </c:pt>
                <c:pt idx="265">
                  <c:v>58.996111964253316</c:v>
                </c:pt>
                <c:pt idx="266">
                  <c:v>58.400700552364604</c:v>
                </c:pt>
                <c:pt idx="267">
                  <c:v>57.794549824138784</c:v>
                </c:pt>
                <c:pt idx="268">
                  <c:v>57.177670844045011</c:v>
                </c:pt>
                <c:pt idx="269">
                  <c:v>56.550083554592554</c:v>
                </c:pt>
                <c:pt idx="270">
                  <c:v>55.911817066507929</c:v>
                </c:pt>
                <c:pt idx="271">
                  <c:v>55.262909925402063</c:v>
                </c:pt>
                <c:pt idx="272">
                  <c:v>54.603410351815107</c:v>
                </c:pt>
                <c:pt idx="273">
                  <c:v>53.933376451483213</c:v>
                </c:pt>
                <c:pt idx="274">
                  <c:v>53.25287639267701</c:v>
                </c:pt>
                <c:pt idx="275">
                  <c:v>52.561988547487346</c:v>
                </c:pt>
                <c:pt idx="276">
                  <c:v>51.860801594002595</c:v>
                </c:pt>
                <c:pt idx="277">
                  <c:v>51.14941457642783</c:v>
                </c:pt>
                <c:pt idx="278">
                  <c:v>50.427936920341544</c:v>
                </c:pt>
                <c:pt idx="279">
                  <c:v>49.696488400482068</c:v>
                </c:pt>
                <c:pt idx="280">
                  <c:v>48.955199058674189</c:v>
                </c:pt>
                <c:pt idx="281">
                  <c:v>48.204209069808172</c:v>
                </c:pt>
                <c:pt idx="282">
                  <c:v>47.443668554067791</c:v>
                </c:pt>
                <c:pt idx="283">
                  <c:v>46.673737334006404</c:v>
                </c:pt>
                <c:pt idx="284">
                  <c:v>45.894584635434356</c:v>
                </c:pt>
                <c:pt idx="285">
                  <c:v>45.106388731541188</c:v>
                </c:pt>
                <c:pt idx="286">
                  <c:v>44.30933653013436</c:v>
                </c:pt>
                <c:pt idx="287">
                  <c:v>43.503623104376238</c:v>
                </c:pt>
                <c:pt idx="288">
                  <c:v>42.689451167916914</c:v>
                </c:pt>
                <c:pt idx="289">
                  <c:v>41.867030495847565</c:v>
                </c:pt>
                <c:pt idx="290">
                  <c:v>41.036577293449604</c:v>
                </c:pt>
                <c:pt idx="291">
                  <c:v>40.198313515239285</c:v>
                </c:pt>
                <c:pt idx="292">
                  <c:v>39.352466137346958</c:v>
                </c:pt>
                <c:pt idx="293">
                  <c:v>38.499266386780974</c:v>
                </c:pt>
                <c:pt idx="294">
                  <c:v>37.638948931605633</c:v>
                </c:pt>
                <c:pt idx="295">
                  <c:v>36.771751036535363</c:v>
                </c:pt>
                <c:pt idx="296">
                  <c:v>35.897911688835912</c:v>
                </c:pt>
                <c:pt idx="297">
                  <c:v>35.017670699804349</c:v>
                </c:pt>
                <c:pt idx="298">
                  <c:v>34.131267787401576</c:v>
                </c:pt>
                <c:pt idx="299">
                  <c:v>33.238941645859171</c:v>
                </c:pt>
                <c:pt idx="300">
                  <c:v>32.340929008265178</c:v>
                </c:pt>
                <c:pt idx="301">
                  <c:v>31.437463708244525</c:v>
                </c:pt>
                <c:pt idx="302">
                  <c:v>30.528775746901964</c:v>
                </c:pt>
                <c:pt idx="303">
                  <c:v>29.615090371153045</c:v>
                </c:pt>
                <c:pt idx="304">
                  <c:v>28.696627169486948</c:v>
                </c:pt>
                <c:pt idx="305">
                  <c:v>27.77359919102717</c:v>
                </c:pt>
                <c:pt idx="306">
                  <c:v>26.8462120935271</c:v>
                </c:pt>
                <c:pt idx="307">
                  <c:v>25.914663325655344</c:v>
                </c:pt>
                <c:pt idx="308">
                  <c:v>24.979141348565786</c:v>
                </c:pt>
                <c:pt idx="309">
                  <c:v>24.039824901372043</c:v>
                </c:pt>
                <c:pt idx="310">
                  <c:v>23.096882314690593</c:v>
                </c:pt>
                <c:pt idx="311">
                  <c:v>22.150470875977401</c:v>
                </c:pt>
                <c:pt idx="312">
                  <c:v>21.200736249866758</c:v>
                </c:pt>
                <c:pt idx="313">
                  <c:v>20.247811956236038</c:v>
                </c:pt>
                <c:pt idx="314">
                  <c:v>19.291818908188997</c:v>
                </c:pt>
                <c:pt idx="315">
                  <c:v>18.332865011659717</c:v>
                </c:pt>
                <c:pt idx="316">
                  <c:v>17.371044827804514</c:v>
                </c:pt>
                <c:pt idx="317">
                  <c:v>16.406439298894202</c:v>
                </c:pt>
                <c:pt idx="318">
                  <c:v>15.439115537917546</c:v>
                </c:pt>
                <c:pt idx="319">
                  <c:v>14.469126681704788</c:v>
                </c:pt>
                <c:pt idx="320">
                  <c:v>13.496511806932459</c:v>
                </c:pt>
                <c:pt idx="321">
                  <c:v>12.521295908036011</c:v>
                </c:pt>
                <c:pt idx="322">
                  <c:v>11.543489935704562</c:v>
                </c:pt>
                <c:pt idx="323">
                  <c:v>10.563090894345557</c:v>
                </c:pt>
                <c:pt idx="324">
                  <c:v>9.5800819966593949</c:v>
                </c:pt>
                <c:pt idx="325">
                  <c:v>8.5944328732716944</c:v>
                </c:pt>
                <c:pt idx="326">
                  <c:v>7.6060998351862832</c:v>
                </c:pt>
                <c:pt idx="327">
                  <c:v>6.615026186712968</c:v>
                </c:pt>
                <c:pt idx="328">
                  <c:v>5.6211425864526969</c:v>
                </c:pt>
                <c:pt idx="329">
                  <c:v>4.62436745384215</c:v>
                </c:pt>
                <c:pt idx="330">
                  <c:v>3.6246074188022801</c:v>
                </c:pt>
                <c:pt idx="331">
                  <c:v>2.6217578119913858</c:v>
                </c:pt>
                <c:pt idx="332">
                  <c:v>1.615703193268651</c:v>
                </c:pt>
                <c:pt idx="333">
                  <c:v>0.60631791599680485</c:v>
                </c:pt>
                <c:pt idx="334">
                  <c:v>-0.40653327505907927</c:v>
                </c:pt>
                <c:pt idx="335">
                  <c:v>-1.4229946144113939</c:v>
                </c:pt>
                <c:pt idx="336">
                  <c:v>-2.4432186571262218</c:v>
                </c:pt>
                <c:pt idx="337">
                  <c:v>-3.467365592628231</c:v>
                </c:pt>
                <c:pt idx="338">
                  <c:v>-4.4956025328035256</c:v>
                </c:pt>
                <c:pt idx="339">
                  <c:v>-5.5281027760552943</c:v>
                </c:pt>
                <c:pt idx="340">
                  <c:v>-6.5650450488368692</c:v>
                </c:pt>
                <c:pt idx="341">
                  <c:v>-7.6066127260615435</c:v>
                </c:pt>
                <c:pt idx="342">
                  <c:v>-8.6529930316694177</c:v>
                </c:pt>
                <c:pt idx="343">
                  <c:v>-9.7043762205362292</c:v>
                </c:pt>
                <c:pt idx="344">
                  <c:v>-10.760954742814164</c:v>
                </c:pt>
                <c:pt idx="345">
                  <c:v>-11.822922391717658</c:v>
                </c:pt>
                <c:pt idx="346">
                  <c:v>-12.890473435717267</c:v>
                </c:pt>
                <c:pt idx="347">
                  <c:v>-13.963801736058244</c:v>
                </c:pt>
                <c:pt idx="348">
                  <c:v>-15.043099850514947</c:v>
                </c:pt>
                <c:pt idx="349">
                  <c:v>-16.128558124285878</c:v>
                </c:pt>
                <c:pt idx="350">
                  <c:v>-17.220363768971467</c:v>
                </c:pt>
                <c:pt idx="351">
                  <c:v>-18.318699930619758</c:v>
                </c:pt>
                <c:pt idx="352">
                  <c:v>-19.423744747913599</c:v>
                </c:pt>
                <c:pt idx="353">
                  <c:v>-20.535670401652752</c:v>
                </c:pt>
                <c:pt idx="354">
                  <c:v>-21.654642156836061</c:v>
                </c:pt>
                <c:pt idx="355">
                  <c:v>-22.780817398759034</c:v>
                </c:pt>
                <c:pt idx="356">
                  <c:v>-23.914344664749244</c:v>
                </c:pt>
                <c:pt idx="357">
                  <c:v>-25.055362673324261</c:v>
                </c:pt>
                <c:pt idx="358">
                  <c:v>-26.203999352780411</c:v>
                </c:pt>
                <c:pt idx="359">
                  <c:v>-27.360370871447326</c:v>
                </c:pt>
                <c:pt idx="360">
                  <c:v>-28.524580672088039</c:v>
                </c:pt>
                <c:pt idx="361">
                  <c:v>-29.696718513176357</c:v>
                </c:pt>
                <c:pt idx="362">
                  <c:v>-30.876859520058812</c:v>
                </c:pt>
                <c:pt idx="363">
                  <c:v>-32.065063249280094</c:v>
                </c:pt>
                <c:pt idx="364">
                  <c:v>-33.261372769624401</c:v>
                </c:pt>
                <c:pt idx="365">
                  <c:v>-34.465813763704652</c:v>
                </c:pt>
                <c:pt idx="366">
                  <c:v>-35.678393654209003</c:v>
                </c:pt>
                <c:pt idx="367">
                  <c:v>-36.899100759153463</c:v>
                </c:pt>
                <c:pt idx="368">
                  <c:v>-38.12790348075881</c:v>
                </c:pt>
                <c:pt idx="369">
                  <c:v>-39.364749532773338</c:v>
                </c:pt>
                <c:pt idx="370">
                  <c:v>-40.609565211262222</c:v>
                </c:pt>
                <c:pt idx="371">
                  <c:v>-41.862254714056782</c:v>
                </c:pt>
                <c:pt idx="372">
                  <c:v>-43.12269951416426</c:v>
                </c:pt>
                <c:pt idx="373">
                  <c:v>-44.390757792529321</c:v>
                </c:pt>
                <c:pt idx="374">
                  <c:v>-45.666263935566015</c:v>
                </c:pt>
                <c:pt idx="375">
                  <c:v>-46.949028102848267</c:v>
                </c:pt>
                <c:pt idx="376">
                  <c:v>-48.238835870263941</c:v>
                </c:pt>
                <c:pt idx="377">
                  <c:v>-49.535447953790886</c:v>
                </c:pt>
                <c:pt idx="378">
                  <c:v>-50.83860001882524</c:v>
                </c:pt>
                <c:pt idx="379">
                  <c:v>-52.148002579714678</c:v>
                </c:pt>
                <c:pt idx="380">
                  <c:v>-53.463340993780648</c:v>
                </c:pt>
                <c:pt idx="381">
                  <c:v>-54.784275553685418</c:v>
                </c:pt>
                <c:pt idx="382">
                  <c:v>-56.110441681492134</c:v>
                </c:pt>
                <c:pt idx="383">
                  <c:v>-57.441450227188597</c:v>
                </c:pt>
                <c:pt idx="384">
                  <c:v>-58.776887873810331</c:v>
                </c:pt>
                <c:pt idx="385">
                  <c:v>-60.116317650582907</c:v>
                </c:pt>
                <c:pt idx="386">
                  <c:v>-61.459279554757643</c:v>
                </c:pt>
                <c:pt idx="387">
                  <c:v>-62.8052912819917</c:v>
                </c:pt>
                <c:pt idx="388">
                  <c:v>-64.153849064287485</c:v>
                </c:pt>
                <c:pt idx="389">
                  <c:v>-65.504428613616426</c:v>
                </c:pt>
                <c:pt idx="390">
                  <c:v>-66.856486168468038</c:v>
                </c:pt>
                <c:pt idx="391">
                  <c:v>-68.209459639650618</c:v>
                </c:pt>
                <c:pt idx="392">
                  <c:v>-69.562769850780029</c:v>
                </c:pt>
                <c:pt idx="393">
                  <c:v>-70.915821868009544</c:v>
                </c:pt>
                <c:pt idx="394">
                  <c:v>-72.268006412712296</c:v>
                </c:pt>
                <c:pt idx="395">
                  <c:v>-73.618701350025049</c:v>
                </c:pt>
                <c:pt idx="396">
                  <c:v>-74.967273245415853</c:v>
                </c:pt>
                <c:pt idx="397">
                  <c:v>-76.313078980779295</c:v>
                </c:pt>
                <c:pt idx="398">
                  <c:v>-77.655467420958104</c:v>
                </c:pt>
                <c:pt idx="399">
                  <c:v>-78.993781121104021</c:v>
                </c:pt>
                <c:pt idx="400">
                  <c:v>-80.327358064887605</c:v>
                </c:pt>
                <c:pt idx="401">
                  <c:v>-81.655533423285561</c:v>
                </c:pt>
                <c:pt idx="402">
                  <c:v>-82.977641323486537</c:v>
                </c:pt>
                <c:pt idx="403">
                  <c:v>-84.293016617409108</c:v>
                </c:pt>
                <c:pt idx="404">
                  <c:v>-85.600996639376859</c:v>
                </c:pt>
                <c:pt idx="405">
                  <c:v>-86.900922942671187</c:v>
                </c:pt>
                <c:pt idx="406">
                  <c:v>-88.192143004973929</c:v>
                </c:pt>
                <c:pt idx="407">
                  <c:v>-89.474011893107118</c:v>
                </c:pt>
                <c:pt idx="408">
                  <c:v>-90.745893877983306</c:v>
                </c:pt>
                <c:pt idx="409">
                  <c:v>-92.007163991268953</c:v>
                </c:pt>
                <c:pt idx="410">
                  <c:v>-93.257209515948048</c:v>
                </c:pt>
                <c:pt idx="411">
                  <c:v>-94.495431403725632</c:v>
                </c:pt>
                <c:pt idx="412">
                  <c:v>-95.721245613028543</c:v>
                </c:pt>
                <c:pt idx="413">
                  <c:v>-96.934084362217092</c:v>
                </c:pt>
                <c:pt idx="414">
                  <c:v>-98.133397293531615</c:v>
                </c:pt>
                <c:pt idx="415">
                  <c:v>-99.318652544210892</c:v>
                </c:pt>
                <c:pt idx="416">
                  <c:v>-100.48933772215555</c:v>
                </c:pt>
                <c:pt idx="417">
                  <c:v>-101.64496078443246</c:v>
                </c:pt>
                <c:pt idx="418">
                  <c:v>-102.78505081782627</c:v>
                </c:pt>
                <c:pt idx="419">
                  <c:v>-103.90915872152813</c:v>
                </c:pt>
                <c:pt idx="420">
                  <c:v>-105.01685779289683</c:v>
                </c:pt>
                <c:pt idx="421">
                  <c:v>-106.10774421801821</c:v>
                </c:pt>
                <c:pt idx="422">
                  <c:v>-107.18143746952951</c:v>
                </c:pt>
                <c:pt idx="423">
                  <c:v>-108.23758061486203</c:v>
                </c:pt>
                <c:pt idx="424">
                  <c:v>-109.27584053864712</c:v>
                </c:pt>
                <c:pt idx="425">
                  <c:v>-110.29590808358699</c:v>
                </c:pt>
                <c:pt idx="426">
                  <c:v>-111.29749811454217</c:v>
                </c:pt>
                <c:pt idx="427">
                  <c:v>-112.28034951097175</c:v>
                </c:pt>
                <c:pt idx="428">
                  <c:v>-113.24422509318367</c:v>
                </c:pt>
                <c:pt idx="429">
                  <c:v>-114.18891148808325</c:v>
                </c:pt>
                <c:pt idx="430">
                  <c:v>-115.11421894025234</c:v>
                </c:pt>
                <c:pt idx="431">
                  <c:v>-116.01998107431301</c:v>
                </c:pt>
                <c:pt idx="432">
                  <c:v>-116.90605461452012</c:v>
                </c:pt>
                <c:pt idx="433">
                  <c:v>-117.77231906751349</c:v>
                </c:pt>
                <c:pt idx="434">
                  <c:v>-118.61867637403589</c:v>
                </c:pt>
                <c:pt idx="435">
                  <c:v>-119.44505053529035</c:v>
                </c:pt>
                <c:pt idx="436">
                  <c:v>-120.25138721939641</c:v>
                </c:pt>
                <c:pt idx="437">
                  <c:v>-121.03765335315771</c:v>
                </c:pt>
                <c:pt idx="438">
                  <c:v>-121.80383670407441</c:v>
                </c:pt>
                <c:pt idx="439">
                  <c:v>-122.5499454572072</c:v>
                </c:pt>
                <c:pt idx="440">
                  <c:v>-123.27600779115365</c:v>
                </c:pt>
                <c:pt idx="441">
                  <c:v>-123.98207145703023</c:v>
                </c:pt>
                <c:pt idx="442">
                  <c:v>-124.66820336394736</c:v>
                </c:pt>
                <c:pt idx="443">
                  <c:v>-125.33448917406935</c:v>
                </c:pt>
                <c:pt idx="444">
                  <c:v>-125.98103290992454</c:v>
                </c:pt>
                <c:pt idx="445">
                  <c:v>-126.60795657619887</c:v>
                </c:pt>
                <c:pt idx="446">
                  <c:v>-127.21539979781657</c:v>
                </c:pt>
                <c:pt idx="447">
                  <c:v>-127.80351947567372</c:v>
                </c:pt>
                <c:pt idx="448">
                  <c:v>-128.37248946095198</c:v>
                </c:pt>
                <c:pt idx="449">
                  <c:v>-128.9225002485106</c:v>
                </c:pt>
                <c:pt idx="450">
                  <c:v>-129.45375868942659</c:v>
                </c:pt>
                <c:pt idx="451">
                  <c:v>-129.96648772233041</c:v>
                </c:pt>
                <c:pt idx="452">
                  <c:v>-130.46092612278412</c:v>
                </c:pt>
                <c:pt idx="453">
                  <c:v>-130.93732826954479</c:v>
                </c:pt>
                <c:pt idx="454">
                  <c:v>-131.39596392617759</c:v>
                </c:pt>
                <c:pt idx="455">
                  <c:v>-131.83711803612024</c:v>
                </c:pt>
                <c:pt idx="456">
                  <c:v>-132.26109052895353</c:v>
                </c:pt>
                <c:pt idx="457">
                  <c:v>-132.66819613530882</c:v>
                </c:pt>
                <c:pt idx="458">
                  <c:v>-133.05876420754413</c:v>
                </c:pt>
                <c:pt idx="459">
                  <c:v>-133.43313854305009</c:v>
                </c:pt>
                <c:pt idx="460">
                  <c:v>-133.79167720680005</c:v>
                </c:pt>
                <c:pt idx="461">
                  <c:v>-134.13475234954828</c:v>
                </c:pt>
                <c:pt idx="462">
                  <c:v>-134.4627500179063</c:v>
                </c:pt>
                <c:pt idx="463">
                  <c:v>-134.77606995238276</c:v>
                </c:pt>
                <c:pt idx="464">
                  <c:v>-135.07512536937938</c:v>
                </c:pt>
                <c:pt idx="465">
                  <c:v>-135.36034272307185</c:v>
                </c:pt>
                <c:pt idx="466">
                  <c:v>-135.63216144310636</c:v>
                </c:pt>
                <c:pt idx="467">
                  <c:v>-135.8910336440579</c:v>
                </c:pt>
                <c:pt idx="468">
                  <c:v>-136.1374238027056</c:v>
                </c:pt>
                <c:pt idx="469">
                  <c:v>-136.37180839929991</c:v>
                </c:pt>
                <c:pt idx="470">
                  <c:v>-136.59467551919064</c:v>
                </c:pt>
                <c:pt idx="471">
                  <c:v>-136.80652441142036</c:v>
                </c:pt>
                <c:pt idx="472">
                  <c:v>-137.00786500118522</c:v>
                </c:pt>
                <c:pt idx="473">
                  <c:v>-137.19921735339551</c:v>
                </c:pt>
                <c:pt idx="474">
                  <c:v>-137.38111108496909</c:v>
                </c:pt>
                <c:pt idx="475">
                  <c:v>-137.55408472391289</c:v>
                </c:pt>
                <c:pt idx="476">
                  <c:v>-137.7186850137355</c:v>
                </c:pt>
                <c:pt idx="477">
                  <c:v>-137.87546616224114</c:v>
                </c:pt>
                <c:pt idx="478">
                  <c:v>-138.02498903429952</c:v>
                </c:pt>
                <c:pt idx="479">
                  <c:v>-138.16782028876571</c:v>
                </c:pt>
                <c:pt idx="480">
                  <c:v>-138.30453146030868</c:v>
                </c:pt>
                <c:pt idx="481">
                  <c:v>-138.43569798751122</c:v>
                </c:pt>
                <c:pt idx="482">
                  <c:v>-138.5618981892151</c:v>
                </c:pt>
                <c:pt idx="483">
                  <c:v>-138.68371219168355</c:v>
                </c:pt>
                <c:pt idx="484">
                  <c:v>-138.80172080974921</c:v>
                </c:pt>
                <c:pt idx="485">
                  <c:v>-138.91650438568143</c:v>
                </c:pt>
                <c:pt idx="486">
                  <c:v>-139.02864159005171</c:v>
                </c:pt>
                <c:pt idx="487">
                  <c:v>-139.13870818938256</c:v>
                </c:pt>
                <c:pt idx="488">
                  <c:v>-139.24727578582252</c:v>
                </c:pt>
                <c:pt idx="489">
                  <c:v>-139.35491053451193</c:v>
                </c:pt>
                <c:pt idx="490">
                  <c:v>-139.46217184465308</c:v>
                </c:pt>
                <c:pt idx="491">
                  <c:v>-139.56961107060269</c:v>
                </c:pt>
                <c:pt idx="492">
                  <c:v>-139.67777019953996</c:v>
                </c:pt>
                <c:pt idx="493">
                  <c:v>-139.7871805424333</c:v>
                </c:pt>
                <c:pt idx="494">
                  <c:v>-139.89836143513921</c:v>
                </c:pt>
                <c:pt idx="495">
                  <c:v>-140.0118189565022</c:v>
                </c:pt>
                <c:pt idx="496">
                  <c:v>-140.1280446703079</c:v>
                </c:pt>
                <c:pt idx="497">
                  <c:v>-140.24751439784882</c:v>
                </c:pt>
                <c:pt idx="498">
                  <c:v>-140.37068702773388</c:v>
                </c:pt>
                <c:pt idx="499">
                  <c:v>-140.49800336936144</c:v>
                </c:pt>
                <c:pt idx="500">
                  <c:v>-140.62988505623991</c:v>
                </c:pt>
                <c:pt idx="501">
                  <c:v>-140.7667335050545</c:v>
                </c:pt>
                <c:pt idx="502">
                  <c:v>-140.90892893603757</c:v>
                </c:pt>
                <c:pt idx="503">
                  <c:v>-141.0568294598618</c:v>
                </c:pt>
                <c:pt idx="504">
                  <c:v>-141.21077023586915</c:v>
                </c:pt>
                <c:pt idx="505">
                  <c:v>-141.37106270604903</c:v>
                </c:pt>
                <c:pt idx="506">
                  <c:v>-141.53799390875665</c:v>
                </c:pt>
                <c:pt idx="507">
                  <c:v>-141.71182587571448</c:v>
                </c:pt>
                <c:pt idx="508">
                  <c:v>-141.89279511539951</c:v>
                </c:pt>
                <c:pt idx="509">
                  <c:v>-142.08111218545773</c:v>
                </c:pt>
                <c:pt idx="510">
                  <c:v>-142.27696135633559</c:v>
                </c:pt>
                <c:pt idx="511">
                  <c:v>-142.48050036785369</c:v>
                </c:pt>
                <c:pt idx="512">
                  <c:v>-142.69186027998029</c:v>
                </c:pt>
                <c:pt idx="513">
                  <c:v>-142.91114541861816</c:v>
                </c:pt>
                <c:pt idx="514">
                  <c:v>-143.1384334167283</c:v>
                </c:pt>
                <c:pt idx="515">
                  <c:v>-143.3737753506806</c:v>
                </c:pt>
                <c:pt idx="516">
                  <c:v>-143.61719597123451</c:v>
                </c:pt>
                <c:pt idx="517">
                  <c:v>-143.86869402810123</c:v>
                </c:pt>
                <c:pt idx="518">
                  <c:v>-144.12824268657795</c:v>
                </c:pt>
                <c:pt idx="519">
                  <c:v>-144.39579003426147</c:v>
                </c:pt>
                <c:pt idx="520">
                  <c:v>-144.67125967541014</c:v>
                </c:pt>
                <c:pt idx="521">
                  <c:v>-144.95455141003868</c:v>
                </c:pt>
                <c:pt idx="522">
                  <c:v>-145.24554199438339</c:v>
                </c:pt>
                <c:pt idx="523">
                  <c:v>-145.54408597891884</c:v>
                </c:pt>
                <c:pt idx="524">
                  <c:v>-145.85001661966257</c:v>
                </c:pt>
                <c:pt idx="525">
                  <c:v>-146.16314685807276</c:v>
                </c:pt>
                <c:pt idx="526">
                  <c:v>-146.48327036443487</c:v>
                </c:pt>
                <c:pt idx="527">
                  <c:v>-146.81016263923331</c:v>
                </c:pt>
                <c:pt idx="528">
                  <c:v>-147.14358216664422</c:v>
                </c:pt>
                <c:pt idx="529">
                  <c:v>-147.48327161396008</c:v>
                </c:pt>
                <c:pt idx="530">
                  <c:v>-147.8289590704467</c:v>
                </c:pt>
                <c:pt idx="531">
                  <c:v>-148.18035931890091</c:v>
                </c:pt>
                <c:pt idx="532">
                  <c:v>-148.53717513296715</c:v>
                </c:pt>
                <c:pt idx="533">
                  <c:v>-148.89909859312809</c:v>
                </c:pt>
                <c:pt idx="534">
                  <c:v>-149.26581241419132</c:v>
                </c:pt>
                <c:pt idx="535">
                  <c:v>-149.63699127706812</c:v>
                </c:pt>
                <c:pt idx="536">
                  <c:v>-150.01230315768109</c:v>
                </c:pt>
                <c:pt idx="537">
                  <c:v>-150.39141064592525</c:v>
                </c:pt>
                <c:pt idx="538">
                  <c:v>-150.77397224778289</c:v>
                </c:pt>
                <c:pt idx="539">
                  <c:v>-151.15964366391739</c:v>
                </c:pt>
                <c:pt idx="540">
                  <c:v>-151.54807903835629</c:v>
                </c:pt>
                <c:pt idx="541">
                  <c:v>-151.9389321712288</c:v>
                </c:pt>
              </c:numCache>
            </c:numRef>
          </c:yVal>
          <c:smooth val="1"/>
          <c:extLst>
            <c:ext xmlns:c16="http://schemas.microsoft.com/office/drawing/2014/chart" uri="{C3380CC4-5D6E-409C-BE32-E72D297353CC}">
              <c16:uniqueId val="{00000009-2366-45D5-89AB-25312676E0B6}"/>
            </c:ext>
          </c:extLst>
        </c:ser>
        <c:dLbls>
          <c:showLegendKey val="0"/>
          <c:showVal val="0"/>
          <c:showCatName val="0"/>
          <c:showSerName val="0"/>
          <c:showPercent val="0"/>
          <c:showBubbleSize val="0"/>
        </c:dLbls>
        <c:axId val="589562624"/>
        <c:axId val="589421184"/>
      </c:scatterChart>
      <c:valAx>
        <c:axId val="589404800"/>
        <c:scaling>
          <c:logBase val="10"/>
          <c:orientation val="minMax"/>
          <c:max val="2000000"/>
          <c:min val="10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txPr>
          <a:bodyPr/>
          <a:lstStyle/>
          <a:p>
            <a:pPr>
              <a:defRPr b="1"/>
            </a:pPr>
            <a:endParaRPr lang="fr-FR"/>
          </a:p>
        </c:txPr>
        <c:crossAx val="589419264"/>
        <c:crosses val="autoZero"/>
        <c:crossBetween val="midCat"/>
      </c:valAx>
      <c:valAx>
        <c:axId val="589419264"/>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b="1">
                <a:solidFill>
                  <a:srgbClr val="FF0000"/>
                </a:solidFill>
              </a:defRPr>
            </a:pPr>
            <a:endParaRPr lang="fr-FR"/>
          </a:p>
        </c:txPr>
        <c:crossAx val="589404800"/>
        <c:crosses val="autoZero"/>
        <c:crossBetween val="midCat"/>
        <c:majorUnit val="20"/>
        <c:minorUnit val="10"/>
      </c:valAx>
      <c:valAx>
        <c:axId val="589421184"/>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txPr>
          <a:bodyPr/>
          <a:lstStyle/>
          <a:p>
            <a:pPr>
              <a:defRPr b="1">
                <a:solidFill>
                  <a:schemeClr val="tx1">
                    <a:lumMod val="95000"/>
                    <a:lumOff val="5000"/>
                  </a:schemeClr>
                </a:solidFill>
              </a:defRPr>
            </a:pPr>
            <a:endParaRPr lang="fr-FR"/>
          </a:p>
        </c:txPr>
        <c:crossAx val="589562624"/>
        <c:crosses val="max"/>
        <c:crossBetween val="midCat"/>
        <c:majorUnit val="90"/>
        <c:minorUnit val="45"/>
      </c:valAx>
      <c:valAx>
        <c:axId val="589562624"/>
        <c:scaling>
          <c:logBase val="10"/>
          <c:orientation val="minMax"/>
        </c:scaling>
        <c:delete val="1"/>
        <c:axPos val="b"/>
        <c:numFmt formatCode="0.00" sourceLinked="1"/>
        <c:majorTickMark val="out"/>
        <c:minorTickMark val="none"/>
        <c:tickLblPos val="nextTo"/>
        <c:crossAx val="589421184"/>
        <c:crosses val="autoZero"/>
        <c:crossBetween val="midCat"/>
      </c:valAx>
    </c:plotArea>
    <c:legend>
      <c:legendPos val="r"/>
      <c:legendEntry>
        <c:idx val="1"/>
        <c:delete val="1"/>
      </c:legendEntry>
      <c:legendEntry>
        <c:idx val="2"/>
        <c:delete val="1"/>
      </c:legendEntry>
      <c:legendEntry>
        <c:idx val="3"/>
        <c:delete val="1"/>
      </c:legendEntry>
      <c:legendEntry>
        <c:idx val="4"/>
        <c:delete val="1"/>
      </c:legendEntry>
      <c:layout>
        <c:manualLayout>
          <c:xMode val="edge"/>
          <c:yMode val="edge"/>
          <c:x val="0.61392536510371165"/>
          <c:y val="7.0381012799940294E-3"/>
          <c:w val="0.28497500584606611"/>
          <c:h val="7.9643865606846526E-2"/>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Error</a:t>
            </a:r>
            <a:r>
              <a:rPr lang="en-US" baseline="0"/>
              <a:t> Amplifier Transfer</a:t>
            </a:r>
          </a:p>
        </c:rich>
      </c:tx>
      <c:overlay val="0"/>
    </c:title>
    <c:autoTitleDeleted val="0"/>
    <c:plotArea>
      <c:layout/>
      <c:scatterChart>
        <c:scatterStyle val="smoothMarker"/>
        <c:varyColors val="0"/>
        <c:ser>
          <c:idx val="0"/>
          <c:order val="0"/>
          <c:marker>
            <c:symbol val="none"/>
          </c:marker>
          <c:xVal>
            <c:numRef>
              <c:f>CCM_Loop_Modeling_Isolated!$O$19:$O$560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CCM_Loop_Modeling_Isolated!$AT$19:$AT$560</c:f>
              <c:numCache>
                <c:formatCode>General</c:formatCode>
                <c:ptCount val="542"/>
                <c:pt idx="0">
                  <c:v>50.239639964220054</c:v>
                </c:pt>
                <c:pt idx="1">
                  <c:v>50.041770069374756</c:v>
                </c:pt>
                <c:pt idx="2">
                  <c:v>49.843999419735539</c:v>
                </c:pt>
                <c:pt idx="3">
                  <c:v>49.646332583579266</c:v>
                </c:pt>
                <c:pt idx="4">
                  <c:v>49.448774334155949</c:v>
                </c:pt>
                <c:pt idx="5">
                  <c:v>49.251329658381096</c:v>
                </c:pt>
                <c:pt idx="6">
                  <c:v>49.054003765848144</c:v>
                </c:pt>
                <c:pt idx="7">
                  <c:v>48.856802098168885</c:v>
                </c:pt>
                <c:pt idx="8">
                  <c:v>48.659730338647449</c:v>
                </c:pt>
                <c:pt idx="9">
                  <c:v>48.462794422295019</c:v>
                </c:pt>
                <c:pt idx="10">
                  <c:v>48.266000546190767</c:v>
                </c:pt>
                <c:pt idx="11">
                  <c:v>48.069355180194009</c:v>
                </c:pt>
                <c:pt idx="12">
                  <c:v>47.872865078012261</c:v>
                </c:pt>
                <c:pt idx="13">
                  <c:v>47.676537288628722</c:v>
                </c:pt>
                <c:pt idx="14">
                  <c:v>47.480379168092313</c:v>
                </c:pt>
                <c:pt idx="15">
                  <c:v>47.284398391671367</c:v>
                </c:pt>
                <c:pt idx="16">
                  <c:v>47.088602966372235</c:v>
                </c:pt>
                <c:pt idx="17">
                  <c:v>46.893001243821686</c:v>
                </c:pt>
                <c:pt idx="18">
                  <c:v>46.697601933511024</c:v>
                </c:pt>
                <c:pt idx="19">
                  <c:v>46.502414116397802</c:v>
                </c:pt>
                <c:pt idx="20">
                  <c:v>46.307447258860321</c:v>
                </c:pt>
                <c:pt idx="21">
                  <c:v>46.11271122699592</c:v>
                </c:pt>
                <c:pt idx="22">
                  <c:v>45.9182163012551</c:v>
                </c:pt>
                <c:pt idx="23">
                  <c:v>45.723973191396503</c:v>
                </c:pt>
                <c:pt idx="24">
                  <c:v>45.529993051751731</c:v>
                </c:pt>
                <c:pt idx="25">
                  <c:v>45.33628749677731</c:v>
                </c:pt>
                <c:pt idx="26">
                  <c:v>45.142868616877578</c:v>
                </c:pt>
                <c:pt idx="27">
                  <c:v>44.949748994470859</c:v>
                </c:pt>
                <c:pt idx="28">
                  <c:v>44.756941720271683</c:v>
                </c:pt>
                <c:pt idx="29">
                  <c:v>44.56446040975878</c:v>
                </c:pt>
                <c:pt idx="30">
                  <c:v>44.372319219788317</c:v>
                </c:pt>
                <c:pt idx="31">
                  <c:v>44.180532865316295</c:v>
                </c:pt>
                <c:pt idx="32">
                  <c:v>43.989116636180441</c:v>
                </c:pt>
                <c:pt idx="33">
                  <c:v>43.798086413891795</c:v>
                </c:pt>
                <c:pt idx="34">
                  <c:v>43.607458688379516</c:v>
                </c:pt>
                <c:pt idx="35">
                  <c:v>43.417250574625569</c:v>
                </c:pt>
                <c:pt idx="36">
                  <c:v>43.227479829120071</c:v>
                </c:pt>
                <c:pt idx="37">
                  <c:v>43.038164866063198</c:v>
                </c:pt>
                <c:pt idx="38">
                  <c:v>42.849324773228687</c:v>
                </c:pt>
                <c:pt idx="39">
                  <c:v>42.660979327402856</c:v>
                </c:pt>
                <c:pt idx="40">
                  <c:v>42.47314900929851</c:v>
                </c:pt>
                <c:pt idx="41">
                  <c:v>42.285855017842017</c:v>
                </c:pt>
                <c:pt idx="42">
                  <c:v>42.099119283718764</c:v>
                </c:pt>
                <c:pt idx="43">
                  <c:v>41.912964482058968</c:v>
                </c:pt>
                <c:pt idx="44">
                  <c:v>41.727414044132132</c:v>
                </c:pt>
                <c:pt idx="45">
                  <c:v>41.542492167916201</c:v>
                </c:pt>
                <c:pt idx="46">
                  <c:v>41.358223827394923</c:v>
                </c:pt>
                <c:pt idx="47">
                  <c:v>41.174634780431006</c:v>
                </c:pt>
                <c:pt idx="48">
                  <c:v>40.991751575054032</c:v>
                </c:pt>
                <c:pt idx="49">
                  <c:v>40.809601553995527</c:v>
                </c:pt>
                <c:pt idx="50">
                  <c:v>40.628212857295871</c:v>
                </c:pt>
                <c:pt idx="51">
                  <c:v>40.447614422801408</c:v>
                </c:pt>
                <c:pt idx="52">
                  <c:v>40.267835984364083</c:v>
                </c:pt>
                <c:pt idx="53">
                  <c:v>40.088908067553149</c:v>
                </c:pt>
                <c:pt idx="54">
                  <c:v>39.910861982680636</c:v>
                </c:pt>
                <c:pt idx="55">
                  <c:v>39.733729814944724</c:v>
                </c:pt>
                <c:pt idx="56">
                  <c:v>39.557544411490071</c:v>
                </c:pt>
                <c:pt idx="57">
                  <c:v>39.382339365186454</c:v>
                </c:pt>
                <c:pt idx="58">
                  <c:v>39.208148994929445</c:v>
                </c:pt>
                <c:pt idx="59">
                  <c:v>39.035008322270983</c:v>
                </c:pt>
                <c:pt idx="60">
                  <c:v>38.862953044193503</c:v>
                </c:pt>
                <c:pt idx="61">
                  <c:v>38.692019501851888</c:v>
                </c:pt>
                <c:pt idx="62">
                  <c:v>38.522244645117979</c:v>
                </c:pt>
                <c:pt idx="63">
                  <c:v>38.353665992776705</c:v>
                </c:pt>
                <c:pt idx="64">
                  <c:v>38.186321588241576</c:v>
                </c:pt>
                <c:pt idx="65">
                  <c:v>38.02024995067638</c:v>
                </c:pt>
                <c:pt idx="66">
                  <c:v>37.855490021434065</c:v>
                </c:pt>
                <c:pt idx="67">
                  <c:v>37.692081105751598</c:v>
                </c:pt>
                <c:pt idx="68">
                  <c:v>37.530062809667989</c:v>
                </c:pt>
                <c:pt idx="69">
                  <c:v>37.369474972168007</c:v>
                </c:pt>
                <c:pt idx="70">
                  <c:v>37.210357592589403</c:v>
                </c:pt>
                <c:pt idx="71">
                  <c:v>37.052750753372024</c:v>
                </c:pt>
                <c:pt idx="72">
                  <c:v>36.896694538268427</c:v>
                </c:pt>
                <c:pt idx="73">
                  <c:v>36.742228946181932</c:v>
                </c:pt>
                <c:pt idx="74">
                  <c:v>36.589393800843567</c:v>
                </c:pt>
                <c:pt idx="75">
                  <c:v>36.438228656589324</c:v>
                </c:pt>
                <c:pt idx="76">
                  <c:v>36.288772700548087</c:v>
                </c:pt>
                <c:pt idx="77">
                  <c:v>36.141064651600821</c:v>
                </c:pt>
                <c:pt idx="78">
                  <c:v>35.995142656523036</c:v>
                </c:pt>
                <c:pt idx="79">
                  <c:v>35.851044183770505</c:v>
                </c:pt>
                <c:pt idx="80">
                  <c:v>35.708805915416534</c:v>
                </c:pt>
                <c:pt idx="81">
                  <c:v>35.568463637794643</c:v>
                </c:pt>
                <c:pt idx="82">
                  <c:v>35.430052131442238</c:v>
                </c:pt>
                <c:pt idx="83">
                  <c:v>35.293605060978216</c:v>
                </c:pt>
                <c:pt idx="84">
                  <c:v>35.159154865580859</c:v>
                </c:pt>
                <c:pt idx="85">
                  <c:v>35.026732650759172</c:v>
                </c:pt>
                <c:pt idx="86">
                  <c:v>34.896368082130621</c:v>
                </c:pt>
                <c:pt idx="87">
                  <c:v>34.76808928193168</c:v>
                </c:pt>
                <c:pt idx="88">
                  <c:v>34.641922728992583</c:v>
                </c:pt>
                <c:pt idx="89">
                  <c:v>34.517893162903889</c:v>
                </c:pt>
                <c:pt idx="90">
                  <c:v>34.396023493091135</c:v>
                </c:pt>
                <c:pt idx="91">
                  <c:v>34.276334713491956</c:v>
                </c:pt>
                <c:pt idx="92">
                  <c:v>34.158845823500272</c:v>
                </c:pt>
                <c:pt idx="93">
                  <c:v>34.043573755803706</c:v>
                </c:pt>
                <c:pt idx="94">
                  <c:v>33.930533311691853</c:v>
                </c:pt>
                <c:pt idx="95">
                  <c:v>33.819737104358374</c:v>
                </c:pt>
                <c:pt idx="96">
                  <c:v>33.711195510657014</c:v>
                </c:pt>
                <c:pt idx="97">
                  <c:v>33.604916631701286</c:v>
                </c:pt>
                <c:pt idx="98">
                  <c:v>33.500906262623566</c:v>
                </c:pt>
                <c:pt idx="99">
                  <c:v>33.399167871729418</c:v>
                </c:pt>
                <c:pt idx="100">
                  <c:v>33.299702589200145</c:v>
                </c:pt>
                <c:pt idx="101">
                  <c:v>33.202509205412049</c:v>
                </c:pt>
                <c:pt idx="102">
                  <c:v>33.107584178855483</c:v>
                </c:pt>
                <c:pt idx="103">
                  <c:v>33.014921653551845</c:v>
                </c:pt>
                <c:pt idx="104">
                  <c:v>32.924513485784473</c:v>
                </c:pt>
                <c:pt idx="105">
                  <c:v>32.836349279878675</c:v>
                </c:pt>
                <c:pt idx="106">
                  <c:v>32.750416432693157</c:v>
                </c:pt>
                <c:pt idx="107">
                  <c:v>32.666700186412804</c:v>
                </c:pt>
                <c:pt idx="108">
                  <c:v>32.585183689171878</c:v>
                </c:pt>
                <c:pt idx="109">
                  <c:v>32.505848062979098</c:v>
                </c:pt>
                <c:pt idx="110">
                  <c:v>32.428672478368213</c:v>
                </c:pt>
                <c:pt idx="111">
                  <c:v>32.353634235157898</c:v>
                </c:pt>
                <c:pt idx="112">
                  <c:v>32.280708848672674</c:v>
                </c:pt>
                <c:pt idx="113">
                  <c:v>32.209870140753708</c:v>
                </c:pt>
                <c:pt idx="114">
                  <c:v>32.141090334873525</c:v>
                </c:pt>
                <c:pt idx="115">
                  <c:v>32.074340154663076</c:v>
                </c:pt>
                <c:pt idx="116">
                  <c:v>32.009588925160685</c:v>
                </c:pt>
                <c:pt idx="117">
                  <c:v>31.946804676100136</c:v>
                </c:pt>
                <c:pt idx="118">
                  <c:v>31.885954246574805</c:v>
                </c:pt>
                <c:pt idx="119">
                  <c:v>31.827003390431386</c:v>
                </c:pt>
                <c:pt idx="120">
                  <c:v>31.769916881778755</c:v>
                </c:pt>
                <c:pt idx="121">
                  <c:v>31.714658620027443</c:v>
                </c:pt>
                <c:pt idx="122">
                  <c:v>31.661191733910812</c:v>
                </c:pt>
                <c:pt idx="123">
                  <c:v>31.609478683978843</c:v>
                </c:pt>
                <c:pt idx="124">
                  <c:v>31.559481363098367</c:v>
                </c:pt>
                <c:pt idx="125">
                  <c:v>31.511161194531439</c:v>
                </c:pt>
                <c:pt idx="126">
                  <c:v>31.464479227215065</c:v>
                </c:pt>
                <c:pt idx="127">
                  <c:v>31.419396227902773</c:v>
                </c:pt>
                <c:pt idx="128">
                  <c:v>31.375872769876203</c:v>
                </c:pt>
                <c:pt idx="129">
                  <c:v>31.333869317978671</c:v>
                </c:pt>
                <c:pt idx="130">
                  <c:v>31.293346309761336</c:v>
                </c:pt>
                <c:pt idx="131">
                  <c:v>31.254264232576951</c:v>
                </c:pt>
                <c:pt idx="132">
                  <c:v>31.216583696491838</c:v>
                </c:pt>
                <c:pt idx="133">
                  <c:v>31.180265502925014</c:v>
                </c:pt>
                <c:pt idx="134">
                  <c:v>31.145270708956527</c:v>
                </c:pt>
                <c:pt idx="135">
                  <c:v>31.111560687278768</c:v>
                </c:pt>
                <c:pt idx="136">
                  <c:v>31.079097181794729</c:v>
                </c:pt>
                <c:pt idx="137">
                  <c:v>31.047842358892019</c:v>
                </c:pt>
                <c:pt idx="138">
                  <c:v>31.017758854446448</c:v>
                </c:pt>
                <c:pt idx="139">
                  <c:v>30.988809816630933</c:v>
                </c:pt>
                <c:pt idx="140">
                  <c:v>30.960958944622504</c:v>
                </c:pt>
                <c:pt idx="141">
                  <c:v>30.934170523318528</c:v>
                </c:pt>
                <c:pt idx="142">
                  <c:v>30.90840945418617</c:v>
                </c:pt>
                <c:pt idx="143">
                  <c:v>30.883641282381447</c:v>
                </c:pt>
                <c:pt idx="144">
                  <c:v>30.859832220283536</c:v>
                </c:pt>
                <c:pt idx="145">
                  <c:v>30.836949167599329</c:v>
                </c:pt>
                <c:pt idx="146">
                  <c:v>30.814959728195909</c:v>
                </c:pt>
                <c:pt idx="147">
                  <c:v>30.793832223827629</c:v>
                </c:pt>
                <c:pt idx="148">
                  <c:v>30.773535704921649</c:v>
                </c:pt>
                <c:pt idx="149">
                  <c:v>30.754039958592749</c:v>
                </c:pt>
                <c:pt idx="150">
                  <c:v>30.735315514052836</c:v>
                </c:pt>
                <c:pt idx="151">
                  <c:v>30.717333645584276</c:v>
                </c:pt>
                <c:pt idx="152">
                  <c:v>30.700066373239924</c:v>
                </c:pt>
                <c:pt idx="153">
                  <c:v>30.683486461433329</c:v>
                </c:pt>
                <c:pt idx="154">
                  <c:v>30.667567415574759</c:v>
                </c:pt>
                <c:pt idx="155">
                  <c:v>30.652283476908938</c:v>
                </c:pt>
                <c:pt idx="156">
                  <c:v>30.637609615700434</c:v>
                </c:pt>
                <c:pt idx="157">
                  <c:v>30.623521522911336</c:v>
                </c:pt>
                <c:pt idx="158">
                  <c:v>30.609995600506966</c:v>
                </c:pt>
                <c:pt idx="159">
                  <c:v>30.597008950520692</c:v>
                </c:pt>
                <c:pt idx="160">
                  <c:v>30.584539363003145</c:v>
                </c:pt>
                <c:pt idx="161">
                  <c:v>30.572565302971448</c:v>
                </c:pt>
                <c:pt idx="162">
                  <c:v>30.561065896472257</c:v>
                </c:pt>
                <c:pt idx="163">
                  <c:v>30.550020915861541</c:v>
                </c:pt>
                <c:pt idx="164">
                  <c:v>30.539410764399619</c:v>
                </c:pt>
                <c:pt idx="165">
                  <c:v>30.529216460252574</c:v>
                </c:pt>
                <c:pt idx="166">
                  <c:v>30.519419619985875</c:v>
                </c:pt>
                <c:pt idx="167">
                  <c:v>30.510002441627616</c:v>
                </c:pt>
                <c:pt idx="168">
                  <c:v>30.500947687375426</c:v>
                </c:pt>
                <c:pt idx="169">
                  <c:v>30.492238666011886</c:v>
                </c:pt>
                <c:pt idx="170">
                  <c:v>30.483859215091403</c:v>
                </c:pt>
                <c:pt idx="171">
                  <c:v>30.475793682951821</c:v>
                </c:pt>
                <c:pt idx="172">
                  <c:v>30.468026910602276</c:v>
                </c:pt>
                <c:pt idx="173">
                  <c:v>30.460544213531684</c:v>
                </c:pt>
                <c:pt idx="174">
                  <c:v>30.453331363477893</c:v>
                </c:pt>
                <c:pt idx="175">
                  <c:v>30.446374570193665</c:v>
                </c:pt>
                <c:pt idx="176">
                  <c:v>30.439660463240131</c:v>
                </c:pt>
                <c:pt idx="177">
                  <c:v>30.433176073835419</c:v>
                </c:pt>
                <c:pt idx="178">
                  <c:v>30.426908816781499</c:v>
                </c:pt>
                <c:pt idx="179">
                  <c:v>30.420846472489238</c:v>
                </c:pt>
                <c:pt idx="180">
                  <c:v>30.414977169118092</c:v>
                </c:pt>
                <c:pt idx="181">
                  <c:v>30.409289364843424</c:v>
                </c:pt>
                <c:pt idx="182">
                  <c:v>30.403771830262173</c:v>
                </c:pt>
                <c:pt idx="183">
                  <c:v>30.398413630944191</c:v>
                </c:pt>
                <c:pt idx="184">
                  <c:v>30.393204110134377</c:v>
                </c:pt>
                <c:pt idx="185">
                  <c:v>30.388132871608747</c:v>
                </c:pt>
                <c:pt idx="186">
                  <c:v>30.383189762684601</c:v>
                </c:pt>
                <c:pt idx="187">
                  <c:v>30.378364857383488</c:v>
                </c:pt>
                <c:pt idx="188">
                  <c:v>30.373648439744603</c:v>
                </c:pt>
                <c:pt idx="189">
                  <c:v>30.369030987282319</c:v>
                </c:pt>
                <c:pt idx="190">
                  <c:v>30.364503154583215</c:v>
                </c:pt>
                <c:pt idx="191">
                  <c:v>30.360055757033813</c:v>
                </c:pt>
                <c:pt idx="192">
                  <c:v>30.355679754670319</c:v>
                </c:pt>
                <c:pt idx="193">
                  <c:v>30.351366236141367</c:v>
                </c:pt>
                <c:pt idx="194">
                  <c:v>30.347106402770912</c:v>
                </c:pt>
                <c:pt idx="195">
                  <c:v>30.342891552711272</c:v>
                </c:pt>
                <c:pt idx="196">
                  <c:v>30.338713065173014</c:v>
                </c:pt>
                <c:pt idx="197">
                  <c:v>30.334562384718097</c:v>
                </c:pt>
                <c:pt idx="198">
                  <c:v>30.33043100560279</c:v>
                </c:pt>
                <c:pt idx="199">
                  <c:v>30.326310456156733</c:v>
                </c:pt>
                <c:pt idx="200">
                  <c:v>30.322192283182147</c:v>
                </c:pt>
                <c:pt idx="201">
                  <c:v>30.31806803635962</c:v>
                </c:pt>
                <c:pt idx="202">
                  <c:v>30.313929252644535</c:v>
                </c:pt>
                <c:pt idx="203">
                  <c:v>30.309767440639547</c:v>
                </c:pt>
                <c:pt idx="204">
                  <c:v>30.30557406492769</c:v>
                </c:pt>
                <c:pt idx="205">
                  <c:v>30.301340530350778</c:v>
                </c:pt>
                <c:pt idx="206">
                  <c:v>30.29705816621831</c:v>
                </c:pt>
                <c:pt idx="207">
                  <c:v>30.292718210433218</c:v>
                </c:pt>
                <c:pt idx="208">
                  <c:v>30.288311793518172</c:v>
                </c:pt>
                <c:pt idx="209">
                  <c:v>30.283829922530579</c:v>
                </c:pt>
                <c:pt idx="210">
                  <c:v>30.279263464852061</c:v>
                </c:pt>
                <c:pt idx="211">
                  <c:v>30.274603131839481</c:v>
                </c:pt>
                <c:pt idx="212">
                  <c:v>30.269839462327251</c:v>
                </c:pt>
                <c:pt idx="213">
                  <c:v>30.264962805968473</c:v>
                </c:pt>
                <c:pt idx="214">
                  <c:v>30.259963306405457</c:v>
                </c:pt>
                <c:pt idx="215">
                  <c:v>30.254830884262006</c:v>
                </c:pt>
                <c:pt idx="216">
                  <c:v>30.249555219949158</c:v>
                </c:pt>
                <c:pt idx="217">
                  <c:v>30.244125736277937</c:v>
                </c:pt>
                <c:pt idx="218">
                  <c:v>30.238531580877634</c:v>
                </c:pt>
                <c:pt idx="219">
                  <c:v>30.232761608413632</c:v>
                </c:pt>
                <c:pt idx="220">
                  <c:v>30.226804362607069</c:v>
                </c:pt>
                <c:pt idx="221">
                  <c:v>30.220648058058025</c:v>
                </c:pt>
                <c:pt idx="222">
                  <c:v>30.214280561874702</c:v>
                </c:pt>
                <c:pt idx="223">
                  <c:v>30.207689375117219</c:v>
                </c:pt>
                <c:pt idx="224">
                  <c:v>30.200861614066532</c:v>
                </c:pt>
                <c:pt idx="225">
                  <c:v>30.193783991327869</c:v>
                </c:pt>
                <c:pt idx="226">
                  <c:v>30.186442796790427</c:v>
                </c:pt>
                <c:pt idx="227">
                  <c:v>30.178823878458424</c:v>
                </c:pt>
                <c:pt idx="228">
                  <c:v>30.170912623179792</c:v>
                </c:pt>
                <c:pt idx="229">
                  <c:v>30.162693937301949</c:v>
                </c:pt>
                <c:pt idx="230">
                  <c:v>30.154152227284477</c:v>
                </c:pt>
                <c:pt idx="231">
                  <c:v>30.145271380309069</c:v>
                </c:pt>
                <c:pt idx="232">
                  <c:v>30.136034744928232</c:v>
                </c:pt>
                <c:pt idx="233">
                  <c:v>30.126425111802895</c:v>
                </c:pt>
                <c:pt idx="234">
                  <c:v>30.116424694580452</c:v>
                </c:pt>
                <c:pt idx="235">
                  <c:v>30.106015110977435</c:v>
                </c:pt>
                <c:pt idx="236">
                  <c:v>30.095177364131555</c:v>
                </c:pt>
                <c:pt idx="237">
                  <c:v>30.08389182429795</c:v>
                </c:pt>
                <c:pt idx="238">
                  <c:v>30.072138210971456</c:v>
                </c:pt>
                <c:pt idx="239">
                  <c:v>30.059895575522681</c:v>
                </c:pt>
                <c:pt idx="240">
                  <c:v>30.047142284445776</c:v>
                </c:pt>
                <c:pt idx="241">
                  <c:v>30.03385600332145</c:v>
                </c:pt>
                <c:pt idx="242">
                  <c:v>30.020013681608919</c:v>
                </c:pt>
                <c:pt idx="243">
                  <c:v>30.005591538386938</c:v>
                </c:pt>
                <c:pt idx="244">
                  <c:v>29.990565049175601</c:v>
                </c:pt>
                <c:pt idx="245">
                  <c:v>29.974908933975382</c:v>
                </c:pt>
                <c:pt idx="246">
                  <c:v>29.95859714667062</c:v>
                </c:pt>
                <c:pt idx="247">
                  <c:v>29.941602865954351</c:v>
                </c:pt>
                <c:pt idx="248">
                  <c:v>29.923898487935272</c:v>
                </c:pt>
                <c:pt idx="249">
                  <c:v>29.905455620600652</c:v>
                </c:pt>
                <c:pt idx="250">
                  <c:v>29.88624508031203</c:v>
                </c:pt>
                <c:pt idx="251">
                  <c:v>29.86623689052038</c:v>
                </c:pt>
                <c:pt idx="252">
                  <c:v>29.845400282891763</c:v>
                </c:pt>
                <c:pt idx="253">
                  <c:v>29.82370370104104</c:v>
                </c:pt>
                <c:pt idx="254">
                  <c:v>29.801114807073539</c:v>
                </c:pt>
                <c:pt idx="255">
                  <c:v>29.77760049113915</c:v>
                </c:pt>
                <c:pt idx="256">
                  <c:v>29.7531268842041</c:v>
                </c:pt>
                <c:pt idx="257">
                  <c:v>29.727659374245103</c:v>
                </c:pt>
                <c:pt idx="258">
                  <c:v>29.70116262606885</c:v>
                </c:pt>
                <c:pt idx="259">
                  <c:v>29.673600604955542</c:v>
                </c:pt>
                <c:pt idx="260">
                  <c:v>29.644936604318644</c:v>
                </c:pt>
                <c:pt idx="261">
                  <c:v>29.615133277563501</c:v>
                </c:pt>
                <c:pt idx="262">
                  <c:v>29.584152674317444</c:v>
                </c:pt>
                <c:pt idx="263">
                  <c:v>29.551956281186797</c:v>
                </c:pt>
                <c:pt idx="264">
                  <c:v>29.518505067181415</c:v>
                </c:pt>
                <c:pt idx="265">
                  <c:v>29.483759533923305</c:v>
                </c:pt>
                <c:pt idx="266">
                  <c:v>29.447679770735942</c:v>
                </c:pt>
                <c:pt idx="267">
                  <c:v>29.410225514677574</c:v>
                </c:pt>
                <c:pt idx="268">
                  <c:v>29.3713562155577</c:v>
                </c:pt>
                <c:pt idx="269">
                  <c:v>29.331031105933846</c:v>
                </c:pt>
                <c:pt idx="270">
                  <c:v>29.289209276055249</c:v>
                </c:pt>
                <c:pt idx="271">
                  <c:v>29.24584975367393</c:v>
                </c:pt>
                <c:pt idx="272">
                  <c:v>29.200911588601318</c:v>
                </c:pt>
                <c:pt idx="273">
                  <c:v>29.154353941843659</c:v>
                </c:pt>
                <c:pt idx="274">
                  <c:v>29.106136179097057</c:v>
                </c:pt>
                <c:pt idx="275">
                  <c:v>29.056217968335496</c:v>
                </c:pt>
                <c:pt idx="276">
                  <c:v>29.004559381170324</c:v>
                </c:pt>
                <c:pt idx="277">
                  <c:v>28.951120997609848</c:v>
                </c:pt>
                <c:pt idx="278">
                  <c:v>28.895864013790234</c:v>
                </c:pt>
                <c:pt idx="279">
                  <c:v>28.83875035220165</c:v>
                </c:pt>
                <c:pt idx="280">
                  <c:v>28.779742773878894</c:v>
                </c:pt>
                <c:pt idx="281">
                  <c:v>28.718804991979852</c:v>
                </c:pt>
                <c:pt idx="282">
                  <c:v>28.655901786127771</c:v>
                </c:pt>
                <c:pt idx="283">
                  <c:v>28.590999116854974</c:v>
                </c:pt>
                <c:pt idx="284">
                  <c:v>28.524064239446755</c:v>
                </c:pt>
                <c:pt idx="285">
                  <c:v>28.455065816456901</c:v>
                </c:pt>
                <c:pt idx="286">
                  <c:v>28.383974028140866</c:v>
                </c:pt>
                <c:pt idx="287">
                  <c:v>28.310760680038598</c:v>
                </c:pt>
                <c:pt idx="288">
                  <c:v>28.235399306930624</c:v>
                </c:pt>
                <c:pt idx="289">
                  <c:v>28.157865272392065</c:v>
                </c:pt>
                <c:pt idx="290">
                  <c:v>28.078135863181505</c:v>
                </c:pt>
                <c:pt idx="291">
                  <c:v>27.996190377718978</c:v>
                </c:pt>
                <c:pt idx="292">
                  <c:v>27.912010207939453</c:v>
                </c:pt>
                <c:pt idx="293">
                  <c:v>27.825578913846414</c:v>
                </c:pt>
                <c:pt idx="294">
                  <c:v>27.736882290137483</c:v>
                </c:pt>
                <c:pt idx="295">
                  <c:v>27.645908424333115</c:v>
                </c:pt>
                <c:pt idx="296">
                  <c:v>27.552647745904665</c:v>
                </c:pt>
                <c:pt idx="297">
                  <c:v>27.457093065968181</c:v>
                </c:pt>
                <c:pt idx="298">
                  <c:v>27.35923960719429</c:v>
                </c:pt>
                <c:pt idx="299">
                  <c:v>27.259085023665261</c:v>
                </c:pt>
                <c:pt idx="300">
                  <c:v>27.156629410499708</c:v>
                </c:pt>
                <c:pt idx="301">
                  <c:v>27.051875303158731</c:v>
                </c:pt>
                <c:pt idx="302">
                  <c:v>26.944827666438101</c:v>
                </c:pt>
                <c:pt idx="303">
                  <c:v>26.835493873243514</c:v>
                </c:pt>
                <c:pt idx="304">
                  <c:v>26.723883673339618</c:v>
                </c:pt>
                <c:pt idx="305">
                  <c:v>26.610009152347892</c:v>
                </c:pt>
                <c:pt idx="306">
                  <c:v>26.493884681356086</c:v>
                </c:pt>
                <c:pt idx="307">
                  <c:v>26.37552685757926</c:v>
                </c:pt>
                <c:pt idx="308">
                  <c:v>26.254954436582302</c:v>
                </c:pt>
                <c:pt idx="309">
                  <c:v>26.132188256642934</c:v>
                </c:pt>
                <c:pt idx="310">
                  <c:v>26.007251155885616</c:v>
                </c:pt>
                <c:pt idx="311">
                  <c:v>25.880167882868097</c:v>
                </c:pt>
                <c:pt idx="312">
                  <c:v>25.750965001337018</c:v>
                </c:pt>
                <c:pt idx="313">
                  <c:v>25.619670789901491</c:v>
                </c:pt>
                <c:pt idx="314">
                  <c:v>25.486315137387034</c:v>
                </c:pt>
                <c:pt idx="315">
                  <c:v>25.350929434647945</c:v>
                </c:pt>
                <c:pt idx="316">
                  <c:v>25.2135464636115</c:v>
                </c:pt>
                <c:pt idx="317">
                  <c:v>25.074200284320888</c:v>
                </c:pt>
                <c:pt idx="318">
                  <c:v>24.932926120728041</c:v>
                </c:pt>
                <c:pt idx="319">
                  <c:v>24.789760245961414</c:v>
                </c:pt>
                <c:pt idx="320">
                  <c:v>24.644739867764088</c:v>
                </c:pt>
                <c:pt idx="321">
                  <c:v>24.497903014762588</c:v>
                </c:pt>
                <c:pt idx="322">
                  <c:v>24.349288424181484</c:v>
                </c:pt>
                <c:pt idx="323">
                  <c:v>24.198935431576082</c:v>
                </c:pt>
                <c:pt idx="324">
                  <c:v>24.046883863107603</c:v>
                </c:pt>
                <c:pt idx="325">
                  <c:v>23.893173930829505</c:v>
                </c:pt>
                <c:pt idx="326">
                  <c:v>23.737846131408197</c:v>
                </c:pt>
                <c:pt idx="327">
                  <c:v>23.580941148641365</c:v>
                </c:pt>
                <c:pt idx="328">
                  <c:v>23.422499760088883</c:v>
                </c:pt>
                <c:pt idx="329">
                  <c:v>23.262562748076899</c:v>
                </c:pt>
                <c:pt idx="330">
                  <c:v>23.101170815287773</c:v>
                </c:pt>
                <c:pt idx="331">
                  <c:v>22.938364505094917</c:v>
                </c:pt>
                <c:pt idx="332">
                  <c:v>22.774184126760183</c:v>
                </c:pt>
                <c:pt idx="333">
                  <c:v>22.608669685565509</c:v>
                </c:pt>
                <c:pt idx="334">
                  <c:v>22.44186081790933</c:v>
                </c:pt>
                <c:pt idx="335">
                  <c:v>22.273796731362047</c:v>
                </c:pt>
                <c:pt idx="336">
                  <c:v>22.104516149641317</c:v>
                </c:pt>
                <c:pt idx="337">
                  <c:v>21.934057262433736</c:v>
                </c:pt>
                <c:pt idx="338">
                  <c:v>21.76245767996765</c:v>
                </c:pt>
                <c:pt idx="339">
                  <c:v>21.589754392213059</c:v>
                </c:pt>
                <c:pt idx="340">
                  <c:v>21.41598373256711</c:v>
                </c:pt>
                <c:pt idx="341">
                  <c:v>21.241181345864458</c:v>
                </c:pt>
                <c:pt idx="342">
                  <c:v>21.065382160539166</c:v>
                </c:pt>
                <c:pt idx="343">
                  <c:v>20.888620364751233</c:v>
                </c:pt>
                <c:pt idx="344">
                  <c:v>20.710929386285354</c:v>
                </c:pt>
                <c:pt idx="345">
                  <c:v>20.532341876018513</c:v>
                </c:pt>
                <c:pt idx="346">
                  <c:v>20.352889694754236</c:v>
                </c:pt>
                <c:pt idx="347">
                  <c:v>20.172603903215212</c:v>
                </c:pt>
                <c:pt idx="348">
                  <c:v>19.99151475498833</c:v>
                </c:pt>
                <c:pt idx="349">
                  <c:v>19.809651692216441</c:v>
                </c:pt>
                <c:pt idx="350">
                  <c:v>19.627043343834803</c:v>
                </c:pt>
                <c:pt idx="351">
                  <c:v>19.443717526153751</c:v>
                </c:pt>
                <c:pt idx="352">
                  <c:v>19.259701245595334</c:v>
                </c:pt>
                <c:pt idx="353">
                  <c:v>19.075020703396525</c:v>
                </c:pt>
                <c:pt idx="354">
                  <c:v>18.889701302098636</c:v>
                </c:pt>
                <c:pt idx="355">
                  <c:v>18.703767653652083</c:v>
                </c:pt>
                <c:pt idx="356">
                  <c:v>18.517243588969283</c:v>
                </c:pt>
                <c:pt idx="357">
                  <c:v>18.33015216877088</c:v>
                </c:pt>
                <c:pt idx="358">
                  <c:v>18.142515695576172</c:v>
                </c:pt>
                <c:pt idx="359">
                  <c:v>17.954355726698243</c:v>
                </c:pt>
                <c:pt idx="360">
                  <c:v>17.765693088111338</c:v>
                </c:pt>
                <c:pt idx="361">
                  <c:v>17.576547889068937</c:v>
                </c:pt>
                <c:pt idx="362">
                  <c:v>17.386939537356181</c:v>
                </c:pt>
                <c:pt idx="363">
                  <c:v>17.196886755070985</c:v>
                </c:pt>
                <c:pt idx="364">
                  <c:v>17.006407594834592</c:v>
                </c:pt>
                <c:pt idx="365">
                  <c:v>16.815519456340297</c:v>
                </c:pt>
                <c:pt idx="366">
                  <c:v>16.624239103156583</c:v>
                </c:pt>
                <c:pt idx="367">
                  <c:v>16.432582679708045</c:v>
                </c:pt>
                <c:pt idx="368">
                  <c:v>16.24056572836356</c:v>
                </c:pt>
                <c:pt idx="369">
                  <c:v>16.04820320656798</c:v>
                </c:pt>
                <c:pt idx="370">
                  <c:v>15.855509503960846</c:v>
                </c:pt>
                <c:pt idx="371">
                  <c:v>15.66249845942826</c:v>
                </c:pt>
                <c:pt idx="372">
                  <c:v>15.46918337804267</c:v>
                </c:pt>
                <c:pt idx="373">
                  <c:v>15.275577047848877</c:v>
                </c:pt>
                <c:pt idx="374">
                  <c:v>15.0816917564592</c:v>
                </c:pt>
                <c:pt idx="375">
                  <c:v>14.887539307424863</c:v>
                </c:pt>
                <c:pt idx="376">
                  <c:v>14.693131036356249</c:v>
                </c:pt>
                <c:pt idx="377">
                  <c:v>14.498477826766665</c:v>
                </c:pt>
                <c:pt idx="378">
                  <c:v>14.303590125618616</c:v>
                </c:pt>
                <c:pt idx="379">
                  <c:v>14.108477958554825</c:v>
                </c:pt>
                <c:pt idx="380">
                  <c:v>13.913150944798605</c:v>
                </c:pt>
                <c:pt idx="381">
                  <c:v>13.717618311711977</c:v>
                </c:pt>
                <c:pt idx="382">
                  <c:v>13.521888909000829</c:v>
                </c:pt>
                <c:pt idx="383">
                  <c:v>13.325971222560334</c:v>
                </c:pt>
                <c:pt idx="384">
                  <c:v>13.129873387954285</c:v>
                </c:pt>
                <c:pt idx="385">
                  <c:v>12.933603203525443</c:v>
                </c:pt>
                <c:pt idx="386">
                  <c:v>12.737168143133857</c:v>
                </c:pt>
                <c:pt idx="387">
                  <c:v>12.540575368523417</c:v>
                </c:pt>
                <c:pt idx="388">
                  <c:v>12.343831741316716</c:v>
                </c:pt>
                <c:pt idx="389">
                  <c:v>12.146943834640485</c:v>
                </c:pt>
                <c:pt idx="390">
                  <c:v>11.949917944384259</c:v>
                </c:pt>
                <c:pt idx="391">
                  <c:v>11.75276010009641</c:v>
                </c:pt>
                <c:pt idx="392">
                  <c:v>11.55547607552186</c:v>
                </c:pt>
                <c:pt idx="393">
                  <c:v>11.358071398787313</c:v>
                </c:pt>
                <c:pt idx="394">
                  <c:v>11.160551362239314</c:v>
                </c:pt>
                <c:pt idx="395">
                  <c:v>10.962921031941741</c:v>
                </c:pt>
                <c:pt idx="396">
                  <c:v>10.765185256840761</c:v>
                </c:pt>
                <c:pt idx="397">
                  <c:v>10.567348677601998</c:v>
                </c:pt>
                <c:pt idx="398">
                  <c:v>10.369415735130696</c:v>
                </c:pt>
                <c:pt idx="399">
                  <c:v>10.171390678779472</c:v>
                </c:pt>
                <c:pt idx="400">
                  <c:v>9.9732775742542028</c:v>
                </c:pt>
                <c:pt idx="401">
                  <c:v>9.7750803112240998</c:v>
                </c:pt>
                <c:pt idx="402">
                  <c:v>9.5768026106459949</c:v>
                </c:pt>
                <c:pt idx="403">
                  <c:v>9.3784480318092882</c:v>
                </c:pt>
                <c:pt idx="404">
                  <c:v>9.180019979111405</c:v>
                </c:pt>
                <c:pt idx="405">
                  <c:v>8.9815217085704298</c:v>
                </c:pt>
                <c:pt idx="406">
                  <c:v>8.7829563340844992</c:v>
                </c:pt>
                <c:pt idx="407">
                  <c:v>8.5843268334452389</c:v>
                </c:pt>
                <c:pt idx="408">
                  <c:v>8.3856360541131956</c:v>
                </c:pt>
                <c:pt idx="409">
                  <c:v>8.1868867187640131</c:v>
                </c:pt>
                <c:pt idx="410">
                  <c:v>7.98808143061202</c:v>
                </c:pt>
                <c:pt idx="411">
                  <c:v>7.7892226785192911</c:v>
                </c:pt>
                <c:pt idx="412">
                  <c:v>7.5903128418986823</c:v>
                </c:pt>
                <c:pt idx="413">
                  <c:v>7.3913541954162074</c:v>
                </c:pt>
                <c:pt idx="414">
                  <c:v>7.1923489135016538</c:v>
                </c:pt>
                <c:pt idx="415">
                  <c:v>6.9932990746741721</c:v>
                </c:pt>
                <c:pt idx="416">
                  <c:v>6.7942066656882076</c:v>
                </c:pt>
                <c:pt idx="417">
                  <c:v>6.5950735855083309</c:v>
                </c:pt>
                <c:pt idx="418">
                  <c:v>6.3959016491187892</c:v>
                </c:pt>
                <c:pt idx="419">
                  <c:v>6.1966925911737594</c:v>
                </c:pt>
                <c:pt idx="420">
                  <c:v>5.9974480694935126</c:v>
                </c:pt>
                <c:pt idx="421">
                  <c:v>5.798169668415408</c:v>
                </c:pt>
                <c:pt idx="422">
                  <c:v>5.5988589020022692</c:v>
                </c:pt>
                <c:pt idx="423">
                  <c:v>5.3995172171144148</c:v>
                </c:pt>
                <c:pt idx="424">
                  <c:v>5.2001459963531618</c:v>
                </c:pt>
                <c:pt idx="425">
                  <c:v>5.0007465608769328</c:v>
                </c:pt>
                <c:pt idx="426">
                  <c:v>4.8013201730982482</c:v>
                </c:pt>
                <c:pt idx="427">
                  <c:v>4.6018680392653408</c:v>
                </c:pt>
                <c:pt idx="428">
                  <c:v>4.4023913119330453</c:v>
                </c:pt>
                <c:pt idx="429">
                  <c:v>4.2028910923261007</c:v>
                </c:pt>
                <c:pt idx="430">
                  <c:v>4.0033684326033905</c:v>
                </c:pt>
                <c:pt idx="431">
                  <c:v>3.8038243380212595</c:v>
                </c:pt>
                <c:pt idx="432">
                  <c:v>3.604259769006382</c:v>
                </c:pt>
                <c:pt idx="433">
                  <c:v>3.4046756431354619</c:v>
                </c:pt>
                <c:pt idx="434">
                  <c:v>3.2050728370323567</c:v>
                </c:pt>
                <c:pt idx="435">
                  <c:v>3.0054521881800884</c:v>
                </c:pt>
                <c:pt idx="436">
                  <c:v>2.805814496655461</c:v>
                </c:pt>
                <c:pt idx="437">
                  <c:v>2.6061605267871961</c:v>
                </c:pt>
                <c:pt idx="438">
                  <c:v>2.4064910087421496</c:v>
                </c:pt>
                <c:pt idx="439">
                  <c:v>2.2068066400419122</c:v>
                </c:pt>
                <c:pt idx="440">
                  <c:v>2.0071080870129068</c:v>
                </c:pt>
                <c:pt idx="441">
                  <c:v>1.8073959861730426</c:v>
                </c:pt>
                <c:pt idx="442">
                  <c:v>1.607670945557631</c:v>
                </c:pt>
                <c:pt idx="443">
                  <c:v>1.4079335459864086</c:v>
                </c:pt>
                <c:pt idx="444">
                  <c:v>1.2081843422755922</c:v>
                </c:pt>
                <c:pt idx="445">
                  <c:v>1.0084238643959993</c:v>
                </c:pt>
                <c:pt idx="446">
                  <c:v>0.80865261858009629</c:v>
                </c:pt>
                <c:pt idx="447">
                  <c:v>0.60887108838075166</c:v>
                </c:pt>
                <c:pt idx="448">
                  <c:v>0.40907973568264144</c:v>
                </c:pt>
                <c:pt idx="449">
                  <c:v>0.20927900166895194</c:v>
                </c:pt>
                <c:pt idx="450">
                  <c:v>9.4693077455863146E-3</c:v>
                </c:pt>
                <c:pt idx="451">
                  <c:v>-0.19034894357549309</c:v>
                </c:pt>
                <c:pt idx="452">
                  <c:v>-0.39017536783257867</c:v>
                </c:pt>
                <c:pt idx="453">
                  <c:v>-0.59000959780728601</c:v>
                </c:pt>
                <c:pt idx="454">
                  <c:v>-0.78985128275393768</c:v>
                </c:pt>
                <c:pt idx="455">
                  <c:v>-0.98970008766311479</c:v>
                </c:pt>
                <c:pt idx="456">
                  <c:v>-1.1895556925573114</c:v>
                </c:pt>
                <c:pt idx="457">
                  <c:v>-1.3894177918191175</c:v>
                </c:pt>
                <c:pt idx="458">
                  <c:v>-1.5892860935479844</c:v>
                </c:pt>
                <c:pt idx="459">
                  <c:v>-1.7891603189463905</c:v>
                </c:pt>
                <c:pt idx="460">
                  <c:v>-1.9890402017332418</c:v>
                </c:pt>
                <c:pt idx="461">
                  <c:v>-2.1889254875832749</c:v>
                </c:pt>
                <c:pt idx="462">
                  <c:v>-2.3888159335912191</c:v>
                </c:pt>
                <c:pt idx="463">
                  <c:v>-2.5887113077606134</c:v>
                </c:pt>
                <c:pt idx="464">
                  <c:v>-2.7886113885145751</c:v>
                </c:pt>
                <c:pt idx="465">
                  <c:v>-2.9885159642288932</c:v>
                </c:pt>
                <c:pt idx="466">
                  <c:v>-3.1884248327857923</c:v>
                </c:pt>
                <c:pt idx="467">
                  <c:v>-3.388337801147828</c:v>
                </c:pt>
                <c:pt idx="468">
                  <c:v>-3.5882546849502561</c:v>
                </c:pt>
                <c:pt idx="469">
                  <c:v>-3.7881753081125522</c:v>
                </c:pt>
                <c:pt idx="470">
                  <c:v>-3.9880995024663646</c:v>
                </c:pt>
                <c:pt idx="471">
                  <c:v>-4.1880271074008277</c:v>
                </c:pt>
                <c:pt idx="472">
                  <c:v>-4.3879579695231872</c:v>
                </c:pt>
                <c:pt idx="473">
                  <c:v>-4.5878919423349611</c:v>
                </c:pt>
                <c:pt idx="474">
                  <c:v>-4.7878288859223996</c:v>
                </c:pt>
                <c:pt idx="475">
                  <c:v>-4.9877686666610392</c:v>
                </c:pt>
                <c:pt idx="476">
                  <c:v>-5.1877111569332479</c:v>
                </c:pt>
                <c:pt idx="477">
                  <c:v>-5.3876562348585209</c:v>
                </c:pt>
                <c:pt idx="478">
                  <c:v>-5.5876037840358341</c:v>
                </c:pt>
                <c:pt idx="479">
                  <c:v>-5.7875536932975278</c:v>
                </c:pt>
                <c:pt idx="480">
                  <c:v>-5.9875058564744377</c:v>
                </c:pt>
                <c:pt idx="481">
                  <c:v>-6.1874601721709794</c:v>
                </c:pt>
                <c:pt idx="482">
                  <c:v>-6.3874165435512378</c:v>
                </c:pt>
                <c:pt idx="483">
                  <c:v>-6.5873748781335904</c:v>
                </c:pt>
                <c:pt idx="484">
                  <c:v>-6.7873350875954275</c:v>
                </c:pt>
                <c:pt idx="485">
                  <c:v>-6.9872970875861142</c:v>
                </c:pt>
                <c:pt idx="486">
                  <c:v>-7.1872607975483982</c:v>
                </c:pt>
                <c:pt idx="487">
                  <c:v>-7.387226140548413</c:v>
                </c:pt>
                <c:pt idx="488">
                  <c:v>-7.5871930431120314</c:v>
                </c:pt>
                <c:pt idx="489">
                  <c:v>-7.7871614350702689</c:v>
                </c:pt>
                <c:pt idx="490">
                  <c:v>-7.9871312494098294</c:v>
                </c:pt>
                <c:pt idx="491">
                  <c:v>-8.1871024221320372</c:v>
                </c:pt>
                <c:pt idx="492">
                  <c:v>-8.3870748921167877</c:v>
                </c:pt>
                <c:pt idx="493">
                  <c:v>-8.5870486009934552</c:v>
                </c:pt>
                <c:pt idx="494">
                  <c:v>-8.787023493016946</c:v>
                </c:pt>
                <c:pt idx="495">
                  <c:v>-8.9869995149500443</c:v>
                </c:pt>
                <c:pt idx="496">
                  <c:v>-9.1869766159502237</c:v>
                </c:pt>
                <c:pt idx="497">
                  <c:v>-9.3869547474624646</c:v>
                </c:pt>
                <c:pt idx="498">
                  <c:v>-9.5869338631160232</c:v>
                </c:pt>
                <c:pt idx="499">
                  <c:v>-9.7869139186262242</c:v>
                </c:pt>
                <c:pt idx="500">
                  <c:v>-9.9868948717007466</c:v>
                </c:pt>
                <c:pt idx="501">
                  <c:v>-10.186876681950171</c:v>
                </c:pt>
                <c:pt idx="502">
                  <c:v>-10.386859310802084</c:v>
                </c:pt>
                <c:pt idx="503">
                  <c:v>-10.586842721419611</c:v>
                </c:pt>
                <c:pt idx="504">
                  <c:v>-10.786826878623161</c:v>
                </c:pt>
                <c:pt idx="505">
                  <c:v>-10.986811748815949</c:v>
                </c:pt>
                <c:pt idx="506">
                  <c:v>-11.186797299913147</c:v>
                </c:pt>
                <c:pt idx="507">
                  <c:v>-11.386783501273239</c:v>
                </c:pt>
                <c:pt idx="508">
                  <c:v>-11.586770323633386</c:v>
                </c:pt>
                <c:pt idx="509">
                  <c:v>-11.786757739047676</c:v>
                </c:pt>
                <c:pt idx="510">
                  <c:v>-11.986745720827649</c:v>
                </c:pt>
                <c:pt idx="511">
                  <c:v>-12.186734243485589</c:v>
                </c:pt>
                <c:pt idx="512">
                  <c:v>-12.386723282680677</c:v>
                </c:pt>
                <c:pt idx="513">
                  <c:v>-12.58671281516742</c:v>
                </c:pt>
                <c:pt idx="514">
                  <c:v>-12.786702818746249</c:v>
                </c:pt>
                <c:pt idx="515">
                  <c:v>-12.986693272216653</c:v>
                </c:pt>
                <c:pt idx="516">
                  <c:v>-13.186684155332184</c:v>
                </c:pt>
                <c:pt idx="517">
                  <c:v>-13.386675448757138</c:v>
                </c:pt>
                <c:pt idx="518">
                  <c:v>-13.586667134026216</c:v>
                </c:pt>
                <c:pt idx="519">
                  <c:v>-13.786659193505047</c:v>
                </c:pt>
                <c:pt idx="520">
                  <c:v>-13.986651610352611</c:v>
                </c:pt>
                <c:pt idx="521">
                  <c:v>-14.186644368485924</c:v>
                </c:pt>
                <c:pt idx="522">
                  <c:v>-14.386637452545642</c:v>
                </c:pt>
                <c:pt idx="523">
                  <c:v>-14.586630847863661</c:v>
                </c:pt>
                <c:pt idx="524">
                  <c:v>-14.786624540431848</c:v>
                </c:pt>
                <c:pt idx="525">
                  <c:v>-14.986618516872765</c:v>
                </c:pt>
                <c:pt idx="526">
                  <c:v>-15.186612764410759</c:v>
                </c:pt>
                <c:pt idx="527">
                  <c:v>-15.386607270845067</c:v>
                </c:pt>
                <c:pt idx="528">
                  <c:v>-15.586602024523888</c:v>
                </c:pt>
                <c:pt idx="529">
                  <c:v>-15.786597014320309</c:v>
                </c:pt>
                <c:pt idx="530">
                  <c:v>-15.986592229607561</c:v>
                </c:pt>
                <c:pt idx="531">
                  <c:v>-16.186587660237628</c:v>
                </c:pt>
                <c:pt idx="532">
                  <c:v>-16.386583296518577</c:v>
                </c:pt>
                <c:pt idx="533">
                  <c:v>-16.586579129195144</c:v>
                </c:pt>
                <c:pt idx="534">
                  <c:v>-16.78657514942832</c:v>
                </c:pt>
                <c:pt idx="535">
                  <c:v>-16.986571348777325</c:v>
                </c:pt>
                <c:pt idx="536">
                  <c:v>-17.186567719180623</c:v>
                </c:pt>
                <c:pt idx="537">
                  <c:v>-17.386564252939799</c:v>
                </c:pt>
                <c:pt idx="538">
                  <c:v>-17.586560942702878</c:v>
                </c:pt>
                <c:pt idx="539">
                  <c:v>-17.786557781448867</c:v>
                </c:pt>
                <c:pt idx="540">
                  <c:v>-17.986554762472622</c:v>
                </c:pt>
                <c:pt idx="541">
                  <c:v>-18.186551879370693</c:v>
                </c:pt>
              </c:numCache>
            </c:numRef>
          </c:yVal>
          <c:smooth val="1"/>
          <c:extLst>
            <c:ext xmlns:c16="http://schemas.microsoft.com/office/drawing/2014/chart" uri="{C3380CC4-5D6E-409C-BE32-E72D297353CC}">
              <c16:uniqueId val="{00000000-3DFE-43A9-93A4-11C3658A6E80}"/>
            </c:ext>
          </c:extLst>
        </c:ser>
        <c:dLbls>
          <c:showLegendKey val="0"/>
          <c:showVal val="0"/>
          <c:showCatName val="0"/>
          <c:showSerName val="0"/>
          <c:showPercent val="0"/>
          <c:showBubbleSize val="0"/>
        </c:dLbls>
        <c:axId val="337758080"/>
        <c:axId val="384032768"/>
      </c:scatterChart>
      <c:scatterChart>
        <c:scatterStyle val="smoothMarker"/>
        <c:varyColors val="0"/>
        <c:ser>
          <c:idx val="1"/>
          <c:order val="1"/>
          <c:marker>
            <c:symbol val="none"/>
          </c:marker>
          <c:xVal>
            <c:numRef>
              <c:f>CCM_Loop_Modeling_Isolated!$O$19:$O$560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CCM_Loop_Modeling_Isolated!$AU$19:$AU$560</c:f>
              <c:numCache>
                <c:formatCode>General</c:formatCode>
                <c:ptCount val="542"/>
                <c:pt idx="0">
                  <c:v>95.771746845314041</c:v>
                </c:pt>
                <c:pt idx="1">
                  <c:v>95.905197652289104</c:v>
                </c:pt>
                <c:pt idx="2">
                  <c:v>96.041686747570694</c:v>
                </c:pt>
                <c:pt idx="3">
                  <c:v>96.181279961928212</c:v>
                </c:pt>
                <c:pt idx="4">
                  <c:v>96.32404431573606</c:v>
                </c:pt>
                <c:pt idx="5">
                  <c:v>96.470048023231797</c:v>
                </c:pt>
                <c:pt idx="6">
                  <c:v>96.619360495331378</c:v>
                </c:pt>
                <c:pt idx="7">
                  <c:v>96.772052340871937</c:v>
                </c:pt>
                <c:pt idx="8">
                  <c:v>96.928195366147179</c:v>
                </c:pt>
                <c:pt idx="9">
                  <c:v>97.087862572588989</c:v>
                </c:pt>
                <c:pt idx="10">
                  <c:v>97.251128152444423</c:v>
                </c:pt>
                <c:pt idx="11">
                  <c:v>97.418067482283504</c:v>
                </c:pt>
                <c:pt idx="12">
                  <c:v>97.588757114168629</c:v>
                </c:pt>
                <c:pt idx="13">
                  <c:v>97.763274764301997</c:v>
                </c:pt>
                <c:pt idx="14">
                  <c:v>97.941699298961709</c:v>
                </c:pt>
                <c:pt idx="15">
                  <c:v>98.124110717525056</c:v>
                </c:pt>
                <c:pt idx="16">
                  <c:v>98.310590132365959</c:v>
                </c:pt>
                <c:pt idx="17">
                  <c:v>98.501219745405237</c:v>
                </c:pt>
                <c:pt idx="18">
                  <c:v>98.696082821079798</c:v>
                </c:pt>
                <c:pt idx="19">
                  <c:v>98.895263655486332</c:v>
                </c:pt>
                <c:pt idx="20">
                  <c:v>99.098847541442808</c:v>
                </c:pt>
                <c:pt idx="21">
                  <c:v>99.306920729203725</c:v>
                </c:pt>
                <c:pt idx="22">
                  <c:v>99.519570382546931</c:v>
                </c:pt>
                <c:pt idx="23">
                  <c:v>99.736884529946749</c:v>
                </c:pt>
                <c:pt idx="24">
                  <c:v>99.958952010531277</c:v>
                </c:pt>
                <c:pt idx="25">
                  <c:v>100.18586241451482</c:v>
                </c:pt>
                <c:pt idx="26">
                  <c:v>100.41770601778323</c:v>
                </c:pt>
                <c:pt idx="27">
                  <c:v>100.65457371030476</c:v>
                </c:pt>
                <c:pt idx="28">
                  <c:v>100.89655691802588</c:v>
                </c:pt>
                <c:pt idx="29">
                  <c:v>101.14374751790488</c:v>
                </c:pt>
                <c:pt idx="30">
                  <c:v>101.396237745734</c:v>
                </c:pt>
                <c:pt idx="31">
                  <c:v>101.6541200963848</c:v>
                </c:pt>
                <c:pt idx="32">
                  <c:v>101.91748721612059</c:v>
                </c:pt>
                <c:pt idx="33">
                  <c:v>102.18643178660622</c:v>
                </c:pt>
                <c:pt idx="34">
                  <c:v>102.46104640025224</c:v>
                </c:pt>
                <c:pt idx="35">
                  <c:v>102.74142342652878</c:v>
                </c:pt>
                <c:pt idx="36">
                  <c:v>103.02765486889342</c:v>
                </c:pt>
                <c:pt idx="37">
                  <c:v>103.3198322119773</c:v>
                </c:pt>
                <c:pt idx="38">
                  <c:v>103.6180462586961</c:v>
                </c:pt>
                <c:pt idx="39">
                  <c:v>103.92238695695281</c:v>
                </c:pt>
                <c:pt idx="40">
                  <c:v>104.2329432156323</c:v>
                </c:pt>
                <c:pt idx="41">
                  <c:v>104.54980270959952</c:v>
                </c:pt>
                <c:pt idx="42">
                  <c:v>104.87305167344734</c:v>
                </c:pt>
                <c:pt idx="43">
                  <c:v>105.20277468376851</c:v>
                </c:pt>
                <c:pt idx="44">
                  <c:v>105.53905442977138</c:v>
                </c:pt>
                <c:pt idx="45">
                  <c:v>105.88197147209593</c:v>
                </c:pt>
                <c:pt idx="46">
                  <c:v>106.23160398974457</c:v>
                </c:pt>
                <c:pt idx="47">
                  <c:v>106.58802751509536</c:v>
                </c:pt>
                <c:pt idx="48">
                  <c:v>106.95131465703497</c:v>
                </c:pt>
                <c:pt idx="49">
                  <c:v>107.32153481232032</c:v>
                </c:pt>
                <c:pt idx="50">
                  <c:v>107.69875386535261</c:v>
                </c:pt>
                <c:pt idx="51">
                  <c:v>108.08303387664952</c:v>
                </c:pt>
                <c:pt idx="52">
                  <c:v>108.47443276038521</c:v>
                </c:pt>
                <c:pt idx="53">
                  <c:v>108.87300395147996</c:v>
                </c:pt>
                <c:pt idx="54">
                  <c:v>109.27879606283352</c:v>
                </c:pt>
                <c:pt idx="55">
                  <c:v>109.69185253342039</c:v>
                </c:pt>
                <c:pt idx="56">
                  <c:v>110.11221126808624</c:v>
                </c:pt>
                <c:pt idx="57">
                  <c:v>110.53990427003698</c:v>
                </c:pt>
                <c:pt idx="58">
                  <c:v>110.97495726713605</c:v>
                </c:pt>
                <c:pt idx="59">
                  <c:v>111.41738933329314</c:v>
                </c:pt>
                <c:pt idx="60">
                  <c:v>111.86721250637272</c:v>
                </c:pt>
                <c:pt idx="61">
                  <c:v>112.32443140420361</c:v>
                </c:pt>
                <c:pt idx="62">
                  <c:v>112.78904284045008</c:v>
                </c:pt>
                <c:pt idx="63">
                  <c:v>113.26103544224112</c:v>
                </c:pt>
                <c:pt idx="64">
                  <c:v>113.74038927163845</c:v>
                </c:pt>
                <c:pt idx="65">
                  <c:v>114.22707545315775</c:v>
                </c:pt>
                <c:pt idx="66">
                  <c:v>114.7210558097284</c:v>
                </c:pt>
                <c:pt idx="67">
                  <c:v>115.22228250960191</c:v>
                </c:pt>
                <c:pt idx="68">
                  <c:v>115.73069772686291</c:v>
                </c:pt>
                <c:pt idx="69">
                  <c:v>116.24623331830374</c:v>
                </c:pt>
                <c:pt idx="70">
                  <c:v>116.76881051953097</c:v>
                </c:pt>
                <c:pt idx="71">
                  <c:v>117.29833966324264</c:v>
                </c:pt>
                <c:pt idx="72">
                  <c:v>117.83471992267913</c:v>
                </c:pt>
                <c:pt idx="73">
                  <c:v>118.37783908327623</c:v>
                </c:pt>
                <c:pt idx="74">
                  <c:v>118.92757334554241</c:v>
                </c:pt>
                <c:pt idx="75">
                  <c:v>119.48378716216189</c:v>
                </c:pt>
                <c:pt idx="76">
                  <c:v>120.04633311223877</c:v>
                </c:pt>
                <c:pt idx="77">
                  <c:v>120.61505181551239</c:v>
                </c:pt>
                <c:pt idx="78">
                  <c:v>121.18977188920989</c:v>
                </c:pt>
                <c:pt idx="79">
                  <c:v>121.7703099500276</c:v>
                </c:pt>
                <c:pt idx="80">
                  <c:v>122.35647066350288</c:v>
                </c:pt>
                <c:pt idx="81">
                  <c:v>122.94804684277254</c:v>
                </c:pt>
                <c:pt idx="82">
                  <c:v>123.54481959840091</c:v>
                </c:pt>
                <c:pt idx="83">
                  <c:v>124.14655854062025</c:v>
                </c:pt>
                <c:pt idx="84">
                  <c:v>124.75302203494067</c:v>
                </c:pt>
                <c:pt idx="85">
                  <c:v>125.36395751166997</c:v>
                </c:pt>
                <c:pt idx="86">
                  <c:v>125.97910182944518</c:v>
                </c:pt>
                <c:pt idx="87">
                  <c:v>126.59818169240242</c:v>
                </c:pt>
                <c:pt idx="88">
                  <c:v>127.22091412013518</c:v>
                </c:pt>
                <c:pt idx="89">
                  <c:v>127.84700696908546</c:v>
                </c:pt>
                <c:pt idx="90">
                  <c:v>128.47615950352281</c:v>
                </c:pt>
                <c:pt idx="91">
                  <c:v>129.10806301375712</c:v>
                </c:pt>
                <c:pt idx="92">
                  <c:v>129.74240147875346</c:v>
                </c:pt>
                <c:pt idx="93">
                  <c:v>130.3788522698492</c:v>
                </c:pt>
                <c:pt idx="94">
                  <c:v>131.01708689182954</c:v>
                </c:pt>
                <c:pt idx="95">
                  <c:v>131.65677175721854</c:v>
                </c:pt>
                <c:pt idx="96">
                  <c:v>132.297568989273</c:v>
                </c:pt>
                <c:pt idx="97">
                  <c:v>132.93913724885726</c:v>
                </c:pt>
                <c:pt idx="98">
                  <c:v>133.5811325801125</c:v>
                </c:pt>
                <c:pt idx="99">
                  <c:v>134.22320926963278</c:v>
                </c:pt>
                <c:pt idx="100">
                  <c:v>134.86502071371848</c:v>
                </c:pt>
                <c:pt idx="101">
                  <c:v>135.50622028820658</c:v>
                </c:pt>
                <c:pt idx="102">
                  <c:v>136.14646221536444</c:v>
                </c:pt>
                <c:pt idx="103">
                  <c:v>136.78540242239083</c:v>
                </c:pt>
                <c:pt idx="104">
                  <c:v>137.42269938619322</c:v>
                </c:pt>
                <c:pt idx="105">
                  <c:v>138.05801495928299</c:v>
                </c:pt>
                <c:pt idx="106">
                  <c:v>138.69101517188525</c:v>
                </c:pt>
                <c:pt idx="107">
                  <c:v>139.32137100564083</c:v>
                </c:pt>
                <c:pt idx="108">
                  <c:v>139.9487591346234</c:v>
                </c:pt>
                <c:pt idx="109">
                  <c:v>140.57286262977934</c:v>
                </c:pt>
                <c:pt idx="110">
                  <c:v>141.19337162330581</c:v>
                </c:pt>
                <c:pt idx="111">
                  <c:v>141.80998392992905</c:v>
                </c:pt>
                <c:pt idx="112">
                  <c:v>142.42240562250211</c:v>
                </c:pt>
                <c:pt idx="113">
                  <c:v>143.03035155981144</c:v>
                </c:pt>
                <c:pt idx="114">
                  <c:v>143.63354586495174</c:v>
                </c:pt>
                <c:pt idx="115">
                  <c:v>144.23172235310832</c:v>
                </c:pt>
                <c:pt idx="116">
                  <c:v>144.82462490803351</c:v>
                </c:pt>
                <c:pt idx="117">
                  <c:v>145.41200780695155</c:v>
                </c:pt>
                <c:pt idx="118">
                  <c:v>145.99363599405964</c:v>
                </c:pt>
                <c:pt idx="119">
                  <c:v>146.56928530316378</c:v>
                </c:pt>
                <c:pt idx="120">
                  <c:v>147.13874263038048</c:v>
                </c:pt>
                <c:pt idx="121">
                  <c:v>147.70180605815656</c:v>
                </c:pt>
                <c:pt idx="122">
                  <c:v>148.25828493215474</c:v>
                </c:pt>
                <c:pt idx="123">
                  <c:v>148.80799989282912</c:v>
                </c:pt>
                <c:pt idx="124">
                  <c:v>149.35078286373277</c:v>
                </c:pt>
                <c:pt idx="125">
                  <c:v>149.88647699878902</c:v>
                </c:pt>
                <c:pt idx="126">
                  <c:v>150.41493659092609</c:v>
                </c:pt>
                <c:pt idx="127">
                  <c:v>150.93602694457712</c:v>
                </c:pt>
                <c:pt idx="128">
                  <c:v>151.44962421465144</c:v>
                </c:pt>
                <c:pt idx="129">
                  <c:v>151.95561521463739</c:v>
                </c:pt>
                <c:pt idx="130">
                  <c:v>152.45389719651169</c:v>
                </c:pt>
                <c:pt idx="131">
                  <c:v>152.94437760515504</c:v>
                </c:pt>
                <c:pt idx="132">
                  <c:v>153.42697380993465</c:v>
                </c:pt>
                <c:pt idx="133">
                  <c:v>153.90161281607632</c:v>
                </c:pt>
                <c:pt idx="134">
                  <c:v>154.3682309583906</c:v>
                </c:pt>
                <c:pt idx="135">
                  <c:v>154.82677357983493</c:v>
                </c:pt>
                <c:pt idx="136">
                  <c:v>155.2771946973086</c:v>
                </c:pt>
                <c:pt idx="137">
                  <c:v>155.7194566569618</c:v>
                </c:pt>
                <c:pt idx="138">
                  <c:v>156.15352978120416</c:v>
                </c:pt>
                <c:pt idx="139">
                  <c:v>156.57939200946731</c:v>
                </c:pt>
                <c:pt idx="140">
                  <c:v>156.99702853465595</c:v>
                </c:pt>
                <c:pt idx="141">
                  <c:v>157.4064314370905</c:v>
                </c:pt>
                <c:pt idx="142">
                  <c:v>157.80759931762191</c:v>
                </c:pt>
                <c:pt idx="143">
                  <c:v>158.20053693145698</c:v>
                </c:pt>
                <c:pt idx="144">
                  <c:v>158.58525482411463</c:v>
                </c:pt>
                <c:pt idx="145">
                  <c:v>158.96176897079749</c:v>
                </c:pt>
                <c:pt idx="146">
                  <c:v>159.3301004203401</c:v>
                </c:pt>
                <c:pt idx="147">
                  <c:v>159.69027494477609</c:v>
                </c:pt>
                <c:pt idx="148">
                  <c:v>160.04232269544272</c:v>
                </c:pt>
                <c:pt idx="149">
                  <c:v>160.38627786643372</c:v>
                </c:pt>
                <c:pt idx="150">
                  <c:v>160.72217836610608</c:v>
                </c:pt>
                <c:pt idx="151">
                  <c:v>161.05006549723069</c:v>
                </c:pt>
                <c:pt idx="152">
                  <c:v>161.3699836463006</c:v>
                </c:pt>
                <c:pt idx="153">
                  <c:v>161.68197998240419</c:v>
                </c:pt>
                <c:pt idx="154">
                  <c:v>161.9861041659903</c:v>
                </c:pt>
                <c:pt idx="155">
                  <c:v>162.28240806778075</c:v>
                </c:pt>
                <c:pt idx="156">
                  <c:v>162.57094549800351</c:v>
                </c:pt>
                <c:pt idx="157">
                  <c:v>162.85177194606072</c:v>
                </c:pt>
                <c:pt idx="158">
                  <c:v>163.12494433068352</c:v>
                </c:pt>
                <c:pt idx="159">
                  <c:v>163.39052076056703</c:v>
                </c:pt>
                <c:pt idx="160">
                  <c:v>163.64856030543677</c:v>
                </c:pt>
                <c:pt idx="161">
                  <c:v>163.89912277744713</c:v>
                </c:pt>
                <c:pt idx="162">
                  <c:v>164.14226852277676</c:v>
                </c:pt>
                <c:pt idx="163">
                  <c:v>164.37805822325163</c:v>
                </c:pt>
                <c:pt idx="164">
                  <c:v>164.60655270779492</c:v>
                </c:pt>
                <c:pt idx="165">
                  <c:v>164.82781277347897</c:v>
                </c:pt>
                <c:pt idx="166">
                  <c:v>165.04189901593315</c:v>
                </c:pt>
                <c:pt idx="167">
                  <c:v>165.24887166884054</c:v>
                </c:pt>
                <c:pt idx="168">
                  <c:v>165.44879045224792</c:v>
                </c:pt>
                <c:pt idx="169">
                  <c:v>165.64171442939406</c:v>
                </c:pt>
                <c:pt idx="170">
                  <c:v>165.82770187176143</c:v>
                </c:pt>
                <c:pt idx="171">
                  <c:v>166.00681013204394</c:v>
                </c:pt>
                <c:pt idx="172">
                  <c:v>166.17909552472312</c:v>
                </c:pt>
                <c:pt idx="173">
                  <c:v>166.34461321394349</c:v>
                </c:pt>
                <c:pt idx="174">
                  <c:v>166.50341710837867</c:v>
                </c:pt>
                <c:pt idx="175">
                  <c:v>166.6555597627804</c:v>
                </c:pt>
                <c:pt idx="176">
                  <c:v>166.80109228591053</c:v>
                </c:pt>
                <c:pt idx="177">
                  <c:v>166.94006425455663</c:v>
                </c:pt>
                <c:pt idx="178">
                  <c:v>167.07252363334237</c:v>
                </c:pt>
                <c:pt idx="179">
                  <c:v>167.19851670004942</c:v>
                </c:pt>
                <c:pt idx="180">
                  <c:v>167.31808797617717</c:v>
                </c:pt>
                <c:pt idx="181">
                  <c:v>167.43128016247408</c:v>
                </c:pt>
                <c:pt idx="182">
                  <c:v>167.53813407918813</c:v>
                </c:pt>
                <c:pt idx="183">
                  <c:v>167.63868861078922</c:v>
                </c:pt>
                <c:pt idx="184">
                  <c:v>167.73298065493304</c:v>
                </c:pt>
                <c:pt idx="185">
                  <c:v>167.82104507544287</c:v>
                </c:pt>
                <c:pt idx="186">
                  <c:v>167.90291465909971</c:v>
                </c:pt>
                <c:pt idx="187">
                  <c:v>167.97862007604294</c:v>
                </c:pt>
                <c:pt idx="188">
                  <c:v>168.04818984359588</c:v>
                </c:pt>
                <c:pt idx="189">
                  <c:v>168.11165029334154</c:v>
                </c:pt>
                <c:pt idx="190">
                  <c:v>168.1690255412893</c:v>
                </c:pt>
                <c:pt idx="191">
                  <c:v>168.22033746098211</c:v>
                </c:pt>
                <c:pt idx="192">
                  <c:v>168.26560565941028</c:v>
                </c:pt>
                <c:pt idx="193">
                  <c:v>168.30484745560696</c:v>
                </c:pt>
                <c:pt idx="194">
                  <c:v>168.33807786181541</c:v>
                </c:pt>
                <c:pt idx="195">
                  <c:v>168.36530956712997</c:v>
                </c:pt>
                <c:pt idx="196">
                  <c:v>168.38655292352558</c:v>
                </c:pt>
                <c:pt idx="197">
                  <c:v>168.4018159342026</c:v>
                </c:pt>
                <c:pt idx="198">
                  <c:v>168.41110424418716</c:v>
                </c:pt>
                <c:pt idx="199">
                  <c:v>168.41442113314062</c:v>
                </c:pt>
                <c:pt idx="200">
                  <c:v>168.41176751034089</c:v>
                </c:pt>
                <c:pt idx="201">
                  <c:v>168.40314191181676</c:v>
                </c:pt>
                <c:pt idx="202">
                  <c:v>168.38854049962325</c:v>
                </c:pt>
                <c:pt idx="203">
                  <c:v>168.36795706326271</c:v>
                </c:pt>
                <c:pt idx="204">
                  <c:v>168.34138302326758</c:v>
                </c:pt>
                <c:pt idx="205">
                  <c:v>168.30880743697409</c:v>
                </c:pt>
                <c:pt idx="206">
                  <c:v>168.27021700652739</c:v>
                </c:pt>
                <c:pt idx="207">
                  <c:v>168.22559608917615</c:v>
                </c:pt>
                <c:pt idx="208">
                  <c:v>168.17492670992067</c:v>
                </c:pt>
                <c:pt idx="209">
                  <c:v>168.11818857659981</c:v>
                </c:pt>
                <c:pt idx="210">
                  <c:v>168.05535909750802</c:v>
                </c:pt>
                <c:pt idx="211">
                  <c:v>167.98641340165204</c:v>
                </c:pt>
                <c:pt idx="212">
                  <c:v>167.91132436176957</c:v>
                </c:pt>
                <c:pt idx="213">
                  <c:v>167.83006262024276</c:v>
                </c:pt>
                <c:pt idx="214">
                  <c:v>167.74259661805752</c:v>
                </c:pt>
                <c:pt idx="215">
                  <c:v>167.64889262697085</c:v>
                </c:pt>
                <c:pt idx="216">
                  <c:v>167.54891478506158</c:v>
                </c:pt>
                <c:pt idx="217">
                  <c:v>167.44262513585812</c:v>
                </c:pt>
                <c:pt idx="218">
                  <c:v>167.32998367124421</c:v>
                </c:pt>
                <c:pt idx="219">
                  <c:v>167.21094837836435</c:v>
                </c:pt>
                <c:pt idx="220">
                  <c:v>167.08547529075986</c:v>
                </c:pt>
                <c:pt idx="221">
                  <c:v>166.95351854398245</c:v>
                </c:pt>
                <c:pt idx="222">
                  <c:v>166.81503043594546</c:v>
                </c:pt>
                <c:pt idx="223">
                  <c:v>166.66996149228575</c:v>
                </c:pt>
                <c:pt idx="224">
                  <c:v>166.51826053702351</c:v>
                </c:pt>
                <c:pt idx="225">
                  <c:v>166.35987476881783</c:v>
                </c:pt>
                <c:pt idx="226">
                  <c:v>166.19474984313052</c:v>
                </c:pt>
                <c:pt idx="227">
                  <c:v>166.02282996061979</c:v>
                </c:pt>
                <c:pt idx="228">
                  <c:v>165.84405796209757</c:v>
                </c:pt>
                <c:pt idx="229">
                  <c:v>165.65837543039061</c:v>
                </c:pt>
                <c:pt idx="230">
                  <c:v>165.46572279946079</c:v>
                </c:pt>
                <c:pt idx="231">
                  <c:v>165.26603947113739</c:v>
                </c:pt>
                <c:pt idx="232">
                  <c:v>165.05926393982747</c:v>
                </c:pt>
                <c:pt idx="233">
                  <c:v>164.84533392556972</c:v>
                </c:pt>
                <c:pt idx="234">
                  <c:v>164.62418651580018</c:v>
                </c:pt>
                <c:pt idx="235">
                  <c:v>164.39575831619581</c:v>
                </c:pt>
                <c:pt idx="236">
                  <c:v>164.15998561095972</c:v>
                </c:pt>
                <c:pt idx="237">
                  <c:v>163.91680453290309</c:v>
                </c:pt>
                <c:pt idx="238">
                  <c:v>163.6661512436703</c:v>
                </c:pt>
                <c:pt idx="239">
                  <c:v>163.40796212443826</c:v>
                </c:pt>
                <c:pt idx="240">
                  <c:v>163.14217397740467</c:v>
                </c:pt>
                <c:pt idx="241">
                  <c:v>162.868724238353</c:v>
                </c:pt>
                <c:pt idx="242">
                  <c:v>162.58755120056014</c:v>
                </c:pt>
                <c:pt idx="243">
                  <c:v>162.29859425027365</c:v>
                </c:pt>
                <c:pt idx="244">
                  <c:v>162.00179411395055</c:v>
                </c:pt>
                <c:pt idx="245">
                  <c:v>161.69709311740129</c:v>
                </c:pt>
                <c:pt idx="246">
                  <c:v>161.38443545693264</c:v>
                </c:pt>
                <c:pt idx="247">
                  <c:v>161.06376748252148</c:v>
                </c:pt>
                <c:pt idx="248">
                  <c:v>160.7350379929899</c:v>
                </c:pt>
                <c:pt idx="249">
                  <c:v>160.39819854306677</c:v>
                </c:pt>
                <c:pt idx="250">
                  <c:v>160.05320376215437</c:v>
                </c:pt>
                <c:pt idx="251">
                  <c:v>159.70001168450869</c:v>
                </c:pt>
                <c:pt idx="252">
                  <c:v>159.3385840904611</c:v>
                </c:pt>
                <c:pt idx="253">
                  <c:v>158.96888685818226</c:v>
                </c:pt>
                <c:pt idx="254">
                  <c:v>158.59089032538967</c:v>
                </c:pt>
                <c:pt idx="255">
                  <c:v>158.20456966026055</c:v>
                </c:pt>
                <c:pt idx="256">
                  <c:v>157.80990524068733</c:v>
                </c:pt>
                <c:pt idx="257">
                  <c:v>157.40688304086675</c:v>
                </c:pt>
                <c:pt idx="258">
                  <c:v>156.99549502406742</c:v>
                </c:pt>
                <c:pt idx="259">
                  <c:v>156.57573954026313</c:v>
                </c:pt>
                <c:pt idx="260">
                  <c:v>156.14762172716203</c:v>
                </c:pt>
                <c:pt idx="261">
                  <c:v>155.71115391299648</c:v>
                </c:pt>
                <c:pt idx="262">
                  <c:v>155.26635601926887</c:v>
                </c:pt>
                <c:pt idx="263">
                  <c:v>154.81325596148298</c:v>
                </c:pt>
                <c:pt idx="264">
                  <c:v>154.351890045723</c:v>
                </c:pt>
                <c:pt idx="265">
                  <c:v>153.88230335878001</c:v>
                </c:pt>
                <c:pt idx="266">
                  <c:v>153.4045501493616</c:v>
                </c:pt>
                <c:pt idx="267">
                  <c:v>152.9186941977791</c:v>
                </c:pt>
                <c:pt idx="268">
                  <c:v>152.42480917135862</c:v>
                </c:pt>
                <c:pt idx="269">
                  <c:v>151.922978962705</c:v>
                </c:pt>
                <c:pt idx="270">
                  <c:v>151.41329800783583</c:v>
                </c:pt>
                <c:pt idx="271">
                  <c:v>150.89587158111598</c:v>
                </c:pt>
                <c:pt idx="272">
                  <c:v>150.37081606386531</c:v>
                </c:pt>
                <c:pt idx="273">
                  <c:v>149.8382591834681</c:v>
                </c:pt>
                <c:pt idx="274">
                  <c:v>149.29834021981441</c:v>
                </c:pt>
                <c:pt idx="275">
                  <c:v>148.75121017593091</c:v>
                </c:pt>
                <c:pt idx="276">
                  <c:v>148.19703190972214</c:v>
                </c:pt>
                <c:pt idx="277">
                  <c:v>147.63598022384602</c:v>
                </c:pt>
                <c:pt idx="278">
                  <c:v>147.06824191089402</c:v>
                </c:pt>
                <c:pt idx="279">
                  <c:v>146.49401575123639</c:v>
                </c:pt>
                <c:pt idx="280">
                  <c:v>145.91351246110932</c:v>
                </c:pt>
                <c:pt idx="281">
                  <c:v>145.32695458881969</c:v>
                </c:pt>
                <c:pt idx="282">
                  <c:v>144.73457635722448</c:v>
                </c:pt>
                <c:pt idx="283">
                  <c:v>144.13662345103887</c:v>
                </c:pt>
                <c:pt idx="284">
                  <c:v>143.53335274788816</c:v>
                </c:pt>
                <c:pt idx="285">
                  <c:v>142.92503199247605</c:v>
                </c:pt>
                <c:pt idx="286">
                  <c:v>142.31193941369315</c:v>
                </c:pt>
                <c:pt idx="287">
                  <c:v>141.69436328498577</c:v>
                </c:pt>
                <c:pt idx="288">
                  <c:v>141.07260142881606</c:v>
                </c:pt>
                <c:pt idx="289">
                  <c:v>140.44696066656581</c:v>
                </c:pt>
                <c:pt idx="290">
                  <c:v>139.81775621578086</c:v>
                </c:pt>
                <c:pt idx="291">
                  <c:v>139.18531103717092</c:v>
                </c:pt>
                <c:pt idx="292">
                  <c:v>138.54995513431325</c:v>
                </c:pt>
                <c:pt idx="293">
                  <c:v>137.91202480951173</c:v>
                </c:pt>
                <c:pt idx="294">
                  <c:v>137.27186187973538</c:v>
                </c:pt>
                <c:pt idx="295">
                  <c:v>136.62981285702352</c:v>
                </c:pt>
                <c:pt idx="296">
                  <c:v>135.98622809812812</c:v>
                </c:pt>
                <c:pt idx="297">
                  <c:v>135.34146092853217</c:v>
                </c:pt>
                <c:pt idx="298">
                  <c:v>134.69586674627885</c:v>
                </c:pt>
                <c:pt idx="299">
                  <c:v>134.04980211128097</c:v>
                </c:pt>
                <c:pt idx="300">
                  <c:v>133.40362382595652</c:v>
                </c:pt>
                <c:pt idx="301">
                  <c:v>132.75768801313134</c:v>
                </c:pt>
                <c:pt idx="302">
                  <c:v>132.11234919719459</c:v>
                </c:pt>
                <c:pt idx="303">
                  <c:v>131.46795939443595</c:v>
                </c:pt>
                <c:pt idx="304">
                  <c:v>130.82486721839859</c:v>
                </c:pt>
                <c:pt idx="305">
                  <c:v>130.1834170058913</c:v>
                </c:pt>
                <c:pt idx="306">
                  <c:v>129.54394796906121</c:v>
                </c:pt>
                <c:pt idx="307">
                  <c:v>128.90679337862682</c:v>
                </c:pt>
                <c:pt idx="308">
                  <c:v>128.27227978300323</c:v>
                </c:pt>
                <c:pt idx="309">
                  <c:v>127.64072626765024</c:v>
                </c:pt>
                <c:pt idx="310">
                  <c:v>127.01244375851309</c:v>
                </c:pt>
                <c:pt idx="311">
                  <c:v>126.38773437295644</c:v>
                </c:pt>
                <c:pt idx="312">
                  <c:v>125.76689082106867</c:v>
                </c:pt>
                <c:pt idx="313">
                  <c:v>125.15019585970272</c:v>
                </c:pt>
                <c:pt idx="314">
                  <c:v>124.53792180107266</c:v>
                </c:pt>
                <c:pt idx="315">
                  <c:v>123.93033007721215</c:v>
                </c:pt>
                <c:pt idx="316">
                  <c:v>123.32767086105015</c:v>
                </c:pt>
                <c:pt idx="317">
                  <c:v>122.73018274437788</c:v>
                </c:pt>
                <c:pt idx="318">
                  <c:v>122.13809247246293</c:v>
                </c:pt>
                <c:pt idx="319">
                  <c:v>121.55161473463991</c:v>
                </c:pt>
                <c:pt idx="320">
                  <c:v>120.97095200974042</c:v>
                </c:pt>
                <c:pt idx="321">
                  <c:v>120.39629446486514</c:v>
                </c:pt>
                <c:pt idx="322">
                  <c:v>119.82781990563173</c:v>
                </c:pt>
                <c:pt idx="323">
                  <c:v>119.26569377571948</c:v>
                </c:pt>
                <c:pt idx="324">
                  <c:v>118.71006920326828</c:v>
                </c:pt>
                <c:pt idx="325">
                  <c:v>118.16108709146992</c:v>
                </c:pt>
                <c:pt idx="326">
                  <c:v>117.61887625049256</c:v>
                </c:pt>
                <c:pt idx="327">
                  <c:v>117.08355356775074</c:v>
                </c:pt>
                <c:pt idx="328">
                  <c:v>116.55522421343684</c:v>
                </c:pt>
                <c:pt idx="329">
                  <c:v>116.03398187815084</c:v>
                </c:pt>
                <c:pt idx="330">
                  <c:v>115.51990903947362</c:v>
                </c:pt>
                <c:pt idx="331">
                  <c:v>115.01307725429466</c:v>
                </c:pt>
                <c:pt idx="332">
                  <c:v>114.51354747378879</c:v>
                </c:pt>
                <c:pt idx="333">
                  <c:v>114.02137037796309</c:v>
                </c:pt>
                <c:pt idx="334">
                  <c:v>113.53658672681708</c:v>
                </c:pt>
                <c:pt idx="335">
                  <c:v>113.05922772523938</c:v>
                </c:pt>
                <c:pt idx="336">
                  <c:v>112.58931539891908</c:v>
                </c:pt>
                <c:pt idx="337">
                  <c:v>112.12686297866567</c:v>
                </c:pt>
                <c:pt idx="338">
                  <c:v>111.67187529069795</c:v>
                </c:pt>
                <c:pt idx="339">
                  <c:v>111.22434915061898</c:v>
                </c:pt>
                <c:pt idx="340">
                  <c:v>110.78427375895178</c:v>
                </c:pt>
                <c:pt idx="341">
                  <c:v>110.35163109628503</c:v>
                </c:pt>
                <c:pt idx="342">
                  <c:v>109.92639631624417</c:v>
                </c:pt>
                <c:pt idx="343">
                  <c:v>109.50853813466894</c:v>
                </c:pt>
                <c:pt idx="344">
                  <c:v>109.09801921354129</c:v>
                </c:pt>
                <c:pt idx="345">
                  <c:v>108.69479653837362</c:v>
                </c:pt>
                <c:pt idx="346">
                  <c:v>108.29882178791262</c:v>
                </c:pt>
                <c:pt idx="347">
                  <c:v>107.91004169517112</c:v>
                </c:pt>
                <c:pt idx="348">
                  <c:v>107.52839839893205</c:v>
                </c:pt>
                <c:pt idx="349">
                  <c:v>107.15382978500953</c:v>
                </c:pt>
                <c:pt idx="350">
                  <c:v>106.7862698166719</c:v>
                </c:pt>
                <c:pt idx="351">
                  <c:v>106.42564885374834</c:v>
                </c:pt>
                <c:pt idx="352">
                  <c:v>106.07189396005042</c:v>
                </c:pt>
                <c:pt idx="353">
                  <c:v>105.72492919883685</c:v>
                </c:pt>
                <c:pt idx="354">
                  <c:v>105.38467591613752</c:v>
                </c:pt>
                <c:pt idx="355">
                  <c:v>105.05105301184588</c:v>
                </c:pt>
                <c:pt idx="356">
                  <c:v>104.72397719854457</c:v>
                </c:pt>
                <c:pt idx="357">
                  <c:v>104.40336324811473</c:v>
                </c:pt>
                <c:pt idx="358">
                  <c:v>104.08912422622346</c:v>
                </c:pt>
                <c:pt idx="359">
                  <c:v>103.78117171484431</c:v>
                </c:pt>
                <c:pt idx="360">
                  <c:v>103.47941602300486</c:v>
                </c:pt>
                <c:pt idx="361">
                  <c:v>103.18376638600077</c:v>
                </c:pt>
                <c:pt idx="362">
                  <c:v>102.89413115334173</c:v>
                </c:pt>
                <c:pt idx="363">
                  <c:v>102.61041796572772</c:v>
                </c:pt>
                <c:pt idx="364">
                  <c:v>102.33253392137442</c:v>
                </c:pt>
                <c:pt idx="365">
                  <c:v>102.06038573202672</c:v>
                </c:pt>
                <c:pt idx="366">
                  <c:v>101.79387986900925</c:v>
                </c:pt>
                <c:pt idx="367">
                  <c:v>101.53292269968105</c:v>
                </c:pt>
                <c:pt idx="368">
                  <c:v>101.27742061466</c:v>
                </c:pt>
                <c:pt idx="369">
                  <c:v>101.02728014619393</c:v>
                </c:pt>
                <c:pt idx="370">
                  <c:v>100.7824080780539</c:v>
                </c:pt>
                <c:pt idx="371">
                  <c:v>100.54271154732339</c:v>
                </c:pt>
                <c:pt idx="372">
                  <c:v>100.30809813845808</c:v>
                </c:pt>
                <c:pt idx="373">
                  <c:v>100.07847596998268</c:v>
                </c:pt>
                <c:pt idx="374">
                  <c:v>99.85375377418903</c:v>
                </c:pt>
                <c:pt idx="375">
                  <c:v>99.633840970187848</c:v>
                </c:pt>
                <c:pt idx="376">
                  <c:v>99.418647730663764</c:v>
                </c:pt>
                <c:pt idx="377">
                  <c:v>99.208085042669495</c:v>
                </c:pt>
                <c:pt idx="378">
                  <c:v>99.002064762787498</c:v>
                </c:pt>
                <c:pt idx="379">
                  <c:v>98.800499666976776</c:v>
                </c:pt>
                <c:pt idx="380">
                  <c:v>98.603303495410145</c:v>
                </c:pt>
                <c:pt idx="381">
                  <c:v>98.410390992599119</c:v>
                </c:pt>
                <c:pt idx="382">
                  <c:v>98.221677943088054</c:v>
                </c:pt>
                <c:pt idx="383">
                  <c:v>98.037081202992525</c:v>
                </c:pt>
                <c:pt idx="384">
                  <c:v>97.856518727640079</c:v>
                </c:pt>
                <c:pt idx="385">
                  <c:v>97.679909595565519</c:v>
                </c:pt>
                <c:pt idx="386">
                  <c:v>97.507174029096504</c:v>
                </c:pt>
                <c:pt idx="387">
                  <c:v>97.33823341175831</c:v>
                </c:pt>
                <c:pt idx="388">
                  <c:v>97.173010302711859</c:v>
                </c:pt>
                <c:pt idx="389">
                  <c:v>97.011428448432</c:v>
                </c:pt>
                <c:pt idx="390">
                  <c:v>96.853412791819252</c:v>
                </c:pt>
                <c:pt idx="391">
                  <c:v>96.698889478930269</c:v>
                </c:pt>
                <c:pt idx="392">
                  <c:v>96.54778586350217</c:v>
                </c:pt>
                <c:pt idx="393">
                  <c:v>96.400030509434401</c:v>
                </c:pt>
                <c:pt idx="394">
                  <c:v>96.255553191385943</c:v>
                </c:pt>
                <c:pt idx="395">
                  <c:v>96.114284893633425</c:v>
                </c:pt>
                <c:pt idx="396">
                  <c:v>95.976157807330168</c:v>
                </c:pt>
                <c:pt idx="397">
                  <c:v>95.841105326295406</c:v>
                </c:pt>
                <c:pt idx="398">
                  <c:v>95.709062041457614</c:v>
                </c:pt>
                <c:pt idx="399">
                  <c:v>95.579963734066411</c:v>
                </c:pt>
                <c:pt idx="400">
                  <c:v>95.453747367781915</c:v>
                </c:pt>
                <c:pt idx="401">
                  <c:v>95.330351079742499</c:v>
                </c:pt>
                <c:pt idx="402">
                  <c:v>95.209714170706633</c:v>
                </c:pt>
                <c:pt idx="403">
                  <c:v>95.09177709435744</c:v>
                </c:pt>
                <c:pt idx="404">
                  <c:v>94.976481445853068</c:v>
                </c:pt>
                <c:pt idx="405">
                  <c:v>94.863769949701251</c:v>
                </c:pt>
                <c:pt idx="406">
                  <c:v>94.753586447029832</c:v>
                </c:pt>
                <c:pt idx="407">
                  <c:v>94.645875882321462</c:v>
                </c:pt>
                <c:pt idx="408">
                  <c:v>94.540584289675394</c:v>
                </c:pt>
                <c:pt idx="409">
                  <c:v>94.437658778654693</c:v>
                </c:pt>
                <c:pt idx="410">
                  <c:v>94.337047519773819</c:v>
                </c:pt>
                <c:pt idx="411">
                  <c:v>94.238699729676995</c:v>
                </c:pt>
                <c:pt idx="412">
                  <c:v>94.142565656054359</c:v>
                </c:pt>
                <c:pt idx="413">
                  <c:v>94.048596562339412</c:v>
                </c:pt>
                <c:pt idx="414">
                  <c:v>93.956744712227973</c:v>
                </c:pt>
                <c:pt idx="415">
                  <c:v>93.866963354056438</c:v>
                </c:pt>
                <c:pt idx="416">
                  <c:v>93.779206705072596</c:v>
                </c:pt>
                <c:pt idx="417">
                  <c:v>93.69342993563194</c:v>
                </c:pt>
                <c:pt idx="418">
                  <c:v>93.609589153348097</c:v>
                </c:pt>
                <c:pt idx="419">
                  <c:v>93.527641387224335</c:v>
                </c:pt>
                <c:pt idx="420">
                  <c:v>93.447544571790175</c:v>
                </c:pt>
                <c:pt idx="421">
                  <c:v>93.36925753126738</c:v>
                </c:pt>
                <c:pt idx="422">
                  <c:v>93.292739963783987</c:v>
                </c:pt>
                <c:pt idx="423">
                  <c:v>93.217952425656577</c:v>
                </c:pt>
                <c:pt idx="424">
                  <c:v>93.144856315757764</c:v>
                </c:pt>
                <c:pt idx="425">
                  <c:v>93.073413859983873</c:v>
                </c:pt>
                <c:pt idx="426">
                  <c:v>93.003588095837799</c:v>
                </c:pt>
                <c:pt idx="427">
                  <c:v>92.935342857139645</c:v>
                </c:pt>
                <c:pt idx="428">
                  <c:v>92.868642758876362</c:v>
                </c:pt>
                <c:pt idx="429">
                  <c:v>92.80345318220067</c:v>
                </c:pt>
                <c:pt idx="430">
                  <c:v>92.739740259589567</c:v>
                </c:pt>
                <c:pt idx="431">
                  <c:v>92.677470860169322</c:v>
                </c:pt>
                <c:pt idx="432">
                  <c:v>92.616612575215029</c:v>
                </c:pt>
                <c:pt idx="433">
                  <c:v>92.55713370383107</c:v>
                </c:pt>
                <c:pt idx="434">
                  <c:v>92.499003238817849</c:v>
                </c:pt>
                <c:pt idx="435">
                  <c:v>92.44219085273005</c:v>
                </c:pt>
                <c:pt idx="436">
                  <c:v>92.386666884130278</c:v>
                </c:pt>
                <c:pt idx="437">
                  <c:v>92.332402324041553</c:v>
                </c:pt>
                <c:pt idx="438">
                  <c:v>92.279368802601937</c:v>
                </c:pt>
                <c:pt idx="439">
                  <c:v>92.227538575923347</c:v>
                </c:pt>
                <c:pt idx="440">
                  <c:v>92.176884513156764</c:v>
                </c:pt>
                <c:pt idx="441">
                  <c:v>92.127380083764507</c:v>
                </c:pt>
                <c:pt idx="442">
                  <c:v>92.078999345001634</c:v>
                </c:pt>
                <c:pt idx="443">
                  <c:v>92.031716929606304</c:v>
                </c:pt>
                <c:pt idx="444">
                  <c:v>91.985508033699361</c:v>
                </c:pt>
                <c:pt idx="445">
                  <c:v>91.940348404893342</c:v>
                </c:pt>
                <c:pt idx="446">
                  <c:v>91.89621433061042</c:v>
                </c:pt>
                <c:pt idx="447">
                  <c:v>91.85308262660827</c:v>
                </c:pt>
                <c:pt idx="448">
                  <c:v>91.810930625713553</c:v>
                </c:pt>
                <c:pt idx="449">
                  <c:v>91.769736166761206</c:v>
                </c:pt>
                <c:pt idx="450">
                  <c:v>91.7294775837385</c:v>
                </c:pt>
                <c:pt idx="451">
                  <c:v>91.690133695132431</c:v>
                </c:pt>
                <c:pt idx="452">
                  <c:v>91.651683793478497</c:v>
                </c:pt>
                <c:pt idx="453">
                  <c:v>91.614107635108923</c:v>
                </c:pt>
                <c:pt idx="454">
                  <c:v>91.577385430098587</c:v>
                </c:pt>
                <c:pt idx="455">
                  <c:v>91.541497832406407</c:v>
                </c:pt>
                <c:pt idx="456">
                  <c:v>91.506425930209886</c:v>
                </c:pt>
                <c:pt idx="457">
                  <c:v>91.472151236430491</c:v>
                </c:pt>
                <c:pt idx="458">
                  <c:v>91.438655679447606</c:v>
                </c:pt>
                <c:pt idx="459">
                  <c:v>91.405921593998301</c:v>
                </c:pt>
                <c:pt idx="460">
                  <c:v>91.373931712260699</c:v>
                </c:pt>
                <c:pt idx="461">
                  <c:v>91.342669155118017</c:v>
                </c:pt>
                <c:pt idx="462">
                  <c:v>91.312117423600895</c:v>
                </c:pt>
                <c:pt idx="463">
                  <c:v>91.28226039050513</c:v>
                </c:pt>
                <c:pt idx="464">
                  <c:v>91.253082292182185</c:v>
                </c:pt>
                <c:pt idx="465">
                  <c:v>91.224567720499863</c:v>
                </c:pt>
                <c:pt idx="466">
                  <c:v>91.196701614970067</c:v>
                </c:pt>
                <c:pt idx="467">
                  <c:v>91.169469255041307</c:v>
                </c:pt>
                <c:pt idx="468">
                  <c:v>91.142856252552789</c:v>
                </c:pt>
                <c:pt idx="469">
                  <c:v>91.116848544347491</c:v>
                </c:pt>
                <c:pt idx="470">
                  <c:v>91.091432385041642</c:v>
                </c:pt>
                <c:pt idx="471">
                  <c:v>91.066594339947329</c:v>
                </c:pt>
                <c:pt idx="472">
                  <c:v>91.04232127814619</c:v>
                </c:pt>
                <c:pt idx="473">
                  <c:v>91.018600365710611</c:v>
                </c:pt>
                <c:pt idx="474">
                  <c:v>90.995419059070628</c:v>
                </c:pt>
                <c:pt idx="475">
                  <c:v>90.972765098523013</c:v>
                </c:pt>
                <c:pt idx="476">
                  <c:v>90.95062650188035</c:v>
                </c:pt>
                <c:pt idx="477">
                  <c:v>90.928991558257295</c:v>
                </c:pt>
                <c:pt idx="478">
                  <c:v>90.907848821991408</c:v>
                </c:pt>
                <c:pt idx="479">
                  <c:v>90.887187106695905</c:v>
                </c:pt>
                <c:pt idx="480">
                  <c:v>90.866995479441798</c:v>
                </c:pt>
                <c:pt idx="481">
                  <c:v>90.847263255066878</c:v>
                </c:pt>
                <c:pt idx="482">
                  <c:v>90.827979990609037</c:v>
                </c:pt>
                <c:pt idx="483">
                  <c:v>90.809135479861368</c:v>
                </c:pt>
                <c:pt idx="484">
                  <c:v>90.790719748046754</c:v>
                </c:pt>
                <c:pt idx="485">
                  <c:v>90.772723046609286</c:v>
                </c:pt>
                <c:pt idx="486">
                  <c:v>90.755135848120474</c:v>
                </c:pt>
                <c:pt idx="487">
                  <c:v>90.73794884129741</c:v>
                </c:pt>
                <c:pt idx="488">
                  <c:v>90.721152926131253</c:v>
                </c:pt>
                <c:pt idx="489">
                  <c:v>90.704739209123048</c:v>
                </c:pt>
                <c:pt idx="490">
                  <c:v>90.688698998625199</c:v>
                </c:pt>
                <c:pt idx="491">
                  <c:v>90.673023800286032</c:v>
                </c:pt>
                <c:pt idx="492">
                  <c:v>90.65770531259551</c:v>
                </c:pt>
                <c:pt idx="493">
                  <c:v>90.642735422529853</c:v>
                </c:pt>
                <c:pt idx="494">
                  <c:v>90.628106201293122</c:v>
                </c:pt>
                <c:pt idx="495">
                  <c:v>90.613809900153385</c:v>
                </c:pt>
                <c:pt idx="496">
                  <c:v>90.599838946371875</c:v>
                </c:pt>
                <c:pt idx="497">
                  <c:v>90.586185939222901</c:v>
                </c:pt>
                <c:pt idx="498">
                  <c:v>90.572843646102555</c:v>
                </c:pt>
                <c:pt idx="499">
                  <c:v>90.559804998724459</c:v>
                </c:pt>
                <c:pt idx="500">
                  <c:v>90.547063089400595</c:v>
                </c:pt>
                <c:pt idx="501">
                  <c:v>90.534611167405288</c:v>
                </c:pt>
                <c:pt idx="502">
                  <c:v>90.522442635420745</c:v>
                </c:pt>
                <c:pt idx="503">
                  <c:v>90.510551046062275</c:v>
                </c:pt>
                <c:pt idx="504">
                  <c:v>90.498930098481353</c:v>
                </c:pt>
                <c:pt idx="505">
                  <c:v>90.487573635045067</c:v>
                </c:pt>
                <c:pt idx="506">
                  <c:v>90.476475638090079</c:v>
                </c:pt>
                <c:pt idx="507">
                  <c:v>90.465630226749539</c:v>
                </c:pt>
                <c:pt idx="508">
                  <c:v>90.455031653851378</c:v>
                </c:pt>
                <c:pt idx="509">
                  <c:v>90.444674302886426</c:v>
                </c:pt>
                <c:pt idx="510">
                  <c:v>90.434552685044736</c:v>
                </c:pt>
                <c:pt idx="511">
                  <c:v>90.424661436318644</c:v>
                </c:pt>
                <c:pt idx="512">
                  <c:v>90.414995314671231</c:v>
                </c:pt>
                <c:pt idx="513">
                  <c:v>90.405549197268442</c:v>
                </c:pt>
                <c:pt idx="514">
                  <c:v>90.396318077773813</c:v>
                </c:pt>
                <c:pt idx="515">
                  <c:v>90.387297063704096</c:v>
                </c:pt>
                <c:pt idx="516">
                  <c:v>90.378481373844707</c:v>
                </c:pt>
                <c:pt idx="517">
                  <c:v>90.369866335723401</c:v>
                </c:pt>
                <c:pt idx="518">
                  <c:v>90.361447383141225</c:v>
                </c:pt>
                <c:pt idx="519">
                  <c:v>90.353220053758932</c:v>
                </c:pt>
                <c:pt idx="520">
                  <c:v>90.345179986738316</c:v>
                </c:pt>
                <c:pt idx="521">
                  <c:v>90.337322920436662</c:v>
                </c:pt>
                <c:pt idx="522">
                  <c:v>90.329644690153415</c:v>
                </c:pt>
                <c:pt idx="523">
                  <c:v>90.322141225927794</c:v>
                </c:pt>
                <c:pt idx="524">
                  <c:v>90.314808550386374</c:v>
                </c:pt>
                <c:pt idx="525">
                  <c:v>90.307642776639128</c:v>
                </c:pt>
                <c:pt idx="526">
                  <c:v>90.300640106223483</c:v>
                </c:pt>
                <c:pt idx="527">
                  <c:v>90.293796827094567</c:v>
                </c:pt>
                <c:pt idx="528">
                  <c:v>90.287109311661311</c:v>
                </c:pt>
                <c:pt idx="529">
                  <c:v>90.280574014866744</c:v>
                </c:pt>
                <c:pt idx="530">
                  <c:v>90.274187472312065</c:v>
                </c:pt>
                <c:pt idx="531">
                  <c:v>90.267946298423084</c:v>
                </c:pt>
                <c:pt idx="532">
                  <c:v>90.261847184658237</c:v>
                </c:pt>
                <c:pt idx="533">
                  <c:v>90.255886897757378</c:v>
                </c:pt>
                <c:pt idx="534">
                  <c:v>90.250062278030029</c:v>
                </c:pt>
                <c:pt idx="535">
                  <c:v>90.244370237682759</c:v>
                </c:pt>
                <c:pt idx="536">
                  <c:v>90.238807759184283</c:v>
                </c:pt>
                <c:pt idx="537">
                  <c:v>90.233371893667751</c:v>
                </c:pt>
                <c:pt idx="538">
                  <c:v>90.22805975936933</c:v>
                </c:pt>
                <c:pt idx="539">
                  <c:v>90.222868540102141</c:v>
                </c:pt>
                <c:pt idx="540">
                  <c:v>90.217795483764874</c:v>
                </c:pt>
                <c:pt idx="541">
                  <c:v>90.21283790088431</c:v>
                </c:pt>
              </c:numCache>
            </c:numRef>
          </c:yVal>
          <c:smooth val="1"/>
          <c:extLst>
            <c:ext xmlns:c16="http://schemas.microsoft.com/office/drawing/2014/chart" uri="{C3380CC4-5D6E-409C-BE32-E72D297353CC}">
              <c16:uniqueId val="{00000001-3DFE-43A9-93A4-11C3658A6E80}"/>
            </c:ext>
          </c:extLst>
        </c:ser>
        <c:dLbls>
          <c:showLegendKey val="0"/>
          <c:showVal val="0"/>
          <c:showCatName val="0"/>
          <c:showSerName val="0"/>
          <c:showPercent val="0"/>
          <c:showBubbleSize val="0"/>
        </c:dLbls>
        <c:axId val="384036224"/>
        <c:axId val="384034688"/>
      </c:scatterChart>
      <c:valAx>
        <c:axId val="337758080"/>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384032768"/>
        <c:crosses val="autoZero"/>
        <c:crossBetween val="midCat"/>
      </c:valAx>
      <c:valAx>
        <c:axId val="384032768"/>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337758080"/>
        <c:crosses val="autoZero"/>
        <c:crossBetween val="midCat"/>
        <c:majorUnit val="20"/>
        <c:minorUnit val="10"/>
      </c:valAx>
      <c:valAx>
        <c:axId val="384034688"/>
        <c:scaling>
          <c:orientation val="minMax"/>
          <c:max val="180"/>
          <c:min val="-180"/>
        </c:scaling>
        <c:delete val="0"/>
        <c:axPos val="r"/>
        <c:numFmt formatCode="General" sourceLinked="1"/>
        <c:majorTickMark val="out"/>
        <c:minorTickMark val="none"/>
        <c:tickLblPos val="nextTo"/>
        <c:crossAx val="384036224"/>
        <c:crosses val="max"/>
        <c:crossBetween val="midCat"/>
        <c:majorUnit val="90"/>
        <c:minorUnit val="45"/>
      </c:valAx>
      <c:valAx>
        <c:axId val="384036224"/>
        <c:scaling>
          <c:logBase val="10"/>
          <c:orientation val="minMax"/>
        </c:scaling>
        <c:delete val="1"/>
        <c:axPos val="b"/>
        <c:numFmt formatCode="0.00" sourceLinked="1"/>
        <c:majorTickMark val="out"/>
        <c:minorTickMark val="none"/>
        <c:tickLblPos val="nextTo"/>
        <c:crossAx val="384034688"/>
        <c:crosses val="autoZero"/>
        <c:crossBetween val="midCat"/>
      </c:valAx>
    </c:plotArea>
    <c:legend>
      <c:legendPos val="r"/>
      <c:layout>
        <c:manualLayout>
          <c:xMode val="edge"/>
          <c:yMode val="edge"/>
          <c:x val="0.79880558209512509"/>
          <c:y val="0.14321997959862004"/>
          <c:w val="0.13485048155591431"/>
          <c:h val="0.10528624969913696"/>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aseline="0"/>
              <a:t>Bode Plot</a:t>
            </a:r>
          </a:p>
        </c:rich>
      </c:tx>
      <c:layout>
        <c:manualLayout>
          <c:xMode val="edge"/>
          <c:yMode val="edge"/>
          <c:x val="9.4354157174953393E-2"/>
          <c:y val="3.9916010498687662E-3"/>
        </c:manualLayout>
      </c:layout>
      <c:overlay val="0"/>
    </c:title>
    <c:autoTitleDeleted val="0"/>
    <c:plotArea>
      <c:layout>
        <c:manualLayout>
          <c:layoutTarget val="inner"/>
          <c:xMode val="edge"/>
          <c:yMode val="edge"/>
          <c:x val="8.7413438847232044E-2"/>
          <c:y val="8.915804101931861E-2"/>
          <c:w val="0.80965876742891785"/>
          <c:h val="0.76159168715027026"/>
        </c:manualLayout>
      </c:layout>
      <c:scatterChart>
        <c:scatterStyle val="smoothMarker"/>
        <c:varyColors val="0"/>
        <c:ser>
          <c:idx val="0"/>
          <c:order val="0"/>
          <c:tx>
            <c:v>Gain (dB)</c:v>
          </c:tx>
          <c:spPr>
            <a:ln w="28575">
              <a:solidFill>
                <a:srgbClr val="FF0000"/>
              </a:solidFill>
            </a:ln>
          </c:spPr>
          <c:marker>
            <c:symbol val="none"/>
          </c:marker>
          <c:xVal>
            <c:numRef>
              <c:f>CCM_Loop_Modeling_Isolated!$O$19:$O$560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CCM_Loop_Modeling_Isolated!$AW$19:$AW$560</c:f>
              <c:numCache>
                <c:formatCode>0.000</c:formatCode>
                <c:ptCount val="542"/>
                <c:pt idx="0">
                  <c:v>95.469317545919736</c:v>
                </c:pt>
                <c:pt idx="1">
                  <c:v>95.133753255803398</c:v>
                </c:pt>
                <c:pt idx="2">
                  <c:v>94.796330206663256</c:v>
                </c:pt>
                <c:pt idx="3">
                  <c:v>94.457088388810106</c:v>
                </c:pt>
                <c:pt idx="4">
                  <c:v>94.116069027173396</c:v>
                </c:pt>
                <c:pt idx="5">
                  <c:v>93.773314475563723</c:v>
                </c:pt>
                <c:pt idx="6">
                  <c:v>93.428868112185214</c:v>
                </c:pt>
                <c:pt idx="7">
                  <c:v>93.082774237018455</c:v>
                </c:pt>
                <c:pt idx="8">
                  <c:v>92.735077971640493</c:v>
                </c:pt>
                <c:pt idx="9">
                  <c:v>92.385825162006242</c:v>
                </c:pt>
                <c:pt idx="10">
                  <c:v>92.03506228465929</c:v>
                </c:pt>
                <c:pt idx="11">
                  <c:v>91.682836356787789</c:v>
                </c:pt>
                <c:pt idx="12">
                  <c:v>91.329194850487966</c:v>
                </c:pt>
                <c:pt idx="13">
                  <c:v>90.974185611544812</c:v>
                </c:pt>
                <c:pt idx="14">
                  <c:v>90.617856782984504</c:v>
                </c:pt>
                <c:pt idx="15">
                  <c:v>90.260256733604081</c:v>
                </c:pt>
                <c:pt idx="16">
                  <c:v>89.901433991632146</c:v>
                </c:pt>
                <c:pt idx="17">
                  <c:v>89.541437183630109</c:v>
                </c:pt>
                <c:pt idx="18">
                  <c:v>89.180314978694753</c:v>
                </c:pt>
                <c:pt idx="19">
                  <c:v>88.818116037984453</c:v>
                </c:pt>
                <c:pt idx="20">
                  <c:v>88.454888969552528</c:v>
                </c:pt>
                <c:pt idx="21">
                  <c:v>88.090682288431864</c:v>
                </c:pt>
                <c:pt idx="22">
                  <c:v>87.725544381889122</c:v>
                </c:pt>
                <c:pt idx="23">
                  <c:v>87.359523479730115</c:v>
                </c:pt>
                <c:pt idx="24">
                  <c:v>86.992667629520213</c:v>
                </c:pt>
                <c:pt idx="25">
                  <c:v>86.62502467655122</c:v>
                </c:pt>
                <c:pt idx="26">
                  <c:v>86.256642248376934</c:v>
                </c:pt>
                <c:pt idx="27">
                  <c:v>85.887567743712552</c:v>
                </c:pt>
                <c:pt idx="28">
                  <c:v>85.517848325483271</c:v>
                </c:pt>
                <c:pt idx="29">
                  <c:v>85.147530917798221</c:v>
                </c:pt>
                <c:pt idx="30">
                  <c:v>84.77666220660447</c:v>
                </c:pt>
                <c:pt idx="31">
                  <c:v>84.405288643783209</c:v>
                </c:pt>
                <c:pt idx="32">
                  <c:v>84.033456454429469</c:v>
                </c:pt>
                <c:pt idx="33">
                  <c:v>83.661211647059659</c:v>
                </c:pt>
                <c:pt idx="34">
                  <c:v>83.288600026485966</c:v>
                </c:pt>
                <c:pt idx="35">
                  <c:v>82.915667209091822</c:v>
                </c:pt>
                <c:pt idx="36">
                  <c:v>82.542458640242785</c:v>
                </c:pt>
                <c:pt idx="37">
                  <c:v>82.169019613565865</c:v>
                </c:pt>
                <c:pt idx="38">
                  <c:v>81.795395291827475</c:v>
                </c:pt>
                <c:pt idx="39">
                  <c:v>81.421630729144113</c:v>
                </c:pt>
                <c:pt idx="40">
                  <c:v>81.047770894255407</c:v>
                </c:pt>
                <c:pt idx="41">
                  <c:v>80.673860694592179</c:v>
                </c:pt>
                <c:pt idx="42">
                  <c:v>80.299945000871205</c:v>
                </c:pt>
                <c:pt idx="43">
                  <c:v>79.926068671951157</c:v>
                </c:pt>
                <c:pt idx="44">
                  <c:v>79.552276579678889</c:v>
                </c:pt>
                <c:pt idx="45">
                  <c:v>79.178613633462831</c:v>
                </c:pt>
                <c:pt idx="46">
                  <c:v>78.805124804304938</c:v>
                </c:pt>
                <c:pt idx="47">
                  <c:v>78.431855148025164</c:v>
                </c:pt>
                <c:pt idx="48">
                  <c:v>78.058849827412317</c:v>
                </c:pt>
                <c:pt idx="49">
                  <c:v>77.686154133035984</c:v>
                </c:pt>
                <c:pt idx="50">
                  <c:v>77.313813502454011</c:v>
                </c:pt>
                <c:pt idx="51">
                  <c:v>76.941873537551629</c:v>
                </c:pt>
                <c:pt idx="52">
                  <c:v>76.570380019748697</c:v>
                </c:pt>
                <c:pt idx="53">
                  <c:v>76.199378922815015</c:v>
                </c:pt>
                <c:pt idx="54">
                  <c:v>75.828916423034016</c:v>
                </c:pt>
                <c:pt idx="55">
                  <c:v>75.459038906460677</c:v>
                </c:pt>
                <c:pt idx="56">
                  <c:v>75.089792973022924</c:v>
                </c:pt>
                <c:pt idx="57">
                  <c:v>74.721225437221534</c:v>
                </c:pt>
                <c:pt idx="58">
                  <c:v>74.353383325191373</c:v>
                </c:pt>
                <c:pt idx="59">
                  <c:v>73.986313867896584</c:v>
                </c:pt>
                <c:pt idx="60">
                  <c:v>73.62006449024031</c:v>
                </c:pt>
                <c:pt idx="61">
                  <c:v>73.254682795886737</c:v>
                </c:pt>
                <c:pt idx="62">
                  <c:v>72.890216547605334</c:v>
                </c:pt>
                <c:pt idx="63">
                  <c:v>72.526713642966001</c:v>
                </c:pt>
                <c:pt idx="64">
                  <c:v>72.164222085235423</c:v>
                </c:pt>
                <c:pt idx="65">
                  <c:v>71.8027899493473</c:v>
                </c:pt>
                <c:pt idx="66">
                  <c:v>71.44246534284477</c:v>
                </c:pt>
                <c:pt idx="67">
                  <c:v>71.083296361724891</c:v>
                </c:pt>
                <c:pt idx="68">
                  <c:v>70.725331041145409</c:v>
                </c:pt>
                <c:pt idx="69">
                  <c:v>70.368617300990309</c:v>
                </c:pt>
                <c:pt idx="70">
                  <c:v>70.01320288632877</c:v>
                </c:pt>
                <c:pt idx="71">
                  <c:v>69.659135302844632</c:v>
                </c:pt>
                <c:pt idx="72">
                  <c:v>69.306461747355016</c:v>
                </c:pt>
                <c:pt idx="73">
                  <c:v>68.955229033584601</c:v>
                </c:pt>
                <c:pt idx="74">
                  <c:v>68.60548351341042</c:v>
                </c:pt>
                <c:pt idx="75">
                  <c:v>68.257270993839981</c:v>
                </c:pt>
                <c:pt idx="76">
                  <c:v>67.910636650038484</c:v>
                </c:pt>
                <c:pt idx="77">
                  <c:v>67.565624934769716</c:v>
                </c:pt>
                <c:pt idx="78">
                  <c:v>67.222279484668249</c:v>
                </c:pt>
                <c:pt idx="79">
                  <c:v>66.8806430238091</c:v>
                </c:pt>
                <c:pt idx="80">
                  <c:v>66.540757265089496</c:v>
                </c:pt>
                <c:pt idx="81">
                  <c:v>66.202662809983678</c:v>
                </c:pt>
                <c:pt idx="82">
                  <c:v>65.866399047273688</c:v>
                </c:pt>
                <c:pt idx="83">
                  <c:v>65.532004051396498</c:v>
                </c:pt>
                <c:pt idx="84">
                  <c:v>65.199514481081863</c:v>
                </c:pt>
                <c:pt idx="85">
                  <c:v>64.868965478981522</c:v>
                </c:pt>
                <c:pt idx="86">
                  <c:v>64.54039057301182</c:v>
                </c:pt>
                <c:pt idx="87">
                  <c:v>64.213821580143374</c:v>
                </c:pt>
                <c:pt idx="88">
                  <c:v>63.889288513377252</c:v>
                </c:pt>
                <c:pt idx="89">
                  <c:v>63.566819492645536</c:v>
                </c:pt>
                <c:pt idx="90">
                  <c:v>63.246440660357266</c:v>
                </c:pt>
                <c:pt idx="91">
                  <c:v>62.928176102295517</c:v>
                </c:pt>
                <c:pt idx="92">
                  <c:v>62.612047774537409</c:v>
                </c:pt>
                <c:pt idx="93">
                  <c:v>62.298075437029432</c:v>
                </c:pt>
                <c:pt idx="94">
                  <c:v>61.986276594406363</c:v>
                </c:pt>
                <c:pt idx="95">
                  <c:v>61.676666444582466</c:v>
                </c:pt>
                <c:pt idx="96">
                  <c:v>61.36925783558388</c:v>
                </c:pt>
                <c:pt idx="97">
                  <c:v>61.064061231018414</c:v>
                </c:pt>
                <c:pt idx="98">
                  <c:v>60.761084684506969</c:v>
                </c:pt>
                <c:pt idx="99">
                  <c:v>60.4603338233185</c:v>
                </c:pt>
                <c:pt idx="100">
                  <c:v>60.161811841369058</c:v>
                </c:pt>
                <c:pt idx="101">
                  <c:v>59.865519501660167</c:v>
                </c:pt>
                <c:pt idx="102">
                  <c:v>59.571455148145994</c:v>
                </c:pt>
                <c:pt idx="103">
                  <c:v>59.279614726934398</c:v>
                </c:pt>
                <c:pt idx="104">
                  <c:v>58.989991816643268</c:v>
                </c:pt>
                <c:pt idx="105">
                  <c:v>58.702577667654261</c:v>
                </c:pt>
                <c:pt idx="106">
                  <c:v>58.417361249931929</c:v>
                </c:pt>
                <c:pt idx="107">
                  <c:v>58.13432930900295</c:v>
                </c:pt>
                <c:pt idx="108">
                  <c:v>57.853466429632086</c:v>
                </c:pt>
                <c:pt idx="109">
                  <c:v>57.574755106669322</c:v>
                </c:pt>
                <c:pt idx="110">
                  <c:v>57.298175822498223</c:v>
                </c:pt>
                <c:pt idx="111">
                  <c:v>57.023707130475202</c:v>
                </c:pt>
                <c:pt idx="112">
                  <c:v>56.751325743713608</c:v>
                </c:pt>
                <c:pt idx="113">
                  <c:v>56.481006628549167</c:v>
                </c:pt>
                <c:pt idx="114">
                  <c:v>56.212723102002812</c:v>
                </c:pt>
                <c:pt idx="115">
                  <c:v>55.946446932555283</c:v>
                </c:pt>
                <c:pt idx="116">
                  <c:v>55.682148443546673</c:v>
                </c:pt>
                <c:pt idx="117">
                  <c:v>55.419796618521453</c:v>
                </c:pt>
                <c:pt idx="118">
                  <c:v>55.159359207861336</c:v>
                </c:pt>
                <c:pt idx="119">
                  <c:v>54.900802836061558</c:v>
                </c:pt>
                <c:pt idx="120">
                  <c:v>54.644093109041378</c:v>
                </c:pt>
                <c:pt idx="121">
                  <c:v>54.38919472090528</c:v>
                </c:pt>
                <c:pt idx="122">
                  <c:v>54.136071559612787</c:v>
                </c:pt>
                <c:pt idx="123">
                  <c:v>53.884686811047189</c:v>
                </c:pt>
                <c:pt idx="124">
                  <c:v>53.635003061022992</c:v>
                </c:pt>
                <c:pt idx="125">
                  <c:v>53.386982394805472</c:v>
                </c:pt>
                <c:pt idx="126">
                  <c:v>53.140586493767323</c:v>
                </c:pt>
                <c:pt idx="127">
                  <c:v>52.89577672884856</c:v>
                </c:pt>
                <c:pt idx="128">
                  <c:v>52.652514250527567</c:v>
                </c:pt>
                <c:pt idx="129">
                  <c:v>52.410760075058491</c:v>
                </c:pt>
                <c:pt idx="130">
                  <c:v>52.170475166769037</c:v>
                </c:pt>
                <c:pt idx="131">
                  <c:v>51.931620516254981</c:v>
                </c:pt>
                <c:pt idx="132">
                  <c:v>51.694157214344301</c:v>
                </c:pt>
                <c:pt idx="133">
                  <c:v>51.458046521742247</c:v>
                </c:pt>
                <c:pt idx="134">
                  <c:v>51.223249934300966</c:v>
                </c:pt>
                <c:pt idx="135">
                  <c:v>50.989729243890324</c:v>
                </c:pt>
                <c:pt idx="136">
                  <c:v>50.757446594874679</c:v>
                </c:pt>
                <c:pt idx="137">
                  <c:v>50.526364536226282</c:v>
                </c:pt>
                <c:pt idx="138">
                  <c:v>50.296446069332383</c:v>
                </c:pt>
                <c:pt idx="139">
                  <c:v>50.067654691570652</c:v>
                </c:pt>
                <c:pt idx="140">
                  <c:v>49.839954435750286</c:v>
                </c:pt>
                <c:pt idx="141">
                  <c:v>49.613309905528666</c:v>
                </c:pt>
                <c:pt idx="142">
                  <c:v>49.387686306931258</c:v>
                </c:pt>
                <c:pt idx="143">
                  <c:v>49.16304947611102</c:v>
                </c:pt>
                <c:pt idx="144">
                  <c:v>48.939365903494902</c:v>
                </c:pt>
                <c:pt idx="145">
                  <c:v>48.716602754473499</c:v>
                </c:pt>
                <c:pt idx="146">
                  <c:v>48.4947278867931</c:v>
                </c:pt>
                <c:pt idx="147">
                  <c:v>48.273709864817171</c:v>
                </c:pt>
                <c:pt idx="148">
                  <c:v>48.05351797082308</c:v>
                </c:pt>
                <c:pt idx="149">
                  <c:v>47.834122213505665</c:v>
                </c:pt>
                <c:pt idx="150">
                  <c:v>47.615493333853664</c:v>
                </c:pt>
                <c:pt idx="151">
                  <c:v>47.397602808569552</c:v>
                </c:pt>
                <c:pt idx="152">
                  <c:v>47.180422851196838</c:v>
                </c:pt>
                <c:pt idx="153">
                  <c:v>46.963926411117932</c:v>
                </c:pt>
                <c:pt idx="154">
                  <c:v>46.748087170581066</c:v>
                </c:pt>
                <c:pt idx="155">
                  <c:v>46.532879539910887</c:v>
                </c:pt>
                <c:pt idx="156">
                  <c:v>46.31827865105106</c:v>
                </c:pt>
                <c:pt idx="157">
                  <c:v>46.104260349583193</c:v>
                </c:pt>
                <c:pt idx="158">
                  <c:v>45.890801185359223</c:v>
                </c:pt>
                <c:pt idx="159">
                  <c:v>45.677878401878537</c:v>
                </c:pt>
                <c:pt idx="160">
                  <c:v>45.46546992453613</c:v>
                </c:pt>
                <c:pt idx="161">
                  <c:v>45.253554347858099</c:v>
                </c:pt>
                <c:pt idx="162">
                  <c:v>45.042110921838059</c:v>
                </c:pt>
                <c:pt idx="163">
                  <c:v>44.831119537479054</c:v>
                </c:pt>
                <c:pt idx="164">
                  <c:v>44.620560711639634</c:v>
                </c:pt>
                <c:pt idx="165">
                  <c:v>44.410415571275337</c:v>
                </c:pt>
                <c:pt idx="166">
                  <c:v>44.200665837162354</c:v>
                </c:pt>
                <c:pt idx="167">
                  <c:v>43.991293807181329</c:v>
                </c:pt>
                <c:pt idx="168">
                  <c:v>43.782282339235373</c:v>
                </c:pt>
                <c:pt idx="169">
                  <c:v>43.57361483386812</c:v>
                </c:pt>
                <c:pt idx="170">
                  <c:v>43.365275216644726</c:v>
                </c:pt>
                <c:pt idx="171">
                  <c:v>43.157247920349697</c:v>
                </c:pt>
                <c:pt idx="172">
                  <c:v>42.949517867053459</c:v>
                </c:pt>
                <c:pt idx="173">
                  <c:v>42.742070450092378</c:v>
                </c:pt>
                <c:pt idx="174">
                  <c:v>42.534891516003022</c:v>
                </c:pt>
                <c:pt idx="175">
                  <c:v>42.327967346446222</c:v>
                </c:pt>
                <c:pt idx="176">
                  <c:v>42.121284640152581</c:v>
                </c:pt>
                <c:pt idx="177">
                  <c:v>41.914830494918064</c:v>
                </c:pt>
                <c:pt idx="178">
                  <c:v>41.708592389671644</c:v>
                </c:pt>
                <c:pt idx="179">
                  <c:v>41.502558166635872</c:v>
                </c:pt>
                <c:pt idx="180">
                  <c:v>41.296716013598001</c:v>
                </c:pt>
                <c:pt idx="181">
                  <c:v>41.09105444630309</c:v>
                </c:pt>
                <c:pt idx="182">
                  <c:v>40.885562290981937</c:v>
                </c:pt>
                <c:pt idx="183">
                  <c:v>40.680228667020188</c:v>
                </c:pt>
                <c:pt idx="184">
                  <c:v>40.475042969774641</c:v>
                </c:pt>
                <c:pt idx="185">
                  <c:v>40.269994853539153</c:v>
                </c:pt>
                <c:pt idx="186">
                  <c:v>40.065074214662744</c:v>
                </c:pt>
                <c:pt idx="187">
                  <c:v>39.860271174815544</c:v>
                </c:pt>
                <c:pt idx="188">
                  <c:v>39.655576064403519</c:v>
                </c:pt>
                <c:pt idx="189">
                  <c:v>39.450979406124702</c:v>
                </c:pt>
                <c:pt idx="190">
                  <c:v>39.246471898661071</c:v>
                </c:pt>
                <c:pt idx="191">
                  <c:v>39.042044400500231</c:v>
                </c:pt>
                <c:pt idx="192">
                  <c:v>38.837687913876813</c:v>
                </c:pt>
                <c:pt idx="193">
                  <c:v>38.633393568823628</c:v>
                </c:pt>
                <c:pt idx="194">
                  <c:v>38.42915260732341</c:v>
                </c:pt>
                <c:pt idx="195">
                  <c:v>38.224956367547158</c:v>
                </c:pt>
                <c:pt idx="196">
                  <c:v>38.020796268169164</c:v>
                </c:pt>
                <c:pt idx="197">
                  <c:v>37.816663792743725</c:v>
                </c:pt>
                <c:pt idx="198">
                  <c:v>37.612550474130757</c:v>
                </c:pt>
                <c:pt idx="199">
                  <c:v>37.408447878956387</c:v>
                </c:pt>
                <c:pt idx="200">
                  <c:v>37.204347592093548</c:v>
                </c:pt>
                <c:pt idx="201">
                  <c:v>37.000241201148349</c:v>
                </c:pt>
                <c:pt idx="202">
                  <c:v>36.79612028093679</c:v>
                </c:pt>
                <c:pt idx="203">
                  <c:v>36.5919763779373</c:v>
                </c:pt>
                <c:pt idx="204">
                  <c:v>36.387800994704342</c:v>
                </c:pt>
                <c:pt idx="205">
                  <c:v>36.183585574227067</c:v>
                </c:pt>
                <c:pt idx="206">
                  <c:v>35.979321484218936</c:v>
                </c:pt>
                <c:pt idx="207">
                  <c:v>35.775000001324791</c:v>
                </c:pt>
                <c:pt idx="208">
                  <c:v>35.570612295229374</c:v>
                </c:pt>
                <c:pt idx="209">
                  <c:v>35.366149412654806</c:v>
                </c:pt>
                <c:pt idx="210">
                  <c:v>35.161602261234542</c:v>
                </c:pt>
                <c:pt idx="211">
                  <c:v>34.956961593248948</c:v>
                </c:pt>
                <c:pt idx="212">
                  <c:v>34.752217989214621</c:v>
                </c:pt>
                <c:pt idx="213">
                  <c:v>34.547361841313695</c:v>
                </c:pt>
                <c:pt idx="214">
                  <c:v>34.342383336654002</c:v>
                </c:pt>
                <c:pt idx="215">
                  <c:v>34.137272440353364</c:v>
                </c:pt>
                <c:pt idx="216">
                  <c:v>33.9320188784395</c:v>
                </c:pt>
                <c:pt idx="217">
                  <c:v>33.726612120559132</c:v>
                </c:pt>
                <c:pt idx="218">
                  <c:v>33.521041362495268</c:v>
                </c:pt>
                <c:pt idx="219">
                  <c:v>33.315295508486287</c:v>
                </c:pt>
                <c:pt idx="220">
                  <c:v>33.109363153351111</c:v>
                </c:pt>
                <c:pt idx="221">
                  <c:v>32.903232564419476</c:v>
                </c:pt>
                <c:pt idx="222">
                  <c:v>32.696891663272815</c:v>
                </c:pt>
                <c:pt idx="223">
                  <c:v>32.490328007302942</c:v>
                </c:pt>
                <c:pt idx="224">
                  <c:v>32.283528771099526</c:v>
                </c:pt>
                <c:pt idx="225">
                  <c:v>32.076480727677044</c:v>
                </c:pt>
                <c:pt idx="226">
                  <c:v>31.869170229560915</c:v>
                </c:pt>
                <c:pt idx="227">
                  <c:v>31.661583189751241</c:v>
                </c:pt>
                <c:pt idx="228">
                  <c:v>31.453705062588281</c:v>
                </c:pt>
                <c:pt idx="229">
                  <c:v>31.245520824550155</c:v>
                </c:pt>
                <c:pt idx="230">
                  <c:v>31.037014955012904</c:v>
                </c:pt>
                <c:pt idx="231">
                  <c:v>30.828171417014293</c:v>
                </c:pt>
                <c:pt idx="232">
                  <c:v>30.618973638061711</c:v>
                </c:pt>
                <c:pt idx="233">
                  <c:v>30.409404491035804</c:v>
                </c:pt>
                <c:pt idx="234">
                  <c:v>30.199446275241005</c:v>
                </c:pt>
                <c:pt idx="235">
                  <c:v>29.989080697668399</c:v>
                </c:pt>
                <c:pt idx="236">
                  <c:v>29.778288854534903</c:v>
                </c:pt>
                <c:pt idx="237">
                  <c:v>29.567051213174615</c:v>
                </c:pt>
                <c:pt idx="238">
                  <c:v>29.355347594364719</c:v>
                </c:pt>
                <c:pt idx="239">
                  <c:v>29.143157155173597</c:v>
                </c:pt>
                <c:pt idx="240">
                  <c:v>28.930458372430074</c:v>
                </c:pt>
                <c:pt idx="241">
                  <c:v>28.717229026916975</c:v>
                </c:pt>
                <c:pt idx="242">
                  <c:v>28.503446188403991</c:v>
                </c:pt>
                <c:pt idx="243">
                  <c:v>28.289086201640114</c:v>
                </c:pt>
                <c:pt idx="244">
                  <c:v>28.07412467343778</c:v>
                </c:pt>
                <c:pt idx="245">
                  <c:v>27.858536460985476</c:v>
                </c:pt>
                <c:pt idx="246">
                  <c:v>27.642295661537517</c:v>
                </c:pt>
                <c:pt idx="247">
                  <c:v>27.425375603637114</c:v>
                </c:pt>
                <c:pt idx="248">
                  <c:v>27.207748840035094</c:v>
                </c:pt>
                <c:pt idx="249">
                  <c:v>26.989387142478538</c:v>
                </c:pt>
                <c:pt idx="250">
                  <c:v>26.77026149854624</c:v>
                </c:pt>
                <c:pt idx="251">
                  <c:v>26.550342110719086</c:v>
                </c:pt>
                <c:pt idx="252">
                  <c:v>26.329598397876719</c:v>
                </c:pt>
                <c:pt idx="253">
                  <c:v>26.107998999418594</c:v>
                </c:pt>
                <c:pt idx="254">
                  <c:v>25.885511782210195</c:v>
                </c:pt>
                <c:pt idx="255">
                  <c:v>25.662103850559895</c:v>
                </c:pt>
                <c:pt idx="256">
                  <c:v>25.437741559432343</c:v>
                </c:pt>
                <c:pt idx="257">
                  <c:v>25.212390531103679</c:v>
                </c:pt>
                <c:pt idx="258">
                  <c:v>24.986015675462617</c:v>
                </c:pt>
                <c:pt idx="259">
                  <c:v>24.758581214157218</c:v>
                </c:pt>
                <c:pt idx="260">
                  <c:v>24.530050708779896</c:v>
                </c:pt>
                <c:pt idx="261">
                  <c:v>24.300387093274782</c:v>
                </c:pt>
                <c:pt idx="262">
                  <c:v>24.069552710740837</c:v>
                </c:pt>
                <c:pt idx="263">
                  <c:v>23.837509354787187</c:v>
                </c:pt>
                <c:pt idx="264">
                  <c:v>23.60421831558206</c:v>
                </c:pt>
                <c:pt idx="265">
                  <c:v>23.369640430714092</c:v>
                </c:pt>
                <c:pt idx="266">
                  <c:v>23.133736140962004</c:v>
                </c:pt>
                <c:pt idx="267">
                  <c:v>22.896465551038681</c:v>
                </c:pt>
                <c:pt idx="268">
                  <c:v>22.657788495349386</c:v>
                </c:pt>
                <c:pt idx="269">
                  <c:v>22.41766460876228</c:v>
                </c:pt>
                <c:pt idx="270">
                  <c:v>22.176053402359944</c:v>
                </c:pt>
                <c:pt idx="271">
                  <c:v>21.93291434409246</c:v>
                </c:pt>
                <c:pt idx="272">
                  <c:v>21.688206944213164</c:v>
                </c:pt>
                <c:pt idx="273">
                  <c:v>21.441890845330143</c:v>
                </c:pt>
                <c:pt idx="274">
                  <c:v>21.193925916857172</c:v>
                </c:pt>
                <c:pt idx="275">
                  <c:v>20.944272353597743</c:v>
                </c:pt>
                <c:pt idx="276">
                  <c:v>20.692890778142914</c:v>
                </c:pt>
                <c:pt idx="277">
                  <c:v>20.439742346713039</c:v>
                </c:pt>
                <c:pt idx="278">
                  <c:v>20.18478885801607</c:v>
                </c:pt>
                <c:pt idx="279">
                  <c:v>19.927992864647873</c:v>
                </c:pt>
                <c:pt idx="280">
                  <c:v>19.669317786505619</c:v>
                </c:pt>
                <c:pt idx="281">
                  <c:v>19.4087280256397</c:v>
                </c:pt>
                <c:pt idx="282">
                  <c:v>19.146189081920369</c:v>
                </c:pt>
                <c:pt idx="283">
                  <c:v>18.881667668860509</c:v>
                </c:pt>
                <c:pt idx="284">
                  <c:v>18.615131828893254</c:v>
                </c:pt>
                <c:pt idx="285">
                  <c:v>18.346551047378554</c:v>
                </c:pt>
                <c:pt idx="286">
                  <c:v>18.075896364586161</c:v>
                </c:pt>
                <c:pt idx="287">
                  <c:v>17.803140484888768</c:v>
                </c:pt>
                <c:pt idx="288">
                  <c:v>17.528257882390342</c:v>
                </c:pt>
                <c:pt idx="289">
                  <c:v>17.251224902216947</c:v>
                </c:pt>
                <c:pt idx="290">
                  <c:v>16.972019856707426</c:v>
                </c:pt>
                <c:pt idx="291">
                  <c:v>16.690623115760161</c:v>
                </c:pt>
                <c:pt idx="292">
                  <c:v>16.407017190624838</c:v>
                </c:pt>
                <c:pt idx="293">
                  <c:v>16.121186810463602</c:v>
                </c:pt>
                <c:pt idx="294">
                  <c:v>15.833118991056192</c:v>
                </c:pt>
                <c:pt idx="295">
                  <c:v>15.542803095081194</c:v>
                </c:pt>
                <c:pt idx="296">
                  <c:v>15.250230883470255</c:v>
                </c:pt>
                <c:pt idx="297">
                  <c:v>14.955396557402917</c:v>
                </c:pt>
                <c:pt idx="298">
                  <c:v>14.658296790594083</c:v>
                </c:pt>
                <c:pt idx="299">
                  <c:v>14.358930751604397</c:v>
                </c:pt>
                <c:pt idx="300">
                  <c:v>14.057300115995648</c:v>
                </c:pt>
                <c:pt idx="301">
                  <c:v>13.753409068244435</c:v>
                </c:pt>
                <c:pt idx="302">
                  <c:v>13.447264293419197</c:v>
                </c:pt>
                <c:pt idx="303">
                  <c:v>13.138874958716432</c:v>
                </c:pt>
                <c:pt idx="304">
                  <c:v>12.828252685047183</c:v>
                </c:pt>
                <c:pt idx="305">
                  <c:v>12.515411508946336</c:v>
                </c:pt>
                <c:pt idx="306">
                  <c:v>12.200367835166686</c:v>
                </c:pt>
                <c:pt idx="307">
                  <c:v>11.883140380395727</c:v>
                </c:pt>
                <c:pt idx="308">
                  <c:v>11.563750108601774</c:v>
                </c:pt>
                <c:pt idx="309">
                  <c:v>11.242220158585654</c:v>
                </c:pt>
                <c:pt idx="310">
                  <c:v>10.918575764364117</c:v>
                </c:pt>
                <c:pt idx="311">
                  <c:v>10.592844169062623</c:v>
                </c:pt>
                <c:pt idx="312">
                  <c:v>10.265054533027037</c:v>
                </c:pt>
                <c:pt idx="313">
                  <c:v>9.935237836899006</c:v>
                </c:pt>
                <c:pt idx="314">
                  <c:v>9.6034267804075686</c:v>
                </c:pt>
                <c:pt idx="315">
                  <c:v>9.2696556776485028</c:v>
                </c:pt>
                <c:pt idx="316">
                  <c:v>8.9339603496147841</c:v>
                </c:pt>
                <c:pt idx="317">
                  <c:v>8.5963780147342188</c:v>
                </c:pt>
                <c:pt idx="318">
                  <c:v>8.2569471781528634</c:v>
                </c:pt>
                <c:pt idx="319">
                  <c:v>7.915707520477449</c:v>
                </c:pt>
                <c:pt idx="320">
                  <c:v>7.572699786654673</c:v>
                </c:pt>
                <c:pt idx="321">
                  <c:v>7.2279656756338806</c:v>
                </c:pt>
                <c:pt idx="322">
                  <c:v>6.8815477314077178</c:v>
                </c:pt>
                <c:pt idx="323">
                  <c:v>6.533489235983434</c:v>
                </c:pt>
                <c:pt idx="324">
                  <c:v>6.1838341047876044</c:v>
                </c:pt>
                <c:pt idx="325">
                  <c:v>5.8326267849472293</c:v>
                </c:pt>
                <c:pt idx="326">
                  <c:v>5.4799121568462708</c:v>
                </c:pt>
                <c:pt idx="327">
                  <c:v>5.1257354392886967</c:v>
                </c:pt>
                <c:pt idx="328">
                  <c:v>4.7701420985551577</c:v>
                </c:pt>
                <c:pt idx="329">
                  <c:v>4.4131777615766348</c:v>
                </c:pt>
                <c:pt idx="330">
                  <c:v>4.0548881334050115</c:v>
                </c:pt>
                <c:pt idx="331">
                  <c:v>3.6953189190971298</c:v>
                </c:pt>
                <c:pt idx="332">
                  <c:v>3.3345157500899192</c:v>
                </c:pt>
                <c:pt idx="333">
                  <c:v>2.9725241150931319</c:v>
                </c:pt>
                <c:pt idx="334">
                  <c:v>2.6093892954823792</c:v>
                </c:pt>
                <c:pt idx="335">
                  <c:v>2.2451563051362373</c:v>
                </c:pt>
                <c:pt idx="336">
                  <c:v>1.8798698346257789</c:v>
                </c:pt>
                <c:pt idx="337">
                  <c:v>1.513574199625058</c:v>
                </c:pt>
                <c:pt idx="338">
                  <c:v>1.1463132933905116</c:v>
                </c:pt>
                <c:pt idx="339">
                  <c:v>0.77813054312249619</c:v>
                </c:pt>
                <c:pt idx="340">
                  <c:v>0.40906887000492487</c:v>
                </c:pt>
                <c:pt idx="341">
                  <c:v>3.917065269426874E-2</c:v>
                </c:pt>
                <c:pt idx="342">
                  <c:v>-0.3315223059804917</c:v>
                </c:pt>
                <c:pt idx="343">
                  <c:v>-0.7029688093647366</c:v>
                </c:pt>
                <c:pt idx="344">
                  <c:v>-1.0751282946340208</c:v>
                </c:pt>
                <c:pt idx="345">
                  <c:v>-1.4479608580327485</c:v>
                </c:pt>
                <c:pt idx="346">
                  <c:v>-1.8214272779688199</c:v>
                </c:pt>
                <c:pt idx="347">
                  <c:v>-2.1954890362406427</c:v>
                </c:pt>
                <c:pt idx="348">
                  <c:v>-2.5701083376730258</c:v>
                </c:pt>
                <c:pt idx="349">
                  <c:v>-2.9452481284303458</c:v>
                </c:pt>
                <c:pt idx="350">
                  <c:v>-3.3208721132720935</c:v>
                </c:pt>
                <c:pt idx="351">
                  <c:v>-3.6969447720063302</c:v>
                </c:pt>
                <c:pt idx="352">
                  <c:v>-4.0734313753837466</c:v>
                </c:pt>
                <c:pt idx="353">
                  <c:v>-4.4502980006632153</c:v>
                </c:pt>
                <c:pt idx="354">
                  <c:v>-4.8275115470653311</c:v>
                </c:pt>
                <c:pt idx="355">
                  <c:v>-5.2050397513077513</c:v>
                </c:pt>
                <c:pt idx="356">
                  <c:v>-5.5828512034031252</c:v>
                </c:pt>
                <c:pt idx="357">
                  <c:v>-5.9609153628731404</c:v>
                </c:pt>
                <c:pt idx="358">
                  <c:v>-6.3392025755114467</c:v>
                </c:pt>
                <c:pt idx="359">
                  <c:v>-6.7176840908009305</c:v>
                </c:pt>
                <c:pt idx="360">
                  <c:v>-7.0963320800655527</c:v>
                </c:pt>
                <c:pt idx="361">
                  <c:v>-7.4751196554049182</c:v>
                </c:pt>
                <c:pt idx="362">
                  <c:v>-7.8540208894311947</c:v>
                </c:pt>
                <c:pt idx="363">
                  <c:v>-8.2330108357958096</c:v>
                </c:pt>
                <c:pt idx="364">
                  <c:v>-8.6120655504577677</c:v>
                </c:pt>
                <c:pt idx="365">
                  <c:v>-8.9911621136135267</c:v>
                </c:pt>
                <c:pt idx="366">
                  <c:v>-9.3702786521725461</c:v>
                </c:pt>
                <c:pt idx="367">
                  <c:v>-9.7493943626252708</c:v>
                </c:pt>
                <c:pt idx="368">
                  <c:v>-10.128489534117268</c:v>
                </c:pt>
                <c:pt idx="369">
                  <c:v>-10.507545571506745</c:v>
                </c:pt>
                <c:pt idx="370">
                  <c:v>-10.886545018146576</c:v>
                </c:pt>
                <c:pt idx="371">
                  <c:v>-11.265471578103135</c:v>
                </c:pt>
                <c:pt idx="372">
                  <c:v>-11.644310137488699</c:v>
                </c:pt>
                <c:pt idx="373">
                  <c:v>-12.023046784557714</c:v>
                </c:pt>
                <c:pt idx="374">
                  <c:v>-12.401668828192157</c:v>
                </c:pt>
                <c:pt idx="375">
                  <c:v>-12.780164814378722</c:v>
                </c:pt>
                <c:pt idx="376">
                  <c:v>-13.158524540263084</c:v>
                </c:pt>
                <c:pt idx="377">
                  <c:v>-13.536739065356</c:v>
                </c:pt>
                <c:pt idx="378">
                  <c:v>-13.914800719457785</c:v>
                </c:pt>
                <c:pt idx="379">
                  <c:v>-14.292703106869322</c:v>
                </c:pt>
                <c:pt idx="380">
                  <c:v>-14.670441106463763</c:v>
                </c:pt>
                <c:pt idx="381">
                  <c:v>-15.048010867205967</c:v>
                </c:pt>
                <c:pt idx="382">
                  <c:v>-15.425409798730596</c:v>
                </c:pt>
                <c:pt idx="383">
                  <c:v>-15.802636556616429</c:v>
                </c:pt>
                <c:pt idx="384">
                  <c:v>-16.179691022033069</c:v>
                </c:pt>
                <c:pt idx="385">
                  <c:v>-16.556574275478301</c:v>
                </c:pt>
                <c:pt idx="386">
                  <c:v>-16.933288564378742</c:v>
                </c:pt>
                <c:pt idx="387">
                  <c:v>-17.309837264383066</c:v>
                </c:pt>
                <c:pt idx="388">
                  <c:v>-17.686224834240324</c:v>
                </c:pt>
                <c:pt idx="389">
                  <c:v>-18.062456764228976</c:v>
                </c:pt>
                <c:pt idx="390">
                  <c:v>-18.438539518172618</c:v>
                </c:pt>
                <c:pt idx="391">
                  <c:v>-18.814480469158262</c:v>
                </c:pt>
                <c:pt idx="392">
                  <c:v>-19.190287829147962</c:v>
                </c:pt>
                <c:pt idx="393">
                  <c:v>-19.565970572759941</c:v>
                </c:pt>
                <c:pt idx="394">
                  <c:v>-19.941538355564958</c:v>
                </c:pt>
                <c:pt idx="395">
                  <c:v>-20.317001427328091</c:v>
                </c:pt>
                <c:pt idx="396">
                  <c:v>-20.692370540688461</c:v>
                </c:pt>
                <c:pt idx="397">
                  <c:v>-21.067656855843083</c:v>
                </c:pt>
                <c:pt idx="398">
                  <c:v>-21.442871841851691</c:v>
                </c:pt>
                <c:pt idx="399">
                  <c:v>-21.818027175237887</c:v>
                </c:pt>
                <c:pt idx="400">
                  <c:v>-22.193134636594763</c:v>
                </c:pt>
                <c:pt idx="401">
                  <c:v>-22.568206005939597</c:v>
                </c:pt>
                <c:pt idx="402">
                  <c:v>-22.943252957578405</c:v>
                </c:pt>
                <c:pt idx="403">
                  <c:v>-23.318286955252418</c:v>
                </c:pt>
                <c:pt idx="404">
                  <c:v>-23.693319148330882</c:v>
                </c:pt>
                <c:pt idx="405">
                  <c:v>-24.068360269805147</c:v>
                </c:pt>
                <c:pt idx="406">
                  <c:v>-24.443420536808663</c:v>
                </c:pt>
                <c:pt idx="407">
                  <c:v>-24.818509554353405</c:v>
                </c:pt>
                <c:pt idx="408">
                  <c:v>-25.193636222928056</c:v>
                </c:pt>
                <c:pt idx="409">
                  <c:v>-25.56880865054665</c:v>
                </c:pt>
                <c:pt idx="410">
                  <c:v>-25.944034069776201</c:v>
                </c:pt>
                <c:pt idx="411">
                  <c:v>-26.319318760204983</c:v>
                </c:pt>
                <c:pt idx="412">
                  <c:v>-26.694667976738046</c:v>
                </c:pt>
                <c:pt idx="413">
                  <c:v>-27.070085884035173</c:v>
                </c:pt>
                <c:pt idx="414">
                  <c:v>-27.445575497326558</c:v>
                </c:pt>
                <c:pt idx="415">
                  <c:v>-27.821138629767248</c:v>
                </c:pt>
                <c:pt idx="416">
                  <c:v>-28.196775846416081</c:v>
                </c:pt>
                <c:pt idx="417">
                  <c:v>-28.57248642485246</c:v>
                </c:pt>
                <c:pt idx="418">
                  <c:v>-28.948268322374204</c:v>
                </c:pt>
                <c:pt idx="419">
                  <c:v>-29.3241181496617</c:v>
                </c:pt>
                <c:pt idx="420">
                  <c:v>-29.700031150732897</c:v>
                </c:pt>
                <c:pt idx="421">
                  <c:v>-30.076001188962842</c:v>
                </c:pt>
                <c:pt idx="422">
                  <c:v>-30.452020738901521</c:v>
                </c:pt>
                <c:pt idx="423">
                  <c:v>-30.828080883588708</c:v>
                </c:pt>
                <c:pt idx="424">
                  <c:v>-31.204171317030109</c:v>
                </c:pt>
                <c:pt idx="425">
                  <c:v>-31.580280351491623</c:v>
                </c:pt>
                <c:pt idx="426">
                  <c:v>-31.956394929244535</c:v>
                </c:pt>
                <c:pt idx="427">
                  <c:v>-32.332500638395253</c:v>
                </c:pt>
                <c:pt idx="428">
                  <c:v>-32.708581732436699</c:v>
                </c:pt>
                <c:pt idx="429">
                  <c:v>-33.084621153165429</c:v>
                </c:pt>
                <c:pt idx="430">
                  <c:v>-33.460600556618104</c:v>
                </c:pt>
                <c:pt idx="431">
                  <c:v>-33.83650034171346</c:v>
                </c:pt>
                <c:pt idx="432">
                  <c:v>-34.212299681293459</c:v>
                </c:pt>
                <c:pt idx="433">
                  <c:v>-34.587976555302816</c:v>
                </c:pt>
                <c:pt idx="434">
                  <c:v>-34.96350778586033</c:v>
                </c:pt>
                <c:pt idx="435">
                  <c:v>-35.338869074024537</c:v>
                </c:pt>
                <c:pt idx="436">
                  <c:v>-35.714035038079643</c:v>
                </c:pt>
                <c:pt idx="437">
                  <c:v>-36.088979253212045</c:v>
                </c:pt>
                <c:pt idx="438">
                  <c:v>-36.463674292480299</c:v>
                </c:pt>
                <c:pt idx="439">
                  <c:v>-36.838091769020195</c:v>
                </c:pt>
                <c:pt idx="440">
                  <c:v>-37.212202379461502</c:v>
                </c:pt>
                <c:pt idx="441">
                  <c:v>-37.585975948570535</c:v>
                </c:pt>
                <c:pt idx="442">
                  <c:v>-37.959381475160868</c:v>
                </c:pt>
                <c:pt idx="443">
                  <c:v>-38.332387179352203</c:v>
                </c:pt>
                <c:pt idx="444">
                  <c:v>-38.70496055128045</c:v>
                </c:pt>
                <c:pt idx="445">
                  <c:v>-39.077068401392339</c:v>
                </c:pt>
                <c:pt idx="446">
                  <c:v>-39.448676912477531</c:v>
                </c:pt>
                <c:pt idx="447">
                  <c:v>-39.819751693613064</c:v>
                </c:pt>
                <c:pt idx="448">
                  <c:v>-40.190257836209938</c:v>
                </c:pt>
                <c:pt idx="449">
                  <c:v>-40.56015997236338</c:v>
                </c:pt>
                <c:pt idx="450">
                  <c:v>-40.929422335717604</c:v>
                </c:pt>
                <c:pt idx="451">
                  <c:v>-41.298008825056883</c:v>
                </c:pt>
                <c:pt idx="452">
                  <c:v>-41.665883070838717</c:v>
                </c:pt>
                <c:pt idx="453">
                  <c:v>-42.033008504874985</c:v>
                </c:pt>
                <c:pt idx="454">
                  <c:v>-42.39934843336043</c:v>
                </c:pt>
                <c:pt idx="455">
                  <c:v>-42.764866113433158</c:v>
                </c:pt>
                <c:pt idx="456">
                  <c:v>-43.129524833429528</c:v>
                </c:pt>
                <c:pt idx="457">
                  <c:v>-43.493287996978665</c:v>
                </c:pt>
                <c:pt idx="458">
                  <c:v>-43.856119211045829</c:v>
                </c:pt>
                <c:pt idx="459">
                  <c:v>-44.217982378005459</c:v>
                </c:pt>
                <c:pt idx="460">
                  <c:v>-44.578841791786857</c:v>
                </c:pt>
                <c:pt idx="461">
                  <c:v>-44.938662238091645</c:v>
                </c:pt>
                <c:pt idx="462">
                  <c:v>-45.297409098637253</c:v>
                </c:pt>
                <c:pt idx="463">
                  <c:v>-45.655048459332932</c:v>
                </c:pt>
                <c:pt idx="464">
                  <c:v>-46.011547222237823</c:v>
                </c:pt>
                <c:pt idx="465">
                  <c:v>-46.366873221098388</c:v>
                </c:pt>
                <c:pt idx="466">
                  <c:v>-46.720995340203743</c:v>
                </c:pt>
                <c:pt idx="467">
                  <c:v>-47.073883636235614</c:v>
                </c:pt>
                <c:pt idx="468">
                  <c:v>-47.425509462730375</c:v>
                </c:pt>
                <c:pt idx="469">
                  <c:v>-47.775845596710454</c:v>
                </c:pt>
                <c:pt idx="470">
                  <c:v>-48.124866366978779</c:v>
                </c:pt>
                <c:pt idx="471">
                  <c:v>-48.472547783513626</c:v>
                </c:pt>
                <c:pt idx="472">
                  <c:v>-48.81886766734241</c:v>
                </c:pt>
                <c:pt idx="473">
                  <c:v>-49.163805780220507</c:v>
                </c:pt>
                <c:pt idx="474">
                  <c:v>-49.507343953390873</c:v>
                </c:pt>
                <c:pt idx="475">
                  <c:v>-49.84946621465717</c:v>
                </c:pt>
                <c:pt idx="476">
                  <c:v>-50.19015891296295</c:v>
                </c:pt>
                <c:pt idx="477">
                  <c:v>-50.52941083963978</c:v>
                </c:pt>
                <c:pt idx="478">
                  <c:v>-50.867213345463597</c:v>
                </c:pt>
                <c:pt idx="479">
                  <c:v>-51.203560452641582</c:v>
                </c:pt>
                <c:pt idx="480">
                  <c:v>-51.538448960848754</c:v>
                </c:pt>
                <c:pt idx="481">
                  <c:v>-51.871878546432782</c:v>
                </c:pt>
                <c:pt idx="482">
                  <c:v>-52.20385185392292</c:v>
                </c:pt>
                <c:pt idx="483">
                  <c:v>-52.534374578997415</c:v>
                </c:pt>
                <c:pt idx="484">
                  <c:v>-52.863455542101015</c:v>
                </c:pt>
                <c:pt idx="485">
                  <c:v>-53.191106751942343</c:v>
                </c:pt>
                <c:pt idx="486">
                  <c:v>-53.517343458155423</c:v>
                </c:pt>
                <c:pt idx="487">
                  <c:v>-53.842184192470469</c:v>
                </c:pt>
                <c:pt idx="488">
                  <c:v>-54.165650797802854</c:v>
                </c:pt>
                <c:pt idx="489">
                  <c:v>-54.487768444752689</c:v>
                </c:pt>
                <c:pt idx="490">
                  <c:v>-54.808565635080548</c:v>
                </c:pt>
                <c:pt idx="491">
                  <c:v>-55.128074191818435</c:v>
                </c:pt>
                <c:pt idx="492">
                  <c:v>-55.446329235761993</c:v>
                </c:pt>
                <c:pt idx="493">
                  <c:v>-55.763369148184907</c:v>
                </c:pt>
                <c:pt idx="494">
                  <c:v>-56.079235519711112</c:v>
                </c:pt>
                <c:pt idx="495">
                  <c:v>-56.393973085375791</c:v>
                </c:pt>
                <c:pt idx="496">
                  <c:v>-56.707629645999504</c:v>
                </c:pt>
                <c:pt idx="497">
                  <c:v>-57.0202559760952</c:v>
                </c:pt>
                <c:pt idx="498">
                  <c:v>-57.331905718612035</c:v>
                </c:pt>
                <c:pt idx="499">
                  <c:v>-57.642635266910467</c:v>
                </c:pt>
                <c:pt idx="500">
                  <c:v>-57.952503634443644</c:v>
                </c:pt>
                <c:pt idx="501">
                  <c:v>-58.261572312690795</c:v>
                </c:pt>
                <c:pt idx="502">
                  <c:v>-58.569905117965575</c:v>
                </c:pt>
                <c:pt idx="503">
                  <c:v>-58.877568027782402</c:v>
                </c:pt>
                <c:pt idx="504">
                  <c:v>-59.18462900752138</c:v>
                </c:pt>
                <c:pt idx="505">
                  <c:v>-59.491157828188683</c:v>
                </c:pt>
                <c:pt idx="506">
                  <c:v>-59.797225876109401</c:v>
                </c:pt>
                <c:pt idx="507">
                  <c:v>-60.102905955433961</c:v>
                </c:pt>
                <c:pt idx="508">
                  <c:v>-60.408272084372157</c:v>
                </c:pt>
                <c:pt idx="509">
                  <c:v>-60.713399286097818</c:v>
                </c:pt>
                <c:pt idx="510">
                  <c:v>-61.018363375288686</c:v>
                </c:pt>
                <c:pt idx="511">
                  <c:v>-61.323240741288039</c:v>
                </c:pt>
                <c:pt idx="512">
                  <c:v>-61.62810812888776</c:v>
                </c:pt>
                <c:pt idx="513">
                  <c:v>-61.933042417740189</c:v>
                </c:pt>
                <c:pt idx="514">
                  <c:v>-62.238120401414619</c:v>
                </c:pt>
                <c:pt idx="515">
                  <c:v>-62.543418567114728</c:v>
                </c:pt>
                <c:pt idx="516">
                  <c:v>-62.849012877070578</c:v>
                </c:pt>
                <c:pt idx="517">
                  <c:v>-63.154978552612363</c:v>
                </c:pt>
                <c:pt idx="518">
                  <c:v>-63.461389861923621</c:v>
                </c:pt>
                <c:pt idx="519">
                  <c:v>-63.76831991245492</c:v>
                </c:pt>
                <c:pt idx="520">
                  <c:v>-64.075840448958672</c:v>
                </c:pt>
                <c:pt idx="521">
                  <c:v>-64.384021658085985</c:v>
                </c:pt>
                <c:pt idx="522">
                  <c:v>-64.692931980449089</c:v>
                </c:pt>
                <c:pt idx="523">
                  <c:v>-65.002637931023614</c:v>
                </c:pt>
                <c:pt idx="524">
                  <c:v>-65.313203928722089</c:v>
                </c:pt>
                <c:pt idx="525">
                  <c:v>-65.624692135921364</c:v>
                </c:pt>
                <c:pt idx="526">
                  <c:v>-65.937162308674829</c:v>
                </c:pt>
                <c:pt idx="527">
                  <c:v>-66.250671658281007</c:v>
                </c:pt>
                <c:pt idx="528">
                  <c:v>-66.565274724814159</c:v>
                </c:pt>
                <c:pt idx="529">
                  <c:v>-66.881023263150936</c:v>
                </c:pt>
                <c:pt idx="530">
                  <c:v>-67.197966141946978</c:v>
                </c:pt>
                <c:pt idx="531">
                  <c:v>-67.516149255943617</c:v>
                </c:pt>
                <c:pt idx="532">
                  <c:v>-67.835615451885459</c:v>
                </c:pt>
                <c:pt idx="533">
                  <c:v>-68.156404468251608</c:v>
                </c:pt>
                <c:pt idx="534">
                  <c:v>-68.478552888899912</c:v>
                </c:pt>
                <c:pt idx="535">
                  <c:v>-68.80209411063494</c:v>
                </c:pt>
                <c:pt idx="536">
                  <c:v>-69.127058324608697</c:v>
                </c:pt>
                <c:pt idx="537">
                  <c:v>-69.453472511375011</c:v>
                </c:pt>
                <c:pt idx="538">
                  <c:v>-69.781360449315784</c:v>
                </c:pt>
                <c:pt idx="539">
                  <c:v>-70.110742736072169</c:v>
                </c:pt>
                <c:pt idx="540">
                  <c:v>-70.441636822523705</c:v>
                </c:pt>
                <c:pt idx="541">
                  <c:v>-70.774057058778965</c:v>
                </c:pt>
              </c:numCache>
            </c:numRef>
          </c:yVal>
          <c:smooth val="1"/>
          <c:extLst>
            <c:ext xmlns:c16="http://schemas.microsoft.com/office/drawing/2014/chart" uri="{C3380CC4-5D6E-409C-BE32-E72D297353CC}">
              <c16:uniqueId val="{00000000-2860-4C4C-B618-5424CA982335}"/>
            </c:ext>
          </c:extLst>
        </c:ser>
        <c:ser>
          <c:idx val="2"/>
          <c:order val="2"/>
          <c:tx>
            <c:v>f_LP</c:v>
          </c:tx>
          <c:spPr>
            <a:ln w="38100" cmpd="sng"/>
          </c:spPr>
          <c:marker>
            <c:symbol val="x"/>
            <c:size val="7"/>
            <c:spPr>
              <a:noFill/>
            </c:spPr>
          </c:marker>
          <c:dPt>
            <c:idx val="0"/>
            <c:marker>
              <c:spPr>
                <a:noFill/>
                <a:ln w="19050">
                  <a:solidFill>
                    <a:schemeClr val="tx1"/>
                  </a:solidFill>
                </a:ln>
              </c:spPr>
            </c:marker>
            <c:bubble3D val="0"/>
            <c:extLst>
              <c:ext xmlns:c16="http://schemas.microsoft.com/office/drawing/2014/chart" uri="{C3380CC4-5D6E-409C-BE32-E72D297353CC}">
                <c16:uniqueId val="{00000001-2860-4C4C-B618-5424CA982335}"/>
              </c:ext>
            </c:extLst>
          </c:dPt>
          <c:dLbls>
            <c:dLbl>
              <c:idx val="0"/>
              <c:tx>
                <c:rich>
                  <a:bodyPr/>
                  <a:lstStyle/>
                  <a:p>
                    <a:r>
                      <a:rPr lang="en-US" sz="1100" b="1"/>
                      <a:t>f</a:t>
                    </a:r>
                    <a:r>
                      <a:rPr lang="en-US" sz="1100" b="1" baseline="-25000"/>
                      <a:t>LP</a:t>
                    </a:r>
                    <a:endParaRPr lang="en-US" b="1" baseline="-25000"/>
                  </a:p>
                </c:rich>
              </c:tx>
              <c:dLblPos val="b"/>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60-4C4C-B618-5424CA982335}"/>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CCM_Loop_Modeling_Isolated!$O$11</c:f>
              <c:numCache>
                <c:formatCode>0</c:formatCode>
                <c:ptCount val="1"/>
                <c:pt idx="0">
                  <c:v>6.9630287602704204</c:v>
                </c:pt>
              </c:numCache>
            </c:numRef>
          </c:xVal>
          <c:yVal>
            <c:numRef>
              <c:f>CCM_Loop_Modeling_Isolated!$AW$11</c:f>
              <c:numCache>
                <c:formatCode>0.000</c:formatCode>
                <c:ptCount val="1"/>
                <c:pt idx="0">
                  <c:v>100.77523583947782</c:v>
                </c:pt>
              </c:numCache>
            </c:numRef>
          </c:yVal>
          <c:smooth val="0"/>
          <c:extLst>
            <c:ext xmlns:c16="http://schemas.microsoft.com/office/drawing/2014/chart" uri="{C3380CC4-5D6E-409C-BE32-E72D297353CC}">
              <c16:uniqueId val="{00000002-2860-4C4C-B618-5424CA982335}"/>
            </c:ext>
          </c:extLst>
        </c:ser>
        <c:ser>
          <c:idx val="3"/>
          <c:order val="3"/>
          <c:tx>
            <c:v>fz_rhp</c:v>
          </c:tx>
          <c:spPr>
            <a:ln>
              <a:solidFill>
                <a:schemeClr val="tx1"/>
              </a:solidFill>
            </a:ln>
          </c:spPr>
          <c:marker>
            <c:symbol val="circle"/>
            <c:size val="7"/>
            <c:spPr>
              <a:noFill/>
              <a:ln w="19050">
                <a:solidFill>
                  <a:schemeClr val="tx1"/>
                </a:solidFill>
              </a:ln>
            </c:spPr>
          </c:marker>
          <c:dLbls>
            <c:dLbl>
              <c:idx val="0"/>
              <c:layout>
                <c:manualLayout>
                  <c:x val="8.0501209561423519E-3"/>
                  <c:y val="-1.549366727850418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2860-4C4C-B618-5424CA982335}"/>
                </c:ext>
              </c:extLst>
            </c:dLbl>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CCM_Loop_Modeling_Isolated!$O$9</c:f>
              <c:numCache>
                <c:formatCode>0</c:formatCode>
                <c:ptCount val="1"/>
                <c:pt idx="0">
                  <c:v>91673.24722093172</c:v>
                </c:pt>
              </c:numCache>
            </c:numRef>
          </c:xVal>
          <c:yVal>
            <c:numRef>
              <c:f>CCM_Loop_Modeling_Isolated!$AW$9</c:f>
              <c:numCache>
                <c:formatCode>0.000</c:formatCode>
                <c:ptCount val="1"/>
                <c:pt idx="0">
                  <c:v>-20.401190052664315</c:v>
                </c:pt>
              </c:numCache>
            </c:numRef>
          </c:yVal>
          <c:smooth val="1"/>
          <c:extLst>
            <c:ext xmlns:c16="http://schemas.microsoft.com/office/drawing/2014/chart" uri="{C3380CC4-5D6E-409C-BE32-E72D297353CC}">
              <c16:uniqueId val="{00000004-2860-4C4C-B618-5424CA982335}"/>
            </c:ext>
          </c:extLst>
        </c:ser>
        <c:ser>
          <c:idx val="4"/>
          <c:order val="4"/>
          <c:tx>
            <c:v>f_esr</c:v>
          </c:tx>
          <c:spPr>
            <a:ln>
              <a:noFill/>
            </a:ln>
          </c:spPr>
          <c:marker>
            <c:symbol val="circle"/>
            <c:size val="5"/>
            <c:spPr>
              <a:noFill/>
              <a:ln w="19050">
                <a:solidFill>
                  <a:schemeClr val="tx1"/>
                </a:solidFill>
              </a:ln>
            </c:spPr>
          </c:marker>
          <c:dPt>
            <c:idx val="0"/>
            <c:marker>
              <c:symbol val="circle"/>
              <c:size val="7"/>
            </c:marker>
            <c:bubble3D val="0"/>
            <c:extLst>
              <c:ext xmlns:c16="http://schemas.microsoft.com/office/drawing/2014/chart" uri="{C3380CC4-5D6E-409C-BE32-E72D297353CC}">
                <c16:uniqueId val="{00000005-2860-4C4C-B618-5424CA982335}"/>
              </c:ext>
            </c:extLst>
          </c:dPt>
          <c:dLbls>
            <c:dLbl>
              <c:idx val="0"/>
              <c:layout>
                <c:manualLayout>
                  <c:x val="-5.990474489899654E-2"/>
                  <c:y val="-1.245719349008710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2860-4C4C-B618-5424CA982335}"/>
                </c:ext>
              </c:extLst>
            </c:dLbl>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CCM_Loop_Modeling_Isolated!$O$10</c:f>
              <c:numCache>
                <c:formatCode>0</c:formatCode>
                <c:ptCount val="1"/>
                <c:pt idx="0">
                  <c:v>795774.71545947669</c:v>
                </c:pt>
              </c:numCache>
            </c:numRef>
          </c:xVal>
          <c:yVal>
            <c:numRef>
              <c:f>CCM_Loop_Modeling_Isolated!$AW$10</c:f>
              <c:numCache>
                <c:formatCode>0.000</c:formatCode>
                <c:ptCount val="1"/>
                <c:pt idx="0">
                  <c:v>-54.513163434402891</c:v>
                </c:pt>
              </c:numCache>
            </c:numRef>
          </c:yVal>
          <c:smooth val="1"/>
          <c:extLst>
            <c:ext xmlns:c16="http://schemas.microsoft.com/office/drawing/2014/chart" uri="{C3380CC4-5D6E-409C-BE32-E72D297353CC}">
              <c16:uniqueId val="{00000006-2860-4C4C-B618-5424CA982335}"/>
            </c:ext>
          </c:extLst>
        </c:ser>
        <c:ser>
          <c:idx val="5"/>
          <c:order val="5"/>
          <c:tx>
            <c:v>fz_ea</c:v>
          </c:tx>
          <c:marker>
            <c:symbol val="circle"/>
            <c:size val="8"/>
            <c:spPr>
              <a:noFill/>
              <a:ln w="25400">
                <a:solidFill>
                  <a:srgbClr val="00B0F0"/>
                </a:solidFill>
              </a:ln>
            </c:spPr>
          </c:marker>
          <c:dLbls>
            <c:dLbl>
              <c:idx val="0"/>
              <c:spPr/>
              <c:txPr>
                <a:bodyPr/>
                <a:lstStyle/>
                <a:p>
                  <a:pPr>
                    <a:defRPr b="1"/>
                  </a:pPr>
                  <a:endParaRPr lang="fr-FR"/>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860-4C4C-B618-5424CA98233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CCM_Loop_Modeling_Isolated!$O$12</c:f>
              <c:numCache>
                <c:formatCode>General</c:formatCode>
                <c:ptCount val="1"/>
                <c:pt idx="0">
                  <c:v>140.4969483508963</c:v>
                </c:pt>
              </c:numCache>
            </c:numRef>
          </c:xVal>
          <c:yVal>
            <c:numRef>
              <c:f>CCM_Loop_Modeling_Isolated!$AW$12</c:f>
              <c:numCache>
                <c:formatCode>0.000</c:formatCode>
                <c:ptCount val="1"/>
                <c:pt idx="0">
                  <c:v>56.275135967918501</c:v>
                </c:pt>
              </c:numCache>
            </c:numRef>
          </c:yVal>
          <c:smooth val="1"/>
          <c:extLst>
            <c:ext xmlns:c16="http://schemas.microsoft.com/office/drawing/2014/chart" uri="{C3380CC4-5D6E-409C-BE32-E72D297353CC}">
              <c16:uniqueId val="{00000008-2860-4C4C-B618-5424CA982335}"/>
            </c:ext>
          </c:extLst>
        </c:ser>
        <c:dLbls>
          <c:showLegendKey val="0"/>
          <c:showVal val="0"/>
          <c:showCatName val="0"/>
          <c:showSerName val="0"/>
          <c:showPercent val="0"/>
          <c:showBubbleSize val="0"/>
        </c:dLbls>
        <c:axId val="377478144"/>
        <c:axId val="377496704"/>
      </c:scatterChart>
      <c:scatterChart>
        <c:scatterStyle val="smoothMarker"/>
        <c:varyColors val="0"/>
        <c:ser>
          <c:idx val="1"/>
          <c:order val="1"/>
          <c:tx>
            <c:v>Phase (deg)</c:v>
          </c:tx>
          <c:spPr>
            <a:ln w="28575">
              <a:solidFill>
                <a:schemeClr val="tx1">
                  <a:lumMod val="95000"/>
                  <a:lumOff val="5000"/>
                </a:schemeClr>
              </a:solidFill>
              <a:prstDash val="sysDash"/>
            </a:ln>
          </c:spPr>
          <c:marker>
            <c:symbol val="none"/>
          </c:marker>
          <c:xVal>
            <c:numRef>
              <c:f>CCM_Loop_Modeling_Isolated!$O$19:$O$560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CCM_Loop_Modeling_Isolated!$AX$19:$AX$560</c:f>
              <c:numCache>
                <c:formatCode>General</c:formatCode>
                <c:ptCount val="542"/>
                <c:pt idx="0">
                  <c:v>39.994054499155332</c:v>
                </c:pt>
                <c:pt idx="1">
                  <c:v>39.516275016528709</c:v>
                </c:pt>
                <c:pt idx="2">
                  <c:v>39.046944447683899</c:v>
                </c:pt>
                <c:pt idx="3">
                  <c:v>38.586348550735231</c:v>
                </c:pt>
                <c:pt idx="4">
                  <c:v>38.134762292998253</c:v>
                </c:pt>
                <c:pt idx="5">
                  <c:v>37.692449706937857</c:v>
                </c:pt>
                <c:pt idx="6">
                  <c:v>37.25966379778518</c:v>
                </c:pt>
                <c:pt idx="7">
                  <c:v>36.836646500775494</c:v>
                </c:pt>
                <c:pt idx="8">
                  <c:v>36.423628685648623</c:v>
                </c:pt>
                <c:pt idx="9">
                  <c:v>36.020830205782268</c:v>
                </c:pt>
                <c:pt idx="10">
                  <c:v>35.628459989106055</c:v>
                </c:pt>
                <c:pt idx="11">
                  <c:v>35.246716167748971</c:v>
                </c:pt>
                <c:pt idx="12">
                  <c:v>34.875786243250076</c:v>
                </c:pt>
                <c:pt idx="13">
                  <c:v>34.515847284036688</c:v>
                </c:pt>
                <c:pt idx="14">
                  <c:v>34.167066151829417</c:v>
                </c:pt>
                <c:pt idx="15">
                  <c:v>33.829599753590031</c:v>
                </c:pt>
                <c:pt idx="16">
                  <c:v>33.503595315645782</c:v>
                </c:pt>
                <c:pt idx="17">
                  <c:v>33.189190676639036</c:v>
                </c:pt>
                <c:pt idx="18">
                  <c:v>32.88651459602675</c:v>
                </c:pt>
                <c:pt idx="19">
                  <c:v>32.595687074926452</c:v>
                </c:pt>
                <c:pt idx="20">
                  <c:v>32.316819686206493</c:v>
                </c:pt>
                <c:pt idx="21">
                  <c:v>32.050015910845595</c:v>
                </c:pt>
                <c:pt idx="22">
                  <c:v>31.795371477704229</c:v>
                </c:pt>
                <c:pt idx="23">
                  <c:v>31.552974704000899</c:v>
                </c:pt>
                <c:pt idx="24">
                  <c:v>31.322906833942195</c:v>
                </c:pt>
                <c:pt idx="25">
                  <c:v>31.105242373084341</c:v>
                </c:pt>
                <c:pt idx="26">
                  <c:v>30.900049416199003</c:v>
                </c:pt>
                <c:pt idx="27">
                  <c:v>30.70738996653866</c:v>
                </c:pt>
                <c:pt idx="28">
                  <c:v>30.52732024458119</c:v>
                </c:pt>
                <c:pt idx="29">
                  <c:v>30.359890984470912</c:v>
                </c:pt>
                <c:pt idx="30">
                  <c:v>30.205147716540498</c:v>
                </c:pt>
                <c:pt idx="31">
                  <c:v>30.063131034429258</c:v>
                </c:pt>
                <c:pt idx="32">
                  <c:v>29.93387684547697</c:v>
                </c:pt>
                <c:pt idx="33">
                  <c:v>29.817416603187731</c:v>
                </c:pt>
                <c:pt idx="34">
                  <c:v>29.713777520706209</c:v>
                </c:pt>
                <c:pt idx="35">
                  <c:v>29.622982764365513</c:v>
                </c:pt>
                <c:pt idx="36">
                  <c:v>29.545051626490494</c:v>
                </c:pt>
                <c:pt idx="37">
                  <c:v>29.479999676745468</c:v>
                </c:pt>
                <c:pt idx="38">
                  <c:v>29.4278388914388</c:v>
                </c:pt>
                <c:pt idx="39">
                  <c:v>29.388577760282139</c:v>
                </c:pt>
                <c:pt idx="40">
                  <c:v>29.362221370215366</c:v>
                </c:pt>
                <c:pt idx="41">
                  <c:v>29.348771465999956</c:v>
                </c:pt>
                <c:pt idx="42">
                  <c:v>29.348226487372312</c:v>
                </c:pt>
                <c:pt idx="43">
                  <c:v>29.360581582644144</c:v>
                </c:pt>
                <c:pt idx="44">
                  <c:v>29.385828598724331</c:v>
                </c:pt>
                <c:pt idx="45">
                  <c:v>29.423956047625857</c:v>
                </c:pt>
                <c:pt idx="46">
                  <c:v>29.474949049610121</c:v>
                </c:pt>
                <c:pt idx="47">
                  <c:v>29.538789253210982</c:v>
                </c:pt>
                <c:pt idx="48">
                  <c:v>29.61545473247557</c:v>
                </c:pt>
                <c:pt idx="49">
                  <c:v>29.704919861852257</c:v>
                </c:pt>
                <c:pt idx="50">
                  <c:v>29.807155169249686</c:v>
                </c:pt>
                <c:pt idx="51">
                  <c:v>29.922127167907064</c:v>
                </c:pt>
                <c:pt idx="52">
                  <c:v>30.049798167806635</c:v>
                </c:pt>
                <c:pt idx="53">
                  <c:v>30.190126067482591</c:v>
                </c:pt>
                <c:pt idx="54">
                  <c:v>30.343064127193127</c:v>
                </c:pt>
                <c:pt idx="55">
                  <c:v>30.508560724549589</c:v>
                </c:pt>
                <c:pt idx="56">
                  <c:v>30.686559093817529</c:v>
                </c:pt>
                <c:pt idx="57">
                  <c:v>30.876997050250623</c:v>
                </c:pt>
                <c:pt idx="58">
                  <c:v>31.079806700941063</c:v>
                </c:pt>
                <c:pt idx="59">
                  <c:v>31.29491414383088</c:v>
                </c:pt>
                <c:pt idx="60">
                  <c:v>31.522239156663744</c:v>
                </c:pt>
                <c:pt idx="61">
                  <c:v>31.761694877806473</c:v>
                </c:pt>
                <c:pt idx="62">
                  <c:v>32.013187481032894</c:v>
                </c:pt>
                <c:pt idx="63">
                  <c:v>32.276615846495162</c:v>
                </c:pt>
                <c:pt idx="64">
                  <c:v>32.551871230276404</c:v>
                </c:pt>
                <c:pt idx="65">
                  <c:v>32.838836935044249</c:v>
                </c:pt>
                <c:pt idx="66">
                  <c:v>33.137387984483276</c:v>
                </c:pt>
                <c:pt idx="67">
                  <c:v>33.447390804298081</c:v>
                </c:pt>
                <c:pt idx="68">
                  <c:v>33.768702912710957</c:v>
                </c:pt>
                <c:pt idx="69">
                  <c:v>34.101172623473211</c:v>
                </c:pt>
                <c:pt idx="70">
                  <c:v>34.444638764506664</c:v>
                </c:pt>
                <c:pt idx="71">
                  <c:v>34.798930415349851</c:v>
                </c:pt>
                <c:pt idx="72">
                  <c:v>35.163866666634846</c:v>
                </c:pt>
                <c:pt idx="73">
                  <c:v>35.539256404838426</c:v>
                </c:pt>
                <c:pt idx="74">
                  <c:v>35.924898125533915</c:v>
                </c:pt>
                <c:pt idx="75">
                  <c:v>36.320579778332977</c:v>
                </c:pt>
                <c:pt idx="76">
                  <c:v>36.726078646621851</c:v>
                </c:pt>
                <c:pt idx="77">
                  <c:v>37.141161265089018</c:v>
                </c:pt>
                <c:pt idx="78">
                  <c:v>37.56558337787677</c:v>
                </c:pt>
                <c:pt idx="79">
                  <c:v>37.999089940000935</c:v>
                </c:pt>
                <c:pt idx="80">
                  <c:v>38.441415164446127</c:v>
                </c:pt>
                <c:pt idx="81">
                  <c:v>38.892282617071082</c:v>
                </c:pt>
                <c:pt idx="82">
                  <c:v>39.351405361130979</c:v>
                </c:pt>
                <c:pt idx="83">
                  <c:v>39.818486152887623</c:v>
                </c:pt>
                <c:pt idx="84">
                  <c:v>40.293217689372398</c:v>
                </c:pt>
                <c:pt idx="85">
                  <c:v>40.7752829089522</c:v>
                </c:pt>
                <c:pt idx="86">
                  <c:v>41.264355344898384</c:v>
                </c:pt>
                <c:pt idx="87">
                  <c:v>41.760099531680922</c:v>
                </c:pt>
                <c:pt idx="88">
                  <c:v>42.262171463224163</c:v>
                </c:pt>
                <c:pt idx="89">
                  <c:v>42.770219101850962</c:v>
                </c:pt>
                <c:pt idx="90">
                  <c:v>43.283882936143861</c:v>
                </c:pt>
                <c:pt idx="91">
                  <c:v>43.802796585447794</c:v>
                </c:pt>
                <c:pt idx="92">
                  <c:v>44.326587448239209</c:v>
                </c:pt>
                <c:pt idx="93">
                  <c:v>44.854877391131616</c:v>
                </c:pt>
                <c:pt idx="94">
                  <c:v>45.387283474827903</c:v>
                </c:pt>
                <c:pt idx="95">
                  <c:v>45.923418712928978</c:v>
                </c:pt>
                <c:pt idx="96">
                  <c:v>46.462892859138016</c:v>
                </c:pt>
                <c:pt idx="97">
                  <c:v>47.005313218082463</c:v>
                </c:pt>
                <c:pt idx="98">
                  <c:v>47.550285474711089</c:v>
                </c:pt>
                <c:pt idx="99">
                  <c:v>48.097414537016348</c:v>
                </c:pt>
                <c:pt idx="100">
                  <c:v>48.646305386690258</c:v>
                </c:pt>
                <c:pt idx="101">
                  <c:v>49.196563932246036</c:v>
                </c:pt>
                <c:pt idx="102">
                  <c:v>49.747797859122663</c:v>
                </c:pt>
                <c:pt idx="103">
                  <c:v>50.299617471345265</c:v>
                </c:pt>
                <c:pt idx="104">
                  <c:v>50.851636519435488</c:v>
                </c:pt>
                <c:pt idx="105">
                  <c:v>51.403473009437647</c:v>
                </c:pt>
                <c:pt idx="106">
                  <c:v>51.954749988179145</c:v>
                </c:pt>
                <c:pt idx="107">
                  <c:v>52.505096300162563</c:v>
                </c:pt>
                <c:pt idx="108">
                  <c:v>53.05414731183027</c:v>
                </c:pt>
                <c:pt idx="109">
                  <c:v>53.601545599325142</c:v>
                </c:pt>
                <c:pt idx="110">
                  <c:v>54.146941596279191</c:v>
                </c:pt>
                <c:pt idx="111">
                  <c:v>54.689994198603458</c:v>
                </c:pt>
                <c:pt idx="112">
                  <c:v>55.230371323711964</c:v>
                </c:pt>
                <c:pt idx="113">
                  <c:v>55.767750422079082</c:v>
                </c:pt>
                <c:pt idx="114">
                  <c:v>56.301818939499547</c:v>
                </c:pt>
                <c:pt idx="115">
                  <c:v>56.832274728899243</c:v>
                </c:pt>
                <c:pt idx="116">
                  <c:v>57.358826410990204</c:v>
                </c:pt>
                <c:pt idx="117">
                  <c:v>57.881193683510425</c:v>
                </c:pt>
                <c:pt idx="118">
                  <c:v>58.399107579223646</c:v>
                </c:pt>
                <c:pt idx="119">
                  <c:v>58.912310673220347</c:v>
                </c:pt>
                <c:pt idx="120">
                  <c:v>59.42055724045634</c:v>
                </c:pt>
                <c:pt idx="121">
                  <c:v>59.923613364784927</c:v>
                </c:pt>
                <c:pt idx="122">
                  <c:v>60.421257001031535</c:v>
                </c:pt>
                <c:pt idx="123">
                  <c:v>60.913277991939026</c:v>
                </c:pt>
                <c:pt idx="124">
                  <c:v>61.399478042026011</c:v>
                </c:pt>
                <c:pt idx="125">
                  <c:v>61.879670650591144</c:v>
                </c:pt>
                <c:pt idx="126">
                  <c:v>62.353681006264665</c:v>
                </c:pt>
                <c:pt idx="127">
                  <c:v>62.821345845607823</c:v>
                </c:pt>
                <c:pt idx="128">
                  <c:v>63.282513278367055</c:v>
                </c:pt>
                <c:pt idx="129">
                  <c:v>63.73704258204193</c:v>
                </c:pt>
                <c:pt idx="130">
                  <c:v>64.184803968441813</c:v>
                </c:pt>
                <c:pt idx="131">
                  <c:v>64.625678324927904</c:v>
                </c:pt>
                <c:pt idx="132">
                  <c:v>65.059556933001687</c:v>
                </c:pt>
                <c:pt idx="133">
                  <c:v>65.486341166860797</c:v>
                </c:pt>
                <c:pt idx="134">
                  <c:v>65.905942174481623</c:v>
                </c:pt>
                <c:pt idx="135">
                  <c:v>66.318280543713058</c:v>
                </c:pt>
                <c:pt idx="136">
                  <c:v>66.723285955771544</c:v>
                </c:pt>
                <c:pt idx="137">
                  <c:v>67.120896828418537</c:v>
                </c:pt>
                <c:pt idx="138">
                  <c:v>67.511059951002636</c:v>
                </c:pt>
                <c:pt idx="139">
                  <c:v>67.893730113416453</c:v>
                </c:pt>
                <c:pt idx="140">
                  <c:v>68.268869730902026</c:v>
                </c:pt>
                <c:pt idx="141">
                  <c:v>68.636448466502515</c:v>
                </c:pt>
                <c:pt idx="142">
                  <c:v>68.996442852838427</c:v>
                </c:pt>
                <c:pt idx="143">
                  <c:v>69.348835914743546</c:v>
                </c:pt>
                <c:pt idx="144">
                  <c:v>69.693616794176521</c:v>
                </c:pt>
                <c:pt idx="145">
                  <c:v>70.030780378689684</c:v>
                </c:pt>
                <c:pt idx="146">
                  <c:v>70.360326934613028</c:v>
                </c:pt>
                <c:pt idx="147">
                  <c:v>70.682261745990289</c:v>
                </c:pt>
                <c:pt idx="148">
                  <c:v>70.996594760183839</c:v>
                </c:pt>
                <c:pt idx="149">
                  <c:v>71.303340240954</c:v>
                </c:pt>
                <c:pt idx="150">
                  <c:v>71.602516429715337</c:v>
                </c:pt>
                <c:pt idx="151">
                  <c:v>71.894145215555213</c:v>
                </c:pt>
                <c:pt idx="152">
                  <c:v>72.178251814524998</c:v>
                </c:pt>
                <c:pt idx="153">
                  <c:v>72.454864458607204</c:v>
                </c:pt>
                <c:pt idx="154">
                  <c:v>72.724014094680896</c:v>
                </c:pt>
                <c:pt idx="155">
                  <c:v>72.98573409373769</c:v>
                </c:pt>
                <c:pt idx="156">
                  <c:v>73.240059970516654</c:v>
                </c:pt>
                <c:pt idx="157">
                  <c:v>73.487029113668939</c:v>
                </c:pt>
                <c:pt idx="158">
                  <c:v>73.726680526499692</c:v>
                </c:pt>
                <c:pt idx="159">
                  <c:v>73.959054578276081</c:v>
                </c:pt>
                <c:pt idx="160">
                  <c:v>74.184192766049605</c:v>
                </c:pt>
                <c:pt idx="161">
                  <c:v>74.402137486887938</c:v>
                </c:pt>
                <c:pt idx="162">
                  <c:v>74.612931820378208</c:v>
                </c:pt>
                <c:pt idx="163">
                  <c:v>74.816619321226995</c:v>
                </c:pt>
                <c:pt idx="164">
                  <c:v>75.013243821753917</c:v>
                </c:pt>
                <c:pt idx="165">
                  <c:v>75.202849244047457</c:v>
                </c:pt>
                <c:pt idx="166">
                  <c:v>75.385479421535138</c:v>
                </c:pt>
                <c:pt idx="167">
                  <c:v>75.561177929695063</c:v>
                </c:pt>
                <c:pt idx="168">
                  <c:v>75.729987925629615</c:v>
                </c:pt>
                <c:pt idx="169">
                  <c:v>75.891951996203147</c:v>
                </c:pt>
                <c:pt idx="170">
                  <c:v>76.047112014442845</c:v>
                </c:pt>
                <c:pt idx="171">
                  <c:v>76.195509003892127</c:v>
                </c:pt>
                <c:pt idx="172">
                  <c:v>76.337183010605315</c:v>
                </c:pt>
                <c:pt idx="173">
                  <c:v>76.472172982469104</c:v>
                </c:pt>
                <c:pt idx="174">
                  <c:v>76.600516655539053</c:v>
                </c:pt>
                <c:pt idx="175">
                  <c:v>76.722250447078267</c:v>
                </c:pt>
                <c:pt idx="176">
                  <c:v>76.837409354994449</c:v>
                </c:pt>
                <c:pt idx="177">
                  <c:v>76.946026863372666</c:v>
                </c:pt>
                <c:pt idx="178">
                  <c:v>77.048134853809316</c:v>
                </c:pt>
                <c:pt idx="179">
                  <c:v>77.143763522260002</c:v>
                </c:pt>
                <c:pt idx="180">
                  <c:v>77.232941301125109</c:v>
                </c:pt>
                <c:pt idx="181">
                  <c:v>77.315694786300156</c:v>
                </c:pt>
                <c:pt idx="182">
                  <c:v>77.3920486689359</c:v>
                </c:pt>
                <c:pt idx="183">
                  <c:v>77.462025671656164</c:v>
                </c:pt>
                <c:pt idx="184">
                  <c:v>77.525646488998888</c:v>
                </c:pt>
                <c:pt idx="185">
                  <c:v>77.582929731851493</c:v>
                </c:pt>
                <c:pt idx="186">
                  <c:v>77.633891875669107</c:v>
                </c:pt>
                <c:pt idx="187">
                  <c:v>77.678547212269677</c:v>
                </c:pt>
                <c:pt idx="188">
                  <c:v>77.716907805020725</c:v>
                </c:pt>
                <c:pt idx="189">
                  <c:v>77.748983447234153</c:v>
                </c:pt>
                <c:pt idx="190">
                  <c:v>77.774781623608291</c:v>
                </c:pt>
                <c:pt idx="191">
                  <c:v>77.79430747456199</c:v>
                </c:pt>
                <c:pt idx="192">
                  <c:v>77.807563763320701</c:v>
                </c:pt>
                <c:pt idx="193">
                  <c:v>77.814550845627764</c:v>
                </c:pt>
                <c:pt idx="194">
                  <c:v>77.815266641964115</c:v>
                </c:pt>
                <c:pt idx="195">
                  <c:v>77.809706612175376</c:v>
                </c:pt>
                <c:pt idx="196">
                  <c:v>77.797863732415721</c:v>
                </c:pt>
                <c:pt idx="197">
                  <c:v>77.779728474331918</c:v>
                </c:pt>
                <c:pt idx="198">
                  <c:v>77.755288786420891</c:v>
                </c:pt>
                <c:pt idx="199">
                  <c:v>77.724530077512597</c:v>
                </c:pt>
                <c:pt idx="200">
                  <c:v>77.687435202333745</c:v>
                </c:pt>
                <c:pt idx="201">
                  <c:v>77.643984449130869</c:v>
                </c:pt>
                <c:pt idx="202">
                  <c:v>77.594155529333648</c:v>
                </c:pt>
                <c:pt idx="203">
                  <c:v>77.537923569261864</c:v>
                </c:pt>
                <c:pt idx="204">
                  <c:v>77.475261103882588</c:v>
                </c:pt>
                <c:pt idx="205">
                  <c:v>77.406138072646812</c:v>
                </c:pt>
                <c:pt idx="206">
                  <c:v>77.330521817436463</c:v>
                </c:pt>
                <c:pt idx="207">
                  <c:v>77.248377082679042</c:v>
                </c:pt>
                <c:pt idx="208">
                  <c:v>77.159666017686064</c:v>
                </c:pt>
                <c:pt idx="209">
                  <c:v>77.064348181296694</c:v>
                </c:pt>
                <c:pt idx="210">
                  <c:v>76.962380548912307</c:v>
                </c:pt>
                <c:pt idx="211">
                  <c:v>76.853717522027949</c:v>
                </c:pt>
                <c:pt idx="212">
                  <c:v>76.738310940374589</c:v>
                </c:pt>
                <c:pt idx="213">
                  <c:v>76.61611009680405</c:v>
                </c:pt>
                <c:pt idx="214">
                  <c:v>76.487061755058178</c:v>
                </c:pt>
                <c:pt idx="215">
                  <c:v>76.351110170582331</c:v>
                </c:pt>
                <c:pt idx="216">
                  <c:v>76.208197114551595</c:v>
                </c:pt>
                <c:pt idx="217">
                  <c:v>76.058261901297797</c:v>
                </c:pt>
                <c:pt idx="218">
                  <c:v>75.901241419334355</c:v>
                </c:pt>
                <c:pt idx="219">
                  <c:v>75.737070166193035</c:v>
                </c:pt>
                <c:pt idx="220">
                  <c:v>75.565680287300111</c:v>
                </c:pt>
                <c:pt idx="221">
                  <c:v>75.38700161913134</c:v>
                </c:pt>
                <c:pt idx="222">
                  <c:v>75.200961736902443</c:v>
                </c:pt>
                <c:pt idx="223">
                  <c:v>75.007486007059768</c:v>
                </c:pt>
                <c:pt idx="224">
                  <c:v>74.806497644855156</c:v>
                </c:pt>
                <c:pt idx="225">
                  <c:v>74.597917777295564</c:v>
                </c:pt>
                <c:pt idx="226">
                  <c:v>74.381665511775353</c:v>
                </c:pt>
                <c:pt idx="227">
                  <c:v>74.157658010705362</c:v>
                </c:pt>
                <c:pt idx="228">
                  <c:v>73.925810572469047</c:v>
                </c:pt>
                <c:pt idx="229">
                  <c:v>73.686036719037375</c:v>
                </c:pt>
                <c:pt idx="230">
                  <c:v>73.438248290594856</c:v>
                </c:pt>
                <c:pt idx="231">
                  <c:v>73.182355547520658</c:v>
                </c:pt>
                <c:pt idx="232">
                  <c:v>72.918267280088116</c:v>
                </c:pt>
                <c:pt idx="233">
                  <c:v>72.645890926238948</c:v>
                </c:pt>
                <c:pt idx="234">
                  <c:v>72.365132697797719</c:v>
                </c:pt>
                <c:pt idx="235">
                  <c:v>72.075897715484459</c:v>
                </c:pt>
                <c:pt idx="236">
                  <c:v>71.778090153084662</c:v>
                </c:pt>
                <c:pt idx="237">
                  <c:v>71.47161339112499</c:v>
                </c:pt>
                <c:pt idx="238">
                  <c:v>71.156370180396678</c:v>
                </c:pt>
                <c:pt idx="239">
                  <c:v>70.832262815650296</c:v>
                </c:pt>
                <c:pt idx="240">
                  <c:v>70.499193319772473</c:v>
                </c:pt>
                <c:pt idx="241">
                  <c:v>70.157063638725901</c:v>
                </c:pt>
                <c:pt idx="242">
                  <c:v>69.805775847512962</c:v>
                </c:pt>
                <c:pt idx="243">
                  <c:v>69.445232367385344</c:v>
                </c:pt>
                <c:pt idx="244">
                  <c:v>69.075336194485871</c:v>
                </c:pt>
                <c:pt idx="245">
                  <c:v>68.695991140060571</c:v>
                </c:pt>
                <c:pt idx="246">
                  <c:v>68.30710208233036</c:v>
                </c:pt>
                <c:pt idx="247">
                  <c:v>67.908575230049749</c:v>
                </c:pt>
                <c:pt idx="248">
                  <c:v>67.500318397717336</c:v>
                </c:pt>
                <c:pt idx="249">
                  <c:v>67.082241292320646</c:v>
                </c:pt>
                <c:pt idx="250">
                  <c:v>66.65425581142695</c:v>
                </c:pt>
                <c:pt idx="251">
                  <c:v>66.21627635232835</c:v>
                </c:pt>
                <c:pt idx="252">
                  <c:v>65.768220131862321</c:v>
                </c:pt>
                <c:pt idx="253">
                  <c:v>65.31000751640768</c:v>
                </c:pt>
                <c:pt idx="254">
                  <c:v>64.841562361451523</c:v>
                </c:pt>
                <c:pt idx="255">
                  <c:v>64.362812359991054</c:v>
                </c:pt>
                <c:pt idx="256">
                  <c:v>63.873689398900616</c:v>
                </c:pt>
                <c:pt idx="257">
                  <c:v>63.374129922257048</c:v>
                </c:pt>
                <c:pt idx="258">
                  <c:v>62.864075300465771</c:v>
                </c:pt>
                <c:pt idx="259">
                  <c:v>62.343472203875109</c:v>
                </c:pt>
                <c:pt idx="260">
                  <c:v>61.812272979408988</c:v>
                </c:pt>
                <c:pt idx="261">
                  <c:v>61.270436028583845</c:v>
                </c:pt>
                <c:pt idx="262">
                  <c:v>60.717926185107743</c:v>
                </c:pt>
                <c:pt idx="263">
                  <c:v>60.154715090092992</c:v>
                </c:pt>
                <c:pt idx="264">
                  <c:v>59.580781562747696</c:v>
                </c:pt>
                <c:pt idx="265">
                  <c:v>58.996111964253316</c:v>
                </c:pt>
                <c:pt idx="266">
                  <c:v>58.400700552364604</c:v>
                </c:pt>
                <c:pt idx="267">
                  <c:v>57.794549824138784</c:v>
                </c:pt>
                <c:pt idx="268">
                  <c:v>57.177670844045011</c:v>
                </c:pt>
                <c:pt idx="269">
                  <c:v>56.550083554592554</c:v>
                </c:pt>
                <c:pt idx="270">
                  <c:v>55.911817066507929</c:v>
                </c:pt>
                <c:pt idx="271">
                  <c:v>55.262909925402063</c:v>
                </c:pt>
                <c:pt idx="272">
                  <c:v>54.603410351815107</c:v>
                </c:pt>
                <c:pt idx="273">
                  <c:v>53.933376451483213</c:v>
                </c:pt>
                <c:pt idx="274">
                  <c:v>53.25287639267701</c:v>
                </c:pt>
                <c:pt idx="275">
                  <c:v>52.561988547487346</c:v>
                </c:pt>
                <c:pt idx="276">
                  <c:v>51.860801594002595</c:v>
                </c:pt>
                <c:pt idx="277">
                  <c:v>51.14941457642783</c:v>
                </c:pt>
                <c:pt idx="278">
                  <c:v>50.427936920341544</c:v>
                </c:pt>
                <c:pt idx="279">
                  <c:v>49.696488400482068</c:v>
                </c:pt>
                <c:pt idx="280">
                  <c:v>48.955199058674189</c:v>
                </c:pt>
                <c:pt idx="281">
                  <c:v>48.204209069808172</c:v>
                </c:pt>
                <c:pt idx="282">
                  <c:v>47.443668554067791</c:v>
                </c:pt>
                <c:pt idx="283">
                  <c:v>46.673737334006404</c:v>
                </c:pt>
                <c:pt idx="284">
                  <c:v>45.894584635434356</c:v>
                </c:pt>
                <c:pt idx="285">
                  <c:v>45.106388731541188</c:v>
                </c:pt>
                <c:pt idx="286">
                  <c:v>44.30933653013436</c:v>
                </c:pt>
                <c:pt idx="287">
                  <c:v>43.503623104376238</c:v>
                </c:pt>
                <c:pt idx="288">
                  <c:v>42.689451167916914</c:v>
                </c:pt>
                <c:pt idx="289">
                  <c:v>41.867030495847565</c:v>
                </c:pt>
                <c:pt idx="290">
                  <c:v>41.036577293449604</c:v>
                </c:pt>
                <c:pt idx="291">
                  <c:v>40.198313515239285</c:v>
                </c:pt>
                <c:pt idx="292">
                  <c:v>39.352466137346958</c:v>
                </c:pt>
                <c:pt idx="293">
                  <c:v>38.499266386780974</c:v>
                </c:pt>
                <c:pt idx="294">
                  <c:v>37.638948931605633</c:v>
                </c:pt>
                <c:pt idx="295">
                  <c:v>36.771751036535363</c:v>
                </c:pt>
                <c:pt idx="296">
                  <c:v>35.897911688835912</c:v>
                </c:pt>
                <c:pt idx="297">
                  <c:v>35.017670699804349</c:v>
                </c:pt>
                <c:pt idx="298">
                  <c:v>34.131267787401576</c:v>
                </c:pt>
                <c:pt idx="299">
                  <c:v>33.238941645859171</c:v>
                </c:pt>
                <c:pt idx="300">
                  <c:v>32.340929008265178</c:v>
                </c:pt>
                <c:pt idx="301">
                  <c:v>31.437463708244525</c:v>
                </c:pt>
                <c:pt idx="302">
                  <c:v>30.528775746901964</c:v>
                </c:pt>
                <c:pt idx="303">
                  <c:v>29.615090371153045</c:v>
                </c:pt>
                <c:pt idx="304">
                  <c:v>28.696627169486948</c:v>
                </c:pt>
                <c:pt idx="305">
                  <c:v>27.77359919102717</c:v>
                </c:pt>
                <c:pt idx="306">
                  <c:v>26.8462120935271</c:v>
                </c:pt>
                <c:pt idx="307">
                  <c:v>25.914663325655344</c:v>
                </c:pt>
                <c:pt idx="308">
                  <c:v>24.979141348565786</c:v>
                </c:pt>
                <c:pt idx="309">
                  <c:v>24.039824901372043</c:v>
                </c:pt>
                <c:pt idx="310">
                  <c:v>23.096882314690593</c:v>
                </c:pt>
                <c:pt idx="311">
                  <c:v>22.150470875977401</c:v>
                </c:pt>
                <c:pt idx="312">
                  <c:v>21.200736249866758</c:v>
                </c:pt>
                <c:pt idx="313">
                  <c:v>20.247811956236038</c:v>
                </c:pt>
                <c:pt idx="314">
                  <c:v>19.291818908188997</c:v>
                </c:pt>
                <c:pt idx="315">
                  <c:v>18.332865011659717</c:v>
                </c:pt>
                <c:pt idx="316">
                  <c:v>17.371044827804514</c:v>
                </c:pt>
                <c:pt idx="317">
                  <c:v>16.406439298894202</c:v>
                </c:pt>
                <c:pt idx="318">
                  <c:v>15.439115537917546</c:v>
                </c:pt>
                <c:pt idx="319">
                  <c:v>14.469126681704788</c:v>
                </c:pt>
                <c:pt idx="320">
                  <c:v>13.496511806932459</c:v>
                </c:pt>
                <c:pt idx="321">
                  <c:v>12.521295908036011</c:v>
                </c:pt>
                <c:pt idx="322">
                  <c:v>11.543489935704562</c:v>
                </c:pt>
                <c:pt idx="323">
                  <c:v>10.563090894345557</c:v>
                </c:pt>
                <c:pt idx="324">
                  <c:v>9.5800819966593949</c:v>
                </c:pt>
                <c:pt idx="325">
                  <c:v>8.5944328732716944</c:v>
                </c:pt>
                <c:pt idx="326">
                  <c:v>7.6060998351862832</c:v>
                </c:pt>
                <c:pt idx="327">
                  <c:v>6.615026186712968</c:v>
                </c:pt>
                <c:pt idx="328">
                  <c:v>5.6211425864526969</c:v>
                </c:pt>
                <c:pt idx="329">
                  <c:v>4.62436745384215</c:v>
                </c:pt>
                <c:pt idx="330">
                  <c:v>3.6246074188022801</c:v>
                </c:pt>
                <c:pt idx="331">
                  <c:v>2.6217578119913858</c:v>
                </c:pt>
                <c:pt idx="332">
                  <c:v>1.615703193268651</c:v>
                </c:pt>
                <c:pt idx="333">
                  <c:v>0.60631791599680485</c:v>
                </c:pt>
                <c:pt idx="334">
                  <c:v>-0.40653327505907927</c:v>
                </c:pt>
                <c:pt idx="335">
                  <c:v>-1.4229946144113939</c:v>
                </c:pt>
                <c:pt idx="336">
                  <c:v>-2.4432186571262218</c:v>
                </c:pt>
                <c:pt idx="337">
                  <c:v>-3.467365592628231</c:v>
                </c:pt>
                <c:pt idx="338">
                  <c:v>-4.4956025328035256</c:v>
                </c:pt>
                <c:pt idx="339">
                  <c:v>-5.5281027760552943</c:v>
                </c:pt>
                <c:pt idx="340">
                  <c:v>-6.5650450488368692</c:v>
                </c:pt>
                <c:pt idx="341">
                  <c:v>-7.6066127260615435</c:v>
                </c:pt>
                <c:pt idx="342">
                  <c:v>-8.6529930316694177</c:v>
                </c:pt>
                <c:pt idx="343">
                  <c:v>-9.7043762205362292</c:v>
                </c:pt>
                <c:pt idx="344">
                  <c:v>-10.760954742814164</c:v>
                </c:pt>
                <c:pt idx="345">
                  <c:v>-11.822922391717658</c:v>
                </c:pt>
                <c:pt idx="346">
                  <c:v>-12.890473435717267</c:v>
                </c:pt>
                <c:pt idx="347">
                  <c:v>-13.963801736058244</c:v>
                </c:pt>
                <c:pt idx="348">
                  <c:v>-15.043099850514947</c:v>
                </c:pt>
                <c:pt idx="349">
                  <c:v>-16.128558124285878</c:v>
                </c:pt>
                <c:pt idx="350">
                  <c:v>-17.220363768971467</c:v>
                </c:pt>
                <c:pt idx="351">
                  <c:v>-18.318699930619758</c:v>
                </c:pt>
                <c:pt idx="352">
                  <c:v>-19.423744747913599</c:v>
                </c:pt>
                <c:pt idx="353">
                  <c:v>-20.535670401652752</c:v>
                </c:pt>
                <c:pt idx="354">
                  <c:v>-21.654642156836061</c:v>
                </c:pt>
                <c:pt idx="355">
                  <c:v>-22.780817398759034</c:v>
                </c:pt>
                <c:pt idx="356">
                  <c:v>-23.914344664749244</c:v>
                </c:pt>
                <c:pt idx="357">
                  <c:v>-25.055362673324261</c:v>
                </c:pt>
                <c:pt idx="358">
                  <c:v>-26.203999352780411</c:v>
                </c:pt>
                <c:pt idx="359">
                  <c:v>-27.360370871447326</c:v>
                </c:pt>
                <c:pt idx="360">
                  <c:v>-28.524580672088039</c:v>
                </c:pt>
                <c:pt idx="361">
                  <c:v>-29.696718513176357</c:v>
                </c:pt>
                <c:pt idx="362">
                  <c:v>-30.876859520058812</c:v>
                </c:pt>
                <c:pt idx="363">
                  <c:v>-32.065063249280094</c:v>
                </c:pt>
                <c:pt idx="364">
                  <c:v>-33.261372769624401</c:v>
                </c:pt>
                <c:pt idx="365">
                  <c:v>-34.465813763704652</c:v>
                </c:pt>
                <c:pt idx="366">
                  <c:v>-35.678393654209003</c:v>
                </c:pt>
                <c:pt idx="367">
                  <c:v>-36.899100759153463</c:v>
                </c:pt>
                <c:pt idx="368">
                  <c:v>-38.12790348075881</c:v>
                </c:pt>
                <c:pt idx="369">
                  <c:v>-39.364749532773338</c:v>
                </c:pt>
                <c:pt idx="370">
                  <c:v>-40.609565211262222</c:v>
                </c:pt>
                <c:pt idx="371">
                  <c:v>-41.862254714056782</c:v>
                </c:pt>
                <c:pt idx="372">
                  <c:v>-43.12269951416426</c:v>
                </c:pt>
                <c:pt idx="373">
                  <c:v>-44.390757792529321</c:v>
                </c:pt>
                <c:pt idx="374">
                  <c:v>-45.666263935566015</c:v>
                </c:pt>
                <c:pt idx="375">
                  <c:v>-46.949028102848267</c:v>
                </c:pt>
                <c:pt idx="376">
                  <c:v>-48.238835870263941</c:v>
                </c:pt>
                <c:pt idx="377">
                  <c:v>-49.535447953790886</c:v>
                </c:pt>
                <c:pt idx="378">
                  <c:v>-50.83860001882524</c:v>
                </c:pt>
                <c:pt idx="379">
                  <c:v>-52.148002579714678</c:v>
                </c:pt>
                <c:pt idx="380">
                  <c:v>-53.463340993780648</c:v>
                </c:pt>
                <c:pt idx="381">
                  <c:v>-54.784275553685418</c:v>
                </c:pt>
                <c:pt idx="382">
                  <c:v>-56.110441681492134</c:v>
                </c:pt>
                <c:pt idx="383">
                  <c:v>-57.441450227188597</c:v>
                </c:pt>
                <c:pt idx="384">
                  <c:v>-58.776887873810331</c:v>
                </c:pt>
                <c:pt idx="385">
                  <c:v>-60.116317650582907</c:v>
                </c:pt>
                <c:pt idx="386">
                  <c:v>-61.459279554757643</c:v>
                </c:pt>
                <c:pt idx="387">
                  <c:v>-62.8052912819917</c:v>
                </c:pt>
                <c:pt idx="388">
                  <c:v>-64.153849064287485</c:v>
                </c:pt>
                <c:pt idx="389">
                  <c:v>-65.504428613616426</c:v>
                </c:pt>
                <c:pt idx="390">
                  <c:v>-66.856486168468038</c:v>
                </c:pt>
                <c:pt idx="391">
                  <c:v>-68.209459639650618</c:v>
                </c:pt>
                <c:pt idx="392">
                  <c:v>-69.562769850780029</c:v>
                </c:pt>
                <c:pt idx="393">
                  <c:v>-70.915821868009544</c:v>
                </c:pt>
                <c:pt idx="394">
                  <c:v>-72.268006412712296</c:v>
                </c:pt>
                <c:pt idx="395">
                  <c:v>-73.618701350025049</c:v>
                </c:pt>
                <c:pt idx="396">
                  <c:v>-74.967273245415853</c:v>
                </c:pt>
                <c:pt idx="397">
                  <c:v>-76.313078980779295</c:v>
                </c:pt>
                <c:pt idx="398">
                  <c:v>-77.655467420958104</c:v>
                </c:pt>
                <c:pt idx="399">
                  <c:v>-78.993781121104021</c:v>
                </c:pt>
                <c:pt idx="400">
                  <c:v>-80.327358064887605</c:v>
                </c:pt>
                <c:pt idx="401">
                  <c:v>-81.655533423285561</c:v>
                </c:pt>
                <c:pt idx="402">
                  <c:v>-82.977641323486537</c:v>
                </c:pt>
                <c:pt idx="403">
                  <c:v>-84.293016617409108</c:v>
                </c:pt>
                <c:pt idx="404">
                  <c:v>-85.600996639376859</c:v>
                </c:pt>
                <c:pt idx="405">
                  <c:v>-86.900922942671187</c:v>
                </c:pt>
                <c:pt idx="406">
                  <c:v>-88.192143004973929</c:v>
                </c:pt>
                <c:pt idx="407">
                  <c:v>-89.474011893107118</c:v>
                </c:pt>
                <c:pt idx="408">
                  <c:v>-90.745893877983306</c:v>
                </c:pt>
                <c:pt idx="409">
                  <c:v>-92.007163991268953</c:v>
                </c:pt>
                <c:pt idx="410">
                  <c:v>-93.257209515948048</c:v>
                </c:pt>
                <c:pt idx="411">
                  <c:v>-94.495431403725632</c:v>
                </c:pt>
                <c:pt idx="412">
                  <c:v>-95.721245613028543</c:v>
                </c:pt>
                <c:pt idx="413">
                  <c:v>-96.934084362217092</c:v>
                </c:pt>
                <c:pt idx="414">
                  <c:v>-98.133397293531615</c:v>
                </c:pt>
                <c:pt idx="415">
                  <c:v>-99.318652544210892</c:v>
                </c:pt>
                <c:pt idx="416">
                  <c:v>-100.48933772215555</c:v>
                </c:pt>
                <c:pt idx="417">
                  <c:v>-101.64496078443246</c:v>
                </c:pt>
                <c:pt idx="418">
                  <c:v>-102.78505081782627</c:v>
                </c:pt>
                <c:pt idx="419">
                  <c:v>-103.90915872152813</c:v>
                </c:pt>
                <c:pt idx="420">
                  <c:v>-105.01685779289683</c:v>
                </c:pt>
                <c:pt idx="421">
                  <c:v>-106.10774421801821</c:v>
                </c:pt>
                <c:pt idx="422">
                  <c:v>-107.18143746952951</c:v>
                </c:pt>
                <c:pt idx="423">
                  <c:v>-108.23758061486203</c:v>
                </c:pt>
                <c:pt idx="424">
                  <c:v>-109.27584053864712</c:v>
                </c:pt>
                <c:pt idx="425">
                  <c:v>-110.29590808358699</c:v>
                </c:pt>
                <c:pt idx="426">
                  <c:v>-111.29749811454217</c:v>
                </c:pt>
                <c:pt idx="427">
                  <c:v>-112.28034951097175</c:v>
                </c:pt>
                <c:pt idx="428">
                  <c:v>-113.24422509318367</c:v>
                </c:pt>
                <c:pt idx="429">
                  <c:v>-114.18891148808325</c:v>
                </c:pt>
                <c:pt idx="430">
                  <c:v>-115.11421894025234</c:v>
                </c:pt>
                <c:pt idx="431">
                  <c:v>-116.01998107431301</c:v>
                </c:pt>
                <c:pt idx="432">
                  <c:v>-116.90605461452012</c:v>
                </c:pt>
                <c:pt idx="433">
                  <c:v>-117.77231906751349</c:v>
                </c:pt>
                <c:pt idx="434">
                  <c:v>-118.61867637403589</c:v>
                </c:pt>
                <c:pt idx="435">
                  <c:v>-119.44505053529035</c:v>
                </c:pt>
                <c:pt idx="436">
                  <c:v>-120.25138721939641</c:v>
                </c:pt>
                <c:pt idx="437">
                  <c:v>-121.03765335315771</c:v>
                </c:pt>
                <c:pt idx="438">
                  <c:v>-121.80383670407441</c:v>
                </c:pt>
                <c:pt idx="439">
                  <c:v>-122.5499454572072</c:v>
                </c:pt>
                <c:pt idx="440">
                  <c:v>-123.27600779115365</c:v>
                </c:pt>
                <c:pt idx="441">
                  <c:v>-123.98207145703023</c:v>
                </c:pt>
                <c:pt idx="442">
                  <c:v>-124.66820336394736</c:v>
                </c:pt>
                <c:pt idx="443">
                  <c:v>-125.33448917406935</c:v>
                </c:pt>
                <c:pt idx="444">
                  <c:v>-125.98103290992454</c:v>
                </c:pt>
                <c:pt idx="445">
                  <c:v>-126.60795657619887</c:v>
                </c:pt>
                <c:pt idx="446">
                  <c:v>-127.21539979781657</c:v>
                </c:pt>
                <c:pt idx="447">
                  <c:v>-127.80351947567372</c:v>
                </c:pt>
                <c:pt idx="448">
                  <c:v>-128.37248946095198</c:v>
                </c:pt>
                <c:pt idx="449">
                  <c:v>-128.9225002485106</c:v>
                </c:pt>
                <c:pt idx="450">
                  <c:v>-129.45375868942659</c:v>
                </c:pt>
                <c:pt idx="451">
                  <c:v>-129.96648772233041</c:v>
                </c:pt>
                <c:pt idx="452">
                  <c:v>-130.46092612278412</c:v>
                </c:pt>
                <c:pt idx="453">
                  <c:v>-130.93732826954479</c:v>
                </c:pt>
                <c:pt idx="454">
                  <c:v>-131.39596392617759</c:v>
                </c:pt>
                <c:pt idx="455">
                  <c:v>-131.83711803612024</c:v>
                </c:pt>
                <c:pt idx="456">
                  <c:v>-132.26109052895353</c:v>
                </c:pt>
                <c:pt idx="457">
                  <c:v>-132.66819613530882</c:v>
                </c:pt>
                <c:pt idx="458">
                  <c:v>-133.05876420754413</c:v>
                </c:pt>
                <c:pt idx="459">
                  <c:v>-133.43313854305009</c:v>
                </c:pt>
                <c:pt idx="460">
                  <c:v>-133.79167720680005</c:v>
                </c:pt>
                <c:pt idx="461">
                  <c:v>-134.13475234954828</c:v>
                </c:pt>
                <c:pt idx="462">
                  <c:v>-134.4627500179063</c:v>
                </c:pt>
                <c:pt idx="463">
                  <c:v>-134.77606995238276</c:v>
                </c:pt>
                <c:pt idx="464">
                  <c:v>-135.07512536937938</c:v>
                </c:pt>
                <c:pt idx="465">
                  <c:v>-135.36034272307185</c:v>
                </c:pt>
                <c:pt idx="466">
                  <c:v>-135.63216144310636</c:v>
                </c:pt>
                <c:pt idx="467">
                  <c:v>-135.8910336440579</c:v>
                </c:pt>
                <c:pt idx="468">
                  <c:v>-136.1374238027056</c:v>
                </c:pt>
                <c:pt idx="469">
                  <c:v>-136.37180839929991</c:v>
                </c:pt>
                <c:pt idx="470">
                  <c:v>-136.59467551919064</c:v>
                </c:pt>
                <c:pt idx="471">
                  <c:v>-136.80652441142036</c:v>
                </c:pt>
                <c:pt idx="472">
                  <c:v>-137.00786500118522</c:v>
                </c:pt>
                <c:pt idx="473">
                  <c:v>-137.19921735339551</c:v>
                </c:pt>
                <c:pt idx="474">
                  <c:v>-137.38111108496909</c:v>
                </c:pt>
                <c:pt idx="475">
                  <c:v>-137.55408472391289</c:v>
                </c:pt>
                <c:pt idx="476">
                  <c:v>-137.7186850137355</c:v>
                </c:pt>
                <c:pt idx="477">
                  <c:v>-137.87546616224114</c:v>
                </c:pt>
                <c:pt idx="478">
                  <c:v>-138.02498903429952</c:v>
                </c:pt>
                <c:pt idx="479">
                  <c:v>-138.16782028876571</c:v>
                </c:pt>
                <c:pt idx="480">
                  <c:v>-138.30453146030868</c:v>
                </c:pt>
                <c:pt idx="481">
                  <c:v>-138.43569798751122</c:v>
                </c:pt>
                <c:pt idx="482">
                  <c:v>-138.5618981892151</c:v>
                </c:pt>
                <c:pt idx="483">
                  <c:v>-138.68371219168355</c:v>
                </c:pt>
                <c:pt idx="484">
                  <c:v>-138.80172080974921</c:v>
                </c:pt>
                <c:pt idx="485">
                  <c:v>-138.91650438568143</c:v>
                </c:pt>
                <c:pt idx="486">
                  <c:v>-139.02864159005171</c:v>
                </c:pt>
                <c:pt idx="487">
                  <c:v>-139.13870818938256</c:v>
                </c:pt>
                <c:pt idx="488">
                  <c:v>-139.24727578582252</c:v>
                </c:pt>
                <c:pt idx="489">
                  <c:v>-139.35491053451193</c:v>
                </c:pt>
                <c:pt idx="490">
                  <c:v>-139.46217184465308</c:v>
                </c:pt>
                <c:pt idx="491">
                  <c:v>-139.56961107060269</c:v>
                </c:pt>
                <c:pt idx="492">
                  <c:v>-139.67777019953996</c:v>
                </c:pt>
                <c:pt idx="493">
                  <c:v>-139.7871805424333</c:v>
                </c:pt>
                <c:pt idx="494">
                  <c:v>-139.89836143513921</c:v>
                </c:pt>
                <c:pt idx="495">
                  <c:v>-140.0118189565022</c:v>
                </c:pt>
                <c:pt idx="496">
                  <c:v>-140.1280446703079</c:v>
                </c:pt>
                <c:pt idx="497">
                  <c:v>-140.24751439784882</c:v>
                </c:pt>
                <c:pt idx="498">
                  <c:v>-140.37068702773388</c:v>
                </c:pt>
                <c:pt idx="499">
                  <c:v>-140.49800336936144</c:v>
                </c:pt>
                <c:pt idx="500">
                  <c:v>-140.62988505623991</c:v>
                </c:pt>
                <c:pt idx="501">
                  <c:v>-140.7667335050545</c:v>
                </c:pt>
                <c:pt idx="502">
                  <c:v>-140.90892893603757</c:v>
                </c:pt>
                <c:pt idx="503">
                  <c:v>-141.0568294598618</c:v>
                </c:pt>
                <c:pt idx="504">
                  <c:v>-141.21077023586915</c:v>
                </c:pt>
                <c:pt idx="505">
                  <c:v>-141.37106270604903</c:v>
                </c:pt>
                <c:pt idx="506">
                  <c:v>-141.53799390875665</c:v>
                </c:pt>
                <c:pt idx="507">
                  <c:v>-141.71182587571448</c:v>
                </c:pt>
                <c:pt idx="508">
                  <c:v>-141.89279511539951</c:v>
                </c:pt>
                <c:pt idx="509">
                  <c:v>-142.08111218545773</c:v>
                </c:pt>
                <c:pt idx="510">
                  <c:v>-142.27696135633559</c:v>
                </c:pt>
                <c:pt idx="511">
                  <c:v>-142.48050036785369</c:v>
                </c:pt>
                <c:pt idx="512">
                  <c:v>-142.69186027998029</c:v>
                </c:pt>
                <c:pt idx="513">
                  <c:v>-142.91114541861816</c:v>
                </c:pt>
                <c:pt idx="514">
                  <c:v>-143.1384334167283</c:v>
                </c:pt>
                <c:pt idx="515">
                  <c:v>-143.3737753506806</c:v>
                </c:pt>
                <c:pt idx="516">
                  <c:v>-143.61719597123451</c:v>
                </c:pt>
                <c:pt idx="517">
                  <c:v>-143.86869402810123</c:v>
                </c:pt>
                <c:pt idx="518">
                  <c:v>-144.12824268657795</c:v>
                </c:pt>
                <c:pt idx="519">
                  <c:v>-144.39579003426147</c:v>
                </c:pt>
                <c:pt idx="520">
                  <c:v>-144.67125967541014</c:v>
                </c:pt>
                <c:pt idx="521">
                  <c:v>-144.95455141003868</c:v>
                </c:pt>
                <c:pt idx="522">
                  <c:v>-145.24554199438339</c:v>
                </c:pt>
                <c:pt idx="523">
                  <c:v>-145.54408597891884</c:v>
                </c:pt>
                <c:pt idx="524">
                  <c:v>-145.85001661966257</c:v>
                </c:pt>
                <c:pt idx="525">
                  <c:v>-146.16314685807276</c:v>
                </c:pt>
                <c:pt idx="526">
                  <c:v>-146.48327036443487</c:v>
                </c:pt>
                <c:pt idx="527">
                  <c:v>-146.81016263923331</c:v>
                </c:pt>
                <c:pt idx="528">
                  <c:v>-147.14358216664422</c:v>
                </c:pt>
                <c:pt idx="529">
                  <c:v>-147.48327161396008</c:v>
                </c:pt>
                <c:pt idx="530">
                  <c:v>-147.8289590704467</c:v>
                </c:pt>
                <c:pt idx="531">
                  <c:v>-148.18035931890091</c:v>
                </c:pt>
                <c:pt idx="532">
                  <c:v>-148.53717513296715</c:v>
                </c:pt>
                <c:pt idx="533">
                  <c:v>-148.89909859312809</c:v>
                </c:pt>
                <c:pt idx="534">
                  <c:v>-149.26581241419132</c:v>
                </c:pt>
                <c:pt idx="535">
                  <c:v>-149.63699127706812</c:v>
                </c:pt>
                <c:pt idx="536">
                  <c:v>-150.01230315768109</c:v>
                </c:pt>
                <c:pt idx="537">
                  <c:v>-150.39141064592525</c:v>
                </c:pt>
                <c:pt idx="538">
                  <c:v>-150.77397224778289</c:v>
                </c:pt>
                <c:pt idx="539">
                  <c:v>-151.15964366391739</c:v>
                </c:pt>
                <c:pt idx="540">
                  <c:v>-151.54807903835629</c:v>
                </c:pt>
                <c:pt idx="541">
                  <c:v>-151.9389321712288</c:v>
                </c:pt>
              </c:numCache>
            </c:numRef>
          </c:yVal>
          <c:smooth val="1"/>
          <c:extLst>
            <c:ext xmlns:c16="http://schemas.microsoft.com/office/drawing/2014/chart" uri="{C3380CC4-5D6E-409C-BE32-E72D297353CC}">
              <c16:uniqueId val="{00000009-2860-4C4C-B618-5424CA982335}"/>
            </c:ext>
          </c:extLst>
        </c:ser>
        <c:dLbls>
          <c:showLegendKey val="0"/>
          <c:showVal val="0"/>
          <c:showCatName val="0"/>
          <c:showSerName val="0"/>
          <c:showPercent val="0"/>
          <c:showBubbleSize val="0"/>
        </c:dLbls>
        <c:axId val="377513088"/>
        <c:axId val="377498624"/>
      </c:scatterChart>
      <c:valAx>
        <c:axId val="377478144"/>
        <c:scaling>
          <c:logBase val="10"/>
          <c:orientation val="minMax"/>
          <c:max val="2000000"/>
          <c:min val="10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txPr>
          <a:bodyPr/>
          <a:lstStyle/>
          <a:p>
            <a:pPr>
              <a:defRPr b="1"/>
            </a:pPr>
            <a:endParaRPr lang="fr-FR"/>
          </a:p>
        </c:txPr>
        <c:crossAx val="377496704"/>
        <c:crosses val="autoZero"/>
        <c:crossBetween val="midCat"/>
      </c:valAx>
      <c:valAx>
        <c:axId val="377496704"/>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b="1">
                <a:solidFill>
                  <a:srgbClr val="FF0000"/>
                </a:solidFill>
              </a:defRPr>
            </a:pPr>
            <a:endParaRPr lang="fr-FR"/>
          </a:p>
        </c:txPr>
        <c:crossAx val="377478144"/>
        <c:crosses val="autoZero"/>
        <c:crossBetween val="midCat"/>
        <c:majorUnit val="20"/>
        <c:minorUnit val="10"/>
      </c:valAx>
      <c:valAx>
        <c:axId val="377498624"/>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txPr>
          <a:bodyPr/>
          <a:lstStyle/>
          <a:p>
            <a:pPr>
              <a:defRPr b="1">
                <a:solidFill>
                  <a:schemeClr val="tx1">
                    <a:lumMod val="95000"/>
                    <a:lumOff val="5000"/>
                  </a:schemeClr>
                </a:solidFill>
              </a:defRPr>
            </a:pPr>
            <a:endParaRPr lang="fr-FR"/>
          </a:p>
        </c:txPr>
        <c:crossAx val="377513088"/>
        <c:crosses val="max"/>
        <c:crossBetween val="midCat"/>
        <c:majorUnit val="90"/>
        <c:minorUnit val="45"/>
      </c:valAx>
      <c:valAx>
        <c:axId val="377513088"/>
        <c:scaling>
          <c:logBase val="10"/>
          <c:orientation val="minMax"/>
        </c:scaling>
        <c:delete val="1"/>
        <c:axPos val="b"/>
        <c:numFmt formatCode="0.00" sourceLinked="1"/>
        <c:majorTickMark val="out"/>
        <c:minorTickMark val="none"/>
        <c:tickLblPos val="nextTo"/>
        <c:crossAx val="377498624"/>
        <c:crosses val="autoZero"/>
        <c:crossBetween val="midCat"/>
      </c:valAx>
    </c:plotArea>
    <c:legend>
      <c:legendPos val="r"/>
      <c:legendEntry>
        <c:idx val="1"/>
        <c:delete val="1"/>
      </c:legendEntry>
      <c:legendEntry>
        <c:idx val="2"/>
        <c:delete val="1"/>
      </c:legendEntry>
      <c:legendEntry>
        <c:idx val="3"/>
        <c:delete val="1"/>
      </c:legendEntry>
      <c:legendEntry>
        <c:idx val="4"/>
        <c:delete val="1"/>
      </c:legendEntry>
      <c:layout>
        <c:manualLayout>
          <c:xMode val="edge"/>
          <c:yMode val="edge"/>
          <c:x val="0.61392536510371165"/>
          <c:y val="7.0381012799940294E-3"/>
          <c:w val="0.28497500584606611"/>
          <c:h val="7.9643865606846526E-2"/>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Plant Transfer</a:t>
            </a:r>
            <a:r>
              <a:rPr lang="en-US" baseline="0"/>
              <a:t> Function</a:t>
            </a:r>
            <a:endParaRPr lang="en-US"/>
          </a:p>
        </c:rich>
      </c:tx>
      <c:overlay val="0"/>
    </c:title>
    <c:autoTitleDeleted val="0"/>
    <c:plotArea>
      <c:layout/>
      <c:scatterChart>
        <c:scatterStyle val="smoothMarker"/>
        <c:varyColors val="0"/>
        <c:ser>
          <c:idx val="0"/>
          <c:order val="0"/>
          <c:tx>
            <c:v>Gain(dB)</c:v>
          </c:tx>
          <c:marker>
            <c:symbol val="none"/>
          </c:marker>
          <c:xVal>
            <c:numRef>
              <c:f>CCM_Loop_Modeling_non_isolated!$O$19:$O$560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CCM_Loop_Modeling_non_isolated!$AD$19:$AD$560</c:f>
              <c:numCache>
                <c:formatCode>0.000</c:formatCode>
                <c:ptCount val="542"/>
                <c:pt idx="0">
                  <c:v>45.229677581699676</c:v>
                </c:pt>
                <c:pt idx="1">
                  <c:v>45.091983186428649</c:v>
                </c:pt>
                <c:pt idx="2">
                  <c:v>44.952330786927718</c:v>
                </c:pt>
                <c:pt idx="3">
                  <c:v>44.810755805230833</c:v>
                </c:pt>
                <c:pt idx="4">
                  <c:v>44.667294693017439</c:v>
                </c:pt>
                <c:pt idx="5">
                  <c:v>44.521984817182627</c:v>
                </c:pt>
                <c:pt idx="6">
                  <c:v>44.374864346337084</c:v>
                </c:pt>
                <c:pt idx="7">
                  <c:v>44.225972138849571</c:v>
                </c:pt>
                <c:pt idx="8">
                  <c:v>44.075347632993029</c:v>
                </c:pt>
                <c:pt idx="9">
                  <c:v>43.923030739711237</c:v>
                </c:pt>
                <c:pt idx="10">
                  <c:v>43.769061738468551</c:v>
                </c:pt>
                <c:pt idx="11">
                  <c:v>43.613481176593794</c:v>
                </c:pt>
                <c:pt idx="12">
                  <c:v>43.456329772475712</c:v>
                </c:pt>
                <c:pt idx="13">
                  <c:v>43.297648322916089</c:v>
                </c:pt>
                <c:pt idx="14">
                  <c:v>43.137477614892205</c:v>
                </c:pt>
                <c:pt idx="15">
                  <c:v>42.975858341932707</c:v>
                </c:pt>
                <c:pt idx="16">
                  <c:v>42.812831025259911</c:v>
                </c:pt>
                <c:pt idx="17">
                  <c:v>42.648435939808422</c:v>
                </c:pt>
                <c:pt idx="18">
                  <c:v>42.482713045183722</c:v>
                </c:pt>
                <c:pt idx="19">
                  <c:v>42.315701921586651</c:v>
                </c:pt>
                <c:pt idx="20">
                  <c:v>42.147441710692199</c:v>
                </c:pt>
                <c:pt idx="21">
                  <c:v>41.977971061435937</c:v>
                </c:pt>
                <c:pt idx="22">
                  <c:v>41.807328080634022</c:v>
                </c:pt>
                <c:pt idx="23">
                  <c:v>41.635550288333611</c:v>
                </c:pt>
                <c:pt idx="24">
                  <c:v>41.462674577768475</c:v>
                </c:pt>
                <c:pt idx="25">
                  <c:v>41.288737179773911</c:v>
                </c:pt>
                <c:pt idx="26">
                  <c:v>41.11377363149937</c:v>
                </c:pt>
                <c:pt idx="27">
                  <c:v>40.937818749241693</c:v>
                </c:pt>
                <c:pt idx="28">
                  <c:v>40.760906605211595</c:v>
                </c:pt>
                <c:pt idx="29">
                  <c:v>40.583070508039413</c:v>
                </c:pt>
                <c:pt idx="30">
                  <c:v>40.404342986816161</c:v>
                </c:pt>
                <c:pt idx="31">
                  <c:v>40.224755778466907</c:v>
                </c:pt>
                <c:pt idx="32">
                  <c:v>40.044339818249014</c:v>
                </c:pt>
                <c:pt idx="33">
                  <c:v>39.86312523316785</c:v>
                </c:pt>
                <c:pt idx="34">
                  <c:v>39.681141338106436</c:v>
                </c:pt>
                <c:pt idx="35">
                  <c:v>39.498416634466246</c:v>
                </c:pt>
                <c:pt idx="36">
                  <c:v>39.314978811122721</c:v>
                </c:pt>
                <c:pt idx="37">
                  <c:v>39.130854747502681</c:v>
                </c:pt>
                <c:pt idx="38">
                  <c:v>38.946070518598766</c:v>
                </c:pt>
                <c:pt idx="39">
                  <c:v>38.760651401741235</c:v>
                </c:pt>
                <c:pt idx="40">
                  <c:v>38.574621884956898</c:v>
                </c:pt>
                <c:pt idx="41">
                  <c:v>38.388005676750161</c:v>
                </c:pt>
                <c:pt idx="42">
                  <c:v>38.200825717152441</c:v>
                </c:pt>
                <c:pt idx="43">
                  <c:v>38.013104189892189</c:v>
                </c:pt>
                <c:pt idx="44">
                  <c:v>37.82486253554675</c:v>
                </c:pt>
                <c:pt idx="45">
                  <c:v>37.636121465546637</c:v>
                </c:pt>
                <c:pt idx="46">
                  <c:v>37.446900976910008</c:v>
                </c:pt>
                <c:pt idx="47">
                  <c:v>37.257220367594158</c:v>
                </c:pt>
                <c:pt idx="48">
                  <c:v>37.067098252358292</c:v>
                </c:pt>
                <c:pt idx="49">
                  <c:v>36.876552579040464</c:v>
                </c:pt>
                <c:pt idx="50">
                  <c:v>36.685600645158139</c:v>
                </c:pt>
                <c:pt idx="51">
                  <c:v>36.494259114750214</c:v>
                </c:pt>
                <c:pt idx="52">
                  <c:v>36.302544035384599</c:v>
                </c:pt>
                <c:pt idx="53">
                  <c:v>36.110470855261859</c:v>
                </c:pt>
                <c:pt idx="54">
                  <c:v>35.91805444035338</c:v>
                </c:pt>
                <c:pt idx="55">
                  <c:v>35.72530909151596</c:v>
                </c:pt>
                <c:pt idx="56">
                  <c:v>35.532248561532874</c:v>
                </c:pt>
                <c:pt idx="57">
                  <c:v>35.338886072035088</c:v>
                </c:pt>
                <c:pt idx="58">
                  <c:v>35.145234330261928</c:v>
                </c:pt>
                <c:pt idx="59">
                  <c:v>34.951305545625601</c:v>
                </c:pt>
                <c:pt idx="60">
                  <c:v>34.757111446046814</c:v>
                </c:pt>
                <c:pt idx="61">
                  <c:v>34.562663294034834</c:v>
                </c:pt>
                <c:pt idx="62">
                  <c:v>34.367971902487355</c:v>
                </c:pt>
                <c:pt idx="63">
                  <c:v>34.173047650189304</c:v>
                </c:pt>
                <c:pt idx="64">
                  <c:v>33.97790049699384</c:v>
                </c:pt>
                <c:pt idx="65">
                  <c:v>33.782539998670927</c:v>
                </c:pt>
                <c:pt idx="66">
                  <c:v>33.586975321410705</c:v>
                </c:pt>
                <c:pt idx="67">
                  <c:v>33.391215255973286</c:v>
                </c:pt>
                <c:pt idx="68">
                  <c:v>33.195268231477428</c:v>
                </c:pt>
                <c:pt idx="69">
                  <c:v>32.999142328822309</c:v>
                </c:pt>
                <c:pt idx="70">
                  <c:v>32.802845293739352</c:v>
                </c:pt>
                <c:pt idx="71">
                  <c:v>32.606384549472615</c:v>
                </c:pt>
                <c:pt idx="72">
                  <c:v>32.409767209086588</c:v>
                </c:pt>
                <c:pt idx="73">
                  <c:v>32.21300008740269</c:v>
                </c:pt>
                <c:pt idx="74">
                  <c:v>32.016089712566838</c:v>
                </c:pt>
                <c:pt idx="75">
                  <c:v>31.819042337250657</c:v>
                </c:pt>
                <c:pt idx="76">
                  <c:v>31.621863949490386</c:v>
                </c:pt>
                <c:pt idx="77">
                  <c:v>31.424560283168891</c:v>
                </c:pt>
                <c:pt idx="78">
                  <c:v>31.227136828145227</c:v>
                </c:pt>
                <c:pt idx="79">
                  <c:v>31.029598840038602</c:v>
                </c:pt>
                <c:pt idx="80">
                  <c:v>30.831951349672956</c:v>
                </c:pt>
                <c:pt idx="81">
                  <c:v>30.634199172189014</c:v>
                </c:pt>
                <c:pt idx="82">
                  <c:v>30.436346915831436</c:v>
                </c:pt>
                <c:pt idx="83">
                  <c:v>30.23839899041829</c:v>
                </c:pt>
                <c:pt idx="84">
                  <c:v>30.040359615501004</c:v>
                </c:pt>
                <c:pt idx="85">
                  <c:v>29.842232828222329</c:v>
                </c:pt>
                <c:pt idx="86">
                  <c:v>29.644022490881188</c:v>
                </c:pt>
                <c:pt idx="87">
                  <c:v>29.445732298211706</c:v>
                </c:pt>
                <c:pt idx="88">
                  <c:v>29.247365784384698</c:v>
                </c:pt>
                <c:pt idx="89">
                  <c:v>29.048926329741633</c:v>
                </c:pt>
                <c:pt idx="90">
                  <c:v>28.850417167266109</c:v>
                </c:pt>
                <c:pt idx="91">
                  <c:v>28.651841388803561</c:v>
                </c:pt>
                <c:pt idx="92">
                  <c:v>28.45320195103713</c:v>
                </c:pt>
                <c:pt idx="93">
                  <c:v>28.254501681225719</c:v>
                </c:pt>
                <c:pt idx="94">
                  <c:v>28.055743282714513</c:v>
                </c:pt>
                <c:pt idx="95">
                  <c:v>27.856929340224092</c:v>
                </c:pt>
                <c:pt idx="96">
                  <c:v>27.658062324926863</c:v>
                </c:pt>
                <c:pt idx="97">
                  <c:v>27.459144599317131</c:v>
                </c:pt>
                <c:pt idx="98">
                  <c:v>27.260178421883403</c:v>
                </c:pt>
                <c:pt idx="99">
                  <c:v>27.061165951589075</c:v>
                </c:pt>
                <c:pt idx="100">
                  <c:v>26.862109252168924</c:v>
                </c:pt>
                <c:pt idx="101">
                  <c:v>26.663010296248117</c:v>
                </c:pt>
                <c:pt idx="102">
                  <c:v>26.463870969290511</c:v>
                </c:pt>
                <c:pt idx="103">
                  <c:v>26.264693073382553</c:v>
                </c:pt>
                <c:pt idx="104">
                  <c:v>26.065478330858799</c:v>
                </c:pt>
                <c:pt idx="105">
                  <c:v>25.866228387775585</c:v>
                </c:pt>
                <c:pt idx="106">
                  <c:v>25.666944817238765</c:v>
                </c:pt>
                <c:pt idx="107">
                  <c:v>25.467629122590147</c:v>
                </c:pt>
                <c:pt idx="108">
                  <c:v>25.268282740460211</c:v>
                </c:pt>
                <c:pt idx="109">
                  <c:v>25.068907043690231</c:v>
                </c:pt>
                <c:pt idx="110">
                  <c:v>24.869503344130006</c:v>
                </c:pt>
                <c:pt idx="111">
                  <c:v>24.670072895317297</c:v>
                </c:pt>
                <c:pt idx="112">
                  <c:v>24.47061689504093</c:v>
                </c:pt>
                <c:pt idx="113">
                  <c:v>24.271136487795467</c:v>
                </c:pt>
                <c:pt idx="114">
                  <c:v>24.071632767129284</c:v>
                </c:pt>
                <c:pt idx="115">
                  <c:v>23.872106777892203</c:v>
                </c:pt>
                <c:pt idx="116">
                  <c:v>23.672559518385988</c:v>
                </c:pt>
                <c:pt idx="117">
                  <c:v>23.472991942421309</c:v>
                </c:pt>
                <c:pt idx="118">
                  <c:v>23.273404961286523</c:v>
                </c:pt>
                <c:pt idx="119">
                  <c:v>23.073799445630172</c:v>
                </c:pt>
                <c:pt idx="120">
                  <c:v>22.874176227262623</c:v>
                </c:pt>
                <c:pt idx="121">
                  <c:v>22.674536100877841</c:v>
                </c:pt>
                <c:pt idx="122">
                  <c:v>22.474879825701976</c:v>
                </c:pt>
                <c:pt idx="123">
                  <c:v>22.275208127068346</c:v>
                </c:pt>
                <c:pt idx="124">
                  <c:v>22.075521697924625</c:v>
                </c:pt>
                <c:pt idx="125">
                  <c:v>21.875821200274022</c:v>
                </c:pt>
                <c:pt idx="126">
                  <c:v>21.676107266552243</c:v>
                </c:pt>
                <c:pt idx="127">
                  <c:v>21.476380500945798</c:v>
                </c:pt>
                <c:pt idx="128">
                  <c:v>21.276641480651364</c:v>
                </c:pt>
                <c:pt idx="129">
                  <c:v>21.076890757079823</c:v>
                </c:pt>
                <c:pt idx="130">
                  <c:v>20.877128857007705</c:v>
                </c:pt>
                <c:pt idx="131">
                  <c:v>20.67735628367803</c:v>
                </c:pt>
                <c:pt idx="132">
                  <c:v>20.477573517852463</c:v>
                </c:pt>
                <c:pt idx="133">
                  <c:v>20.277781018817244</c:v>
                </c:pt>
                <c:pt idx="134">
                  <c:v>20.077979225344432</c:v>
                </c:pt>
                <c:pt idx="135">
                  <c:v>19.878168556611556</c:v>
                </c:pt>
                <c:pt idx="136">
                  <c:v>19.678349413079946</c:v>
                </c:pt>
                <c:pt idx="137">
                  <c:v>19.478522177334256</c:v>
                </c:pt>
                <c:pt idx="138">
                  <c:v>19.278687214885931</c:v>
                </c:pt>
                <c:pt idx="139">
                  <c:v>19.078844874939719</c:v>
                </c:pt>
                <c:pt idx="140">
                  <c:v>18.878995491127792</c:v>
                </c:pt>
                <c:pt idx="141">
                  <c:v>18.679139382210142</c:v>
                </c:pt>
                <c:pt idx="142">
                  <c:v>18.479276852745073</c:v>
                </c:pt>
                <c:pt idx="143">
                  <c:v>18.279408193729555</c:v>
                </c:pt>
                <c:pt idx="144">
                  <c:v>18.079533683211352</c:v>
                </c:pt>
                <c:pt idx="145">
                  <c:v>17.879653586874181</c:v>
                </c:pt>
                <c:pt idx="146">
                  <c:v>17.679768158597184</c:v>
                </c:pt>
                <c:pt idx="147">
                  <c:v>17.479877640989546</c:v>
                </c:pt>
                <c:pt idx="148">
                  <c:v>17.279982265901431</c:v>
                </c:pt>
                <c:pt idx="149">
                  <c:v>17.080082254912931</c:v>
                </c:pt>
                <c:pt idx="150">
                  <c:v>16.880177819800842</c:v>
                </c:pt>
                <c:pt idx="151">
                  <c:v>16.680269162985283</c:v>
                </c:pt>
                <c:pt idx="152">
                  <c:v>16.480356477956924</c:v>
                </c:pt>
                <c:pt idx="153">
                  <c:v>16.280439949684617</c:v>
                </c:pt>
                <c:pt idx="154">
                  <c:v>16.080519755006321</c:v>
                </c:pt>
                <c:pt idx="155">
                  <c:v>15.880596063001954</c:v>
                </c:pt>
                <c:pt idx="156">
                  <c:v>15.68066903535062</c:v>
                </c:pt>
                <c:pt idx="157">
                  <c:v>15.48073882667186</c:v>
                </c:pt>
                <c:pt idx="158">
                  <c:v>15.280805584852232</c:v>
                </c:pt>
                <c:pt idx="159">
                  <c:v>15.080869451357817</c:v>
                </c:pt>
                <c:pt idx="160">
                  <c:v>14.88093056153299</c:v>
                </c:pt>
                <c:pt idx="161">
                  <c:v>14.680989044886664</c:v>
                </c:pt>
                <c:pt idx="162">
                  <c:v>14.481045025365773</c:v>
                </c:pt>
                <c:pt idx="163">
                  <c:v>14.281098621617536</c:v>
                </c:pt>
                <c:pt idx="164">
                  <c:v>14.081149947240036</c:v>
                </c:pt>
                <c:pt idx="165">
                  <c:v>13.881199111022791</c:v>
                </c:pt>
                <c:pt idx="166">
                  <c:v>13.681246217176504</c:v>
                </c:pt>
                <c:pt idx="167">
                  <c:v>13.481291365553691</c:v>
                </c:pt>
                <c:pt idx="168">
                  <c:v>13.281334651859931</c:v>
                </c:pt>
                <c:pt idx="169">
                  <c:v>13.081376167856247</c:v>
                </c:pt>
                <c:pt idx="170">
                  <c:v>12.881416001553351</c:v>
                </c:pt>
                <c:pt idx="171">
                  <c:v>12.681454237397872</c:v>
                </c:pt>
                <c:pt idx="172">
                  <c:v>12.48149095645115</c:v>
                </c:pt>
                <c:pt idx="173">
                  <c:v>12.281526236560707</c:v>
                </c:pt>
                <c:pt idx="174">
                  <c:v>12.081560152525155</c:v>
                </c:pt>
                <c:pt idx="175">
                  <c:v>11.881592776252525</c:v>
                </c:pt>
                <c:pt idx="176">
                  <c:v>11.681624176912415</c:v>
                </c:pt>
                <c:pt idx="177">
                  <c:v>11.481654421082666</c:v>
                </c:pt>
                <c:pt idx="178">
                  <c:v>11.281683572890147</c:v>
                </c:pt>
                <c:pt idx="179">
                  <c:v>11.081711694146641</c:v>
                </c:pt>
                <c:pt idx="180">
                  <c:v>10.881738844479909</c:v>
                </c:pt>
                <c:pt idx="181">
                  <c:v>10.681765081459639</c:v>
                </c:pt>
                <c:pt idx="182">
                  <c:v>10.481790460719733</c:v>
                </c:pt>
                <c:pt idx="183">
                  <c:v>10.281815036076019</c:v>
                </c:pt>
                <c:pt idx="184">
                  <c:v>10.081838859640264</c:v>
                </c:pt>
                <c:pt idx="185">
                  <c:v>9.8818619819304363</c:v>
                </c:pt>
                <c:pt idx="186">
                  <c:v>9.6818844519781422</c:v>
                </c:pt>
                <c:pt idx="187">
                  <c:v>9.4819063174320544</c:v>
                </c:pt>
                <c:pt idx="188">
                  <c:v>9.2819276246589162</c:v>
                </c:pt>
                <c:pt idx="189">
                  <c:v>9.0819484188423818</c:v>
                </c:pt>
                <c:pt idx="190">
                  <c:v>8.8819687440778576</c:v>
                </c:pt>
                <c:pt idx="191">
                  <c:v>8.6819886434664166</c:v>
                </c:pt>
                <c:pt idx="192">
                  <c:v>8.4820081592064867</c:v>
                </c:pt>
                <c:pt idx="193">
                  <c:v>8.2820273326822615</c:v>
                </c:pt>
                <c:pt idx="194">
                  <c:v>8.0820462045524923</c:v>
                </c:pt>
                <c:pt idx="195">
                  <c:v>7.8820648148358829</c:v>
                </c:pt>
                <c:pt idx="196">
                  <c:v>7.6820832029961439</c:v>
                </c:pt>
                <c:pt idx="197">
                  <c:v>7.4821014080256232</c:v>
                </c:pt>
                <c:pt idx="198">
                  <c:v>7.2821194685279718</c:v>
                </c:pt>
                <c:pt idx="199">
                  <c:v>7.0821374227996534</c:v>
                </c:pt>
                <c:pt idx="200">
                  <c:v>6.8821553089113987</c:v>
                </c:pt>
                <c:pt idx="201">
                  <c:v>6.682173164788729</c:v>
                </c:pt>
                <c:pt idx="202">
                  <c:v>6.4821910282922524</c:v>
                </c:pt>
                <c:pt idx="203">
                  <c:v>6.2822089372977485</c:v>
                </c:pt>
                <c:pt idx="204">
                  <c:v>6.0822269297766525</c:v>
                </c:pt>
                <c:pt idx="205">
                  <c:v>5.8822450438762806</c:v>
                </c:pt>
                <c:pt idx="206">
                  <c:v>5.6822633180006168</c:v>
                </c:pt>
                <c:pt idx="207">
                  <c:v>5.4822817908915766</c:v>
                </c:pt>
                <c:pt idx="208">
                  <c:v>5.2823005017111937</c:v>
                </c:pt>
                <c:pt idx="209">
                  <c:v>5.0823194901242292</c:v>
                </c:pt>
                <c:pt idx="210">
                  <c:v>4.8823387963824718</c:v>
                </c:pt>
                <c:pt idx="211">
                  <c:v>4.6823584614094651</c:v>
                </c:pt>
                <c:pt idx="212">
                  <c:v>4.4823785268873655</c:v>
                </c:pt>
                <c:pt idx="213">
                  <c:v>4.2823990353452226</c:v>
                </c:pt>
                <c:pt idx="214">
                  <c:v>4.0824200302485476</c:v>
                </c:pt>
                <c:pt idx="215">
                  <c:v>3.8824415560913565</c:v>
                </c:pt>
                <c:pt idx="216">
                  <c:v>3.6824636584903518</c:v>
                </c:pt>
                <c:pt idx="217">
                  <c:v>3.4824863842811964</c:v>
                </c:pt>
                <c:pt idx="218">
                  <c:v>3.2825097816176281</c:v>
                </c:pt>
                <c:pt idx="219">
                  <c:v>3.0825339000726615</c:v>
                </c:pt>
                <c:pt idx="220">
                  <c:v>2.882558790744048</c:v>
                </c:pt>
                <c:pt idx="221">
                  <c:v>2.6825845063614451</c:v>
                </c:pt>
                <c:pt idx="222">
                  <c:v>2.4826111013981227</c:v>
                </c:pt>
                <c:pt idx="223">
                  <c:v>2.2826386321857211</c:v>
                </c:pt>
                <c:pt idx="224">
                  <c:v>2.0826671570329953</c:v>
                </c:pt>
                <c:pt idx="225">
                  <c:v>1.8826967363491836</c:v>
                </c:pt>
                <c:pt idx="226">
                  <c:v>1.6827274327704813</c:v>
                </c:pt>
                <c:pt idx="227">
                  <c:v>1.482759311292817</c:v>
                </c:pt>
                <c:pt idx="228">
                  <c:v>1.2827924394084944</c:v>
                </c:pt>
                <c:pt idx="229">
                  <c:v>1.0828268872482076</c:v>
                </c:pt>
                <c:pt idx="230">
                  <c:v>0.88286272772844154</c:v>
                </c:pt>
                <c:pt idx="231">
                  <c:v>0.68290003670521626</c:v>
                </c:pt>
                <c:pt idx="232">
                  <c:v>0.48293889313347832</c:v>
                </c:pt>
                <c:pt idx="233">
                  <c:v>0.28297937923290506</c:v>
                </c:pt>
                <c:pt idx="234">
                  <c:v>8.3021580660543159E-2</c:v>
                </c:pt>
                <c:pt idx="235">
                  <c:v>-0.11693441330902851</c:v>
                </c:pt>
                <c:pt idx="236">
                  <c:v>-0.31688850959666537</c:v>
                </c:pt>
                <c:pt idx="237">
                  <c:v>-0.51684061112334734</c:v>
                </c:pt>
                <c:pt idx="238">
                  <c:v>-0.71679061660674259</c:v>
                </c:pt>
                <c:pt idx="239">
                  <c:v>-0.91673842034908826</c:v>
                </c:pt>
                <c:pt idx="240">
                  <c:v>-1.1166839120156937</c:v>
                </c:pt>
                <c:pt idx="241">
                  <c:v>-1.3166269764044622</c:v>
                </c:pt>
                <c:pt idx="242">
                  <c:v>-1.5165674932049311</c:v>
                </c:pt>
                <c:pt idx="243">
                  <c:v>-1.7165053367468137</c:v>
                </c:pt>
                <c:pt idx="244">
                  <c:v>-1.9164403757378048</c:v>
                </c:pt>
                <c:pt idx="245">
                  <c:v>-2.116372472989891</c:v>
                </c:pt>
                <c:pt idx="246">
                  <c:v>-2.316301485133105</c:v>
                </c:pt>
                <c:pt idx="247">
                  <c:v>-2.5162272623172526</c:v>
                </c:pt>
                <c:pt idx="248">
                  <c:v>-2.7161496479001697</c:v>
                </c:pt>
                <c:pt idx="249">
                  <c:v>-2.9160684781221109</c:v>
                </c:pt>
                <c:pt idx="250">
                  <c:v>-3.1159835817658035</c:v>
                </c:pt>
                <c:pt idx="251">
                  <c:v>-3.3158947798013068</c:v>
                </c:pt>
                <c:pt idx="252">
                  <c:v>-3.515801885015037</c:v>
                </c:pt>
                <c:pt idx="253">
                  <c:v>-3.7157047016224594</c:v>
                </c:pt>
                <c:pt idx="254">
                  <c:v>-3.9156030248633327</c:v>
                </c:pt>
                <c:pt idx="255">
                  <c:v>-4.1154966405792548</c:v>
                </c:pt>
                <c:pt idx="256">
                  <c:v>-4.3153853247717491</c:v>
                </c:pt>
                <c:pt idx="257">
                  <c:v>-4.5152688431414214</c:v>
                </c:pt>
                <c:pt idx="258">
                  <c:v>-4.7151469506062309</c:v>
                </c:pt>
                <c:pt idx="259">
                  <c:v>-4.9150193907983111</c:v>
                </c:pt>
                <c:pt idx="260">
                  <c:v>-5.1148858955387588</c:v>
                </c:pt>
                <c:pt idx="261">
                  <c:v>-5.3147461842887287</c:v>
                </c:pt>
                <c:pt idx="262">
                  <c:v>-5.5145999635766145</c:v>
                </c:pt>
                <c:pt idx="263">
                  <c:v>-5.7144469263996278</c:v>
                </c:pt>
                <c:pt idx="264">
                  <c:v>-5.9142867515993345</c:v>
                </c:pt>
                <c:pt idx="265">
                  <c:v>-6.1141191032092141</c:v>
                </c:pt>
                <c:pt idx="266">
                  <c:v>-6.3139436297739584</c:v>
                </c:pt>
                <c:pt idx="267">
                  <c:v>-6.5137599636388996</c:v>
                </c:pt>
                <c:pt idx="268">
                  <c:v>-6.7135677202083368</c:v>
                </c:pt>
                <c:pt idx="269">
                  <c:v>-6.9133664971715705</c:v>
                </c:pt>
                <c:pt idx="270">
                  <c:v>-7.1131558736952885</c:v>
                </c:pt>
                <c:pt idx="271">
                  <c:v>-7.3129354095814536</c:v>
                </c:pt>
                <c:pt idx="272">
                  <c:v>-7.51270464438816</c:v>
                </c:pt>
                <c:pt idx="273">
                  <c:v>-7.7124630965135132</c:v>
                </c:pt>
                <c:pt idx="274">
                  <c:v>-7.9122102622398831</c:v>
                </c:pt>
                <c:pt idx="275">
                  <c:v>-8.1119456147377473</c:v>
                </c:pt>
                <c:pt idx="276">
                  <c:v>-8.3116686030274103</c:v>
                </c:pt>
                <c:pt idx="277">
                  <c:v>-8.511378650896809</c:v>
                </c:pt>
                <c:pt idx="278">
                  <c:v>-8.7110751557741644</c:v>
                </c:pt>
                <c:pt idx="279">
                  <c:v>-8.9107574875537825</c:v>
                </c:pt>
                <c:pt idx="280">
                  <c:v>-9.1104249873732748</c:v>
                </c:pt>
                <c:pt idx="281">
                  <c:v>-9.3100769663401515</c:v>
                </c:pt>
                <c:pt idx="282">
                  <c:v>-9.5097127042074057</c:v>
                </c:pt>
                <c:pt idx="283">
                  <c:v>-9.7093314479944652</c:v>
                </c:pt>
                <c:pt idx="284">
                  <c:v>-9.9089324105535077</c:v>
                </c:pt>
                <c:pt idx="285">
                  <c:v>-10.108514769078351</c:v>
                </c:pt>
                <c:pt idx="286">
                  <c:v>-10.308077663554705</c:v>
                </c:pt>
                <c:pt idx="287">
                  <c:v>-10.507620195149832</c:v>
                </c:pt>
                <c:pt idx="288">
                  <c:v>-10.70714142454028</c:v>
                </c:pt>
                <c:pt idx="289">
                  <c:v>-10.906640370175122</c:v>
                </c:pt>
                <c:pt idx="290">
                  <c:v>-11.106116006474076</c:v>
                </c:pt>
                <c:pt idx="291">
                  <c:v>-11.30556726195881</c:v>
                </c:pt>
                <c:pt idx="292">
                  <c:v>-11.504993017314618</c:v>
                </c:pt>
                <c:pt idx="293">
                  <c:v>-11.704392103382821</c:v>
                </c:pt>
                <c:pt idx="294">
                  <c:v>-11.903763299081289</c:v>
                </c:pt>
                <c:pt idx="295">
                  <c:v>-12.103105329251918</c:v>
                </c:pt>
                <c:pt idx="296">
                  <c:v>-12.3024168624344</c:v>
                </c:pt>
                <c:pt idx="297">
                  <c:v>-12.501696508565264</c:v>
                </c:pt>
                <c:pt idx="298">
                  <c:v>-12.700942816600204</c:v>
                </c:pt>
                <c:pt idx="299">
                  <c:v>-12.900154272060862</c:v>
                </c:pt>
                <c:pt idx="300">
                  <c:v>-13.099329294504059</c:v>
                </c:pt>
                <c:pt idx="301">
                  <c:v>-13.298466234914297</c:v>
                </c:pt>
                <c:pt idx="302">
                  <c:v>-13.497563373018897</c:v>
                </c:pt>
                <c:pt idx="303">
                  <c:v>-13.696618914527086</c:v>
                </c:pt>
                <c:pt idx="304">
                  <c:v>-13.895630988292439</c:v>
                </c:pt>
                <c:pt idx="305">
                  <c:v>-14.094597643401549</c:v>
                </c:pt>
                <c:pt idx="306">
                  <c:v>-14.293516846189402</c:v>
                </c:pt>
                <c:pt idx="307">
                  <c:v>-14.492386477183533</c:v>
                </c:pt>
                <c:pt idx="308">
                  <c:v>-14.691204327980534</c:v>
                </c:pt>
                <c:pt idx="309">
                  <c:v>-14.889968098057269</c:v>
                </c:pt>
                <c:pt idx="310">
                  <c:v>-15.088675391521512</c:v>
                </c:pt>
                <c:pt idx="311">
                  <c:v>-15.287323713805483</c:v>
                </c:pt>
                <c:pt idx="312">
                  <c:v>-15.485910468309971</c:v>
                </c:pt>
                <c:pt idx="313">
                  <c:v>-15.684432953002485</c:v>
                </c:pt>
                <c:pt idx="314">
                  <c:v>-15.882888356979477</c:v>
                </c:pt>
                <c:pt idx="315">
                  <c:v>-16.08127375699943</c:v>
                </c:pt>
                <c:pt idx="316">
                  <c:v>-16.279586113996711</c:v>
                </c:pt>
                <c:pt idx="317">
                  <c:v>-16.477822269586685</c:v>
                </c:pt>
                <c:pt idx="318">
                  <c:v>-16.675978942575171</c:v>
                </c:pt>
                <c:pt idx="319">
                  <c:v>-16.874052725483967</c:v>
                </c:pt>
                <c:pt idx="320">
                  <c:v>-17.072040081109421</c:v>
                </c:pt>
                <c:pt idx="321">
                  <c:v>-17.269937339128699</c:v>
                </c:pt>
                <c:pt idx="322">
                  <c:v>-17.467740692773756</c:v>
                </c:pt>
                <c:pt idx="323">
                  <c:v>-17.665446195592637</c:v>
                </c:pt>
                <c:pt idx="324">
                  <c:v>-17.863049758320017</c:v>
                </c:pt>
                <c:pt idx="325">
                  <c:v>-18.060547145882282</c:v>
                </c:pt>
                <c:pt idx="326">
                  <c:v>-18.257933974561912</c:v>
                </c:pt>
                <c:pt idx="327">
                  <c:v>-18.455205709352668</c:v>
                </c:pt>
                <c:pt idx="328">
                  <c:v>-18.652357661533738</c:v>
                </c:pt>
                <c:pt idx="329">
                  <c:v>-18.849384986500279</c:v>
                </c:pt>
                <c:pt idx="330">
                  <c:v>-19.046282681882744</c:v>
                </c:pt>
                <c:pt idx="331">
                  <c:v>-19.243045585997788</c:v>
                </c:pt>
                <c:pt idx="332">
                  <c:v>-19.439668376670273</c:v>
                </c:pt>
                <c:pt idx="333">
                  <c:v>-19.636145570472362</c:v>
                </c:pt>
                <c:pt idx="334">
                  <c:v>-19.832471522426939</c:v>
                </c:pt>
                <c:pt idx="335">
                  <c:v>-20.028640426225792</c:v>
                </c:pt>
                <c:pt idx="336">
                  <c:v>-20.224646315015541</c:v>
                </c:pt>
                <c:pt idx="337">
                  <c:v>-20.420483062808657</c:v>
                </c:pt>
                <c:pt idx="338">
                  <c:v>-20.616144386577172</c:v>
                </c:pt>
                <c:pt idx="339">
                  <c:v>-20.81162384909053</c:v>
                </c:pt>
                <c:pt idx="340">
                  <c:v>-21.006914862562166</c:v>
                </c:pt>
                <c:pt idx="341">
                  <c:v>-21.202010693170191</c:v>
                </c:pt>
                <c:pt idx="342">
                  <c:v>-21.396904466519658</c:v>
                </c:pt>
                <c:pt idx="343">
                  <c:v>-21.59158917411597</c:v>
                </c:pt>
                <c:pt idx="344">
                  <c:v>-21.786057680919377</c:v>
                </c:pt>
                <c:pt idx="345">
                  <c:v>-21.980302734051257</c:v>
                </c:pt>
                <c:pt idx="346">
                  <c:v>-22.174316972723048</c:v>
                </c:pt>
                <c:pt idx="347">
                  <c:v>-22.368092939455853</c:v>
                </c:pt>
                <c:pt idx="348">
                  <c:v>-22.56162309266136</c:v>
                </c:pt>
                <c:pt idx="349">
                  <c:v>-22.754899820646784</c:v>
                </c:pt>
                <c:pt idx="350">
                  <c:v>-22.947915457106895</c:v>
                </c:pt>
                <c:pt idx="351">
                  <c:v>-23.140662298160084</c:v>
                </c:pt>
                <c:pt idx="352">
                  <c:v>-23.333132620979079</c:v>
                </c:pt>
                <c:pt idx="353">
                  <c:v>-23.525318704059739</c:v>
                </c:pt>
                <c:pt idx="354">
                  <c:v>-23.717212849163975</c:v>
                </c:pt>
                <c:pt idx="355">
                  <c:v>-23.908807404959838</c:v>
                </c:pt>
                <c:pt idx="356">
                  <c:v>-24.100094792372406</c:v>
                </c:pt>
                <c:pt idx="357">
                  <c:v>-24.291067531644018</c:v>
                </c:pt>
                <c:pt idx="358">
                  <c:v>-24.481718271087626</c:v>
                </c:pt>
                <c:pt idx="359">
                  <c:v>-24.672039817499165</c:v>
                </c:pt>
                <c:pt idx="360">
                  <c:v>-24.862025168176896</c:v>
                </c:pt>
                <c:pt idx="361">
                  <c:v>-25.051667544473851</c:v>
                </c:pt>
                <c:pt idx="362">
                  <c:v>-25.240960426787382</c:v>
                </c:pt>
                <c:pt idx="363">
                  <c:v>-25.429897590866794</c:v>
                </c:pt>
                <c:pt idx="364">
                  <c:v>-25.618473145292363</c:v>
                </c:pt>
                <c:pt idx="365">
                  <c:v>-25.806681569953817</c:v>
                </c:pt>
                <c:pt idx="366">
                  <c:v>-25.994517755329124</c:v>
                </c:pt>
                <c:pt idx="367">
                  <c:v>-26.181977042333301</c:v>
                </c:pt>
                <c:pt idx="368">
                  <c:v>-26.369055262480817</c:v>
                </c:pt>
                <c:pt idx="369">
                  <c:v>-26.555748778074712</c:v>
                </c:pt>
                <c:pt idx="370">
                  <c:v>-26.742054522107431</c:v>
                </c:pt>
                <c:pt idx="371">
                  <c:v>-26.927970037531392</c:v>
                </c:pt>
                <c:pt idx="372">
                  <c:v>-27.113493515531353</c:v>
                </c:pt>
                <c:pt idx="373">
                  <c:v>-27.298623832406591</c:v>
                </c:pt>
                <c:pt idx="374">
                  <c:v>-27.483360584651347</c:v>
                </c:pt>
                <c:pt idx="375">
                  <c:v>-27.667704121803567</c:v>
                </c:pt>
                <c:pt idx="376">
                  <c:v>-27.85165557661934</c:v>
                </c:pt>
                <c:pt idx="377">
                  <c:v>-28.035216892122683</c:v>
                </c:pt>
                <c:pt idx="378">
                  <c:v>-28.218390845076375</c:v>
                </c:pt>
                <c:pt idx="379">
                  <c:v>-28.401181065424133</c:v>
                </c:pt>
                <c:pt idx="380">
                  <c:v>-28.583592051262393</c:v>
                </c:pt>
                <c:pt idx="381">
                  <c:v>-28.765629178917958</c:v>
                </c:pt>
                <c:pt idx="382">
                  <c:v>-28.947298707731409</c:v>
                </c:pt>
                <c:pt idx="383">
                  <c:v>-29.128607779176754</c:v>
                </c:pt>
                <c:pt idx="384">
                  <c:v>-29.30956440998736</c:v>
                </c:pt>
                <c:pt idx="385">
                  <c:v>-29.490177479003719</c:v>
                </c:pt>
                <c:pt idx="386">
                  <c:v>-29.670456707512621</c:v>
                </c:pt>
                <c:pt idx="387">
                  <c:v>-29.850412632906504</c:v>
                </c:pt>
                <c:pt idx="388">
                  <c:v>-30.030056575557062</c:v>
                </c:pt>
                <c:pt idx="389">
                  <c:v>-30.209400598869482</c:v>
                </c:pt>
                <c:pt idx="390">
                  <c:v>-30.38845746255689</c:v>
                </c:pt>
                <c:pt idx="391">
                  <c:v>-30.567240569254658</c:v>
                </c:pt>
                <c:pt idx="392">
                  <c:v>-30.745763904669854</c:v>
                </c:pt>
                <c:pt idx="393">
                  <c:v>-30.924041971547254</c:v>
                </c:pt>
                <c:pt idx="394">
                  <c:v>-31.102089717804276</c:v>
                </c:pt>
                <c:pt idx="395">
                  <c:v>-31.279922459269827</c:v>
                </c:pt>
                <c:pt idx="396">
                  <c:v>-31.457555797529224</c:v>
                </c:pt>
                <c:pt idx="397">
                  <c:v>-31.635005533445074</c:v>
                </c:pt>
                <c:pt idx="398">
                  <c:v>-31.812287576982389</c:v>
                </c:pt>
                <c:pt idx="399">
                  <c:v>-31.989417854017361</c:v>
                </c:pt>
                <c:pt idx="400">
                  <c:v>-32.166412210848968</c:v>
                </c:pt>
                <c:pt idx="401">
                  <c:v>-32.343286317163702</c:v>
                </c:pt>
                <c:pt idx="402">
                  <c:v>-32.520055568224393</c:v>
                </c:pt>
                <c:pt idx="403">
                  <c:v>-32.696734987061703</c:v>
                </c:pt>
                <c:pt idx="404">
                  <c:v>-32.873339127442293</c:v>
                </c:pt>
                <c:pt idx="405">
                  <c:v>-33.049881978375588</c:v>
                </c:pt>
                <c:pt idx="406">
                  <c:v>-33.226376870893162</c:v>
                </c:pt>
                <c:pt idx="407">
                  <c:v>-33.402836387798651</c:v>
                </c:pt>
                <c:pt idx="408">
                  <c:v>-33.579272277041255</c:v>
                </c:pt>
                <c:pt idx="409">
                  <c:v>-33.755695369310665</c:v>
                </c:pt>
                <c:pt idx="410">
                  <c:v>-33.932115500388221</c:v>
                </c:pt>
                <c:pt idx="411">
                  <c:v>-34.108541438724274</c:v>
                </c:pt>
                <c:pt idx="412">
                  <c:v>-34.284980818636733</c:v>
                </c:pt>
                <c:pt idx="413">
                  <c:v>-34.461440079451378</c:v>
                </c:pt>
                <c:pt idx="414">
                  <c:v>-34.637924410828212</c:v>
                </c:pt>
                <c:pt idx="415">
                  <c:v>-34.814437704441417</c:v>
                </c:pt>
                <c:pt idx="416">
                  <c:v>-34.990982512104296</c:v>
                </c:pt>
                <c:pt idx="417">
                  <c:v>-35.167560010360795</c:v>
                </c:pt>
                <c:pt idx="418">
                  <c:v>-35.344169971492995</c:v>
                </c:pt>
                <c:pt idx="419">
                  <c:v>-35.520810740835472</c:v>
                </c:pt>
                <c:pt idx="420">
                  <c:v>-35.697479220226413</c:v>
                </c:pt>
                <c:pt idx="421">
                  <c:v>-35.874170857378246</c:v>
                </c:pt>
                <c:pt idx="422">
                  <c:v>-36.050879640903801</c:v>
                </c:pt>
                <c:pt idx="423">
                  <c:v>-36.227598100703112</c:v>
                </c:pt>
                <c:pt idx="424">
                  <c:v>-36.404317313383274</c:v>
                </c:pt>
                <c:pt idx="425">
                  <c:v>-36.581026912368571</c:v>
                </c:pt>
                <c:pt idx="426">
                  <c:v>-36.757715102342786</c:v>
                </c:pt>
                <c:pt idx="427">
                  <c:v>-36.934368677660594</c:v>
                </c:pt>
                <c:pt idx="428">
                  <c:v>-37.110973044369729</c:v>
                </c:pt>
                <c:pt idx="429">
                  <c:v>-37.287512245491541</c:v>
                </c:pt>
                <c:pt idx="430">
                  <c:v>-37.463968989221513</c:v>
                </c:pt>
                <c:pt idx="431">
                  <c:v>-37.640324679734718</c:v>
                </c:pt>
                <c:pt idx="432">
                  <c:v>-37.816559450299827</c:v>
                </c:pt>
                <c:pt idx="433">
                  <c:v>-37.992652198438265</c:v>
                </c:pt>
                <c:pt idx="434">
                  <c:v>-38.168580622892698</c:v>
                </c:pt>
                <c:pt idx="435">
                  <c:v>-38.34432126220463</c:v>
                </c:pt>
                <c:pt idx="436">
                  <c:v>-38.519849534735087</c:v>
                </c:pt>
                <c:pt idx="437">
                  <c:v>-38.695139779999224</c:v>
                </c:pt>
                <c:pt idx="438">
                  <c:v>-38.870165301222464</c:v>
                </c:pt>
                <c:pt idx="439">
                  <c:v>-39.044898409062093</c:v>
                </c:pt>
                <c:pt idx="440">
                  <c:v>-39.219310466474425</c:v>
                </c:pt>
                <c:pt idx="441">
                  <c:v>-39.393371934743584</c:v>
                </c:pt>
                <c:pt idx="442">
                  <c:v>-39.567052420718476</c:v>
                </c:pt>
                <c:pt idx="443">
                  <c:v>-39.740320725338613</c:v>
                </c:pt>
                <c:pt idx="444">
                  <c:v>-39.913144893556037</c:v>
                </c:pt>
                <c:pt idx="445">
                  <c:v>-40.085492265788332</c:v>
                </c:pt>
                <c:pt idx="446">
                  <c:v>-40.257329531057621</c:v>
                </c:pt>
                <c:pt idx="447">
                  <c:v>-40.428622781993809</c:v>
                </c:pt>
                <c:pt idx="448">
                  <c:v>-40.599337571892576</c:v>
                </c:pt>
                <c:pt idx="449">
                  <c:v>-40.76943897403234</c:v>
                </c:pt>
                <c:pt idx="450">
                  <c:v>-40.938891643463187</c:v>
                </c:pt>
                <c:pt idx="451">
                  <c:v>-41.107659881481389</c:v>
                </c:pt>
                <c:pt idx="452">
                  <c:v>-41.275707703006134</c:v>
                </c:pt>
                <c:pt idx="453">
                  <c:v>-41.442998907067704</c:v>
                </c:pt>
                <c:pt idx="454">
                  <c:v>-41.609497150606487</c:v>
                </c:pt>
                <c:pt idx="455">
                  <c:v>-41.775166025770041</c:v>
                </c:pt>
                <c:pt idx="456">
                  <c:v>-41.939969140872215</c:v>
                </c:pt>
                <c:pt idx="457">
                  <c:v>-42.103870205159559</c:v>
                </c:pt>
                <c:pt idx="458">
                  <c:v>-42.266833117497846</c:v>
                </c:pt>
                <c:pt idx="459">
                  <c:v>-42.428822059059073</c:v>
                </c:pt>
                <c:pt idx="460">
                  <c:v>-42.589801590053618</c:v>
                </c:pt>
                <c:pt idx="461">
                  <c:v>-42.749736750508362</c:v>
                </c:pt>
                <c:pt idx="462">
                  <c:v>-42.908593165046028</c:v>
                </c:pt>
                <c:pt idx="463">
                  <c:v>-43.06633715157232</c:v>
                </c:pt>
                <c:pt idx="464">
                  <c:v>-43.222935833723241</c:v>
                </c:pt>
                <c:pt idx="465">
                  <c:v>-43.378357256869492</c:v>
                </c:pt>
                <c:pt idx="466">
                  <c:v>-43.532570507417951</c:v>
                </c:pt>
                <c:pt idx="467">
                  <c:v>-43.685545835087787</c:v>
                </c:pt>
                <c:pt idx="468">
                  <c:v>-43.837254777780117</c:v>
                </c:pt>
                <c:pt idx="469">
                  <c:v>-43.987670288597904</c:v>
                </c:pt>
                <c:pt idx="470">
                  <c:v>-44.13676686451241</c:v>
                </c:pt>
                <c:pt idx="471">
                  <c:v>-44.284520676112791</c:v>
                </c:pt>
                <c:pt idx="472">
                  <c:v>-44.430909697819239</c:v>
                </c:pt>
                <c:pt idx="473">
                  <c:v>-44.575913837885537</c:v>
                </c:pt>
                <c:pt idx="474">
                  <c:v>-44.719515067468485</c:v>
                </c:pt>
                <c:pt idx="475">
                  <c:v>-44.861697547996123</c:v>
                </c:pt>
                <c:pt idx="476">
                  <c:v>-45.00244775602971</c:v>
                </c:pt>
                <c:pt idx="477">
                  <c:v>-45.141754604781255</c:v>
                </c:pt>
                <c:pt idx="478">
                  <c:v>-45.279609561427762</c:v>
                </c:pt>
                <c:pt idx="479">
                  <c:v>-45.416006759344057</c:v>
                </c:pt>
                <c:pt idx="480">
                  <c:v>-45.550943104374319</c:v>
                </c:pt>
                <c:pt idx="481">
                  <c:v>-45.684418374261796</c:v>
                </c:pt>
                <c:pt idx="482">
                  <c:v>-45.816435310371666</c:v>
                </c:pt>
                <c:pt idx="483">
                  <c:v>-45.946999700863827</c:v>
                </c:pt>
                <c:pt idx="484">
                  <c:v>-46.076120454505592</c:v>
                </c:pt>
                <c:pt idx="485">
                  <c:v>-46.203809664356243</c:v>
                </c:pt>
                <c:pt idx="486">
                  <c:v>-46.330082660607026</c:v>
                </c:pt>
                <c:pt idx="487">
                  <c:v>-46.454958051922041</c:v>
                </c:pt>
                <c:pt idx="488">
                  <c:v>-46.578457754690803</c:v>
                </c:pt>
                <c:pt idx="489">
                  <c:v>-46.700607009682436</c:v>
                </c:pt>
                <c:pt idx="490">
                  <c:v>-46.821434385670706</c:v>
                </c:pt>
                <c:pt idx="491">
                  <c:v>-46.940971769686399</c:v>
                </c:pt>
                <c:pt idx="492">
                  <c:v>-47.0592543436452</c:v>
                </c:pt>
                <c:pt idx="493">
                  <c:v>-47.17632054719143</c:v>
                </c:pt>
                <c:pt idx="494">
                  <c:v>-47.292212026694173</c:v>
                </c:pt>
                <c:pt idx="495">
                  <c:v>-47.406973570425734</c:v>
                </c:pt>
                <c:pt idx="496">
                  <c:v>-47.520653030049274</c:v>
                </c:pt>
                <c:pt idx="497">
                  <c:v>-47.63330122863276</c:v>
                </c:pt>
                <c:pt idx="498">
                  <c:v>-47.744971855496004</c:v>
                </c:pt>
                <c:pt idx="499">
                  <c:v>-47.85572134828427</c:v>
                </c:pt>
                <c:pt idx="500">
                  <c:v>-47.965608762742903</c:v>
                </c:pt>
                <c:pt idx="501">
                  <c:v>-48.074695630740621</c:v>
                </c:pt>
                <c:pt idx="502">
                  <c:v>-48.183045807163495</c:v>
                </c:pt>
                <c:pt idx="503">
                  <c:v>-48.290725306362788</c:v>
                </c:pt>
                <c:pt idx="504">
                  <c:v>-48.397802128898213</c:v>
                </c:pt>
                <c:pt idx="505">
                  <c:v>-48.504346079372738</c:v>
                </c:pt>
                <c:pt idx="506">
                  <c:v>-48.610428576196242</c:v>
                </c:pt>
                <c:pt idx="507">
                  <c:v>-48.716122454160725</c:v>
                </c:pt>
                <c:pt idx="508">
                  <c:v>-48.821501760738776</c:v>
                </c:pt>
                <c:pt idx="509">
                  <c:v>-48.926641547050153</c:v>
                </c:pt>
                <c:pt idx="510">
                  <c:v>-49.031617654461037</c:v>
                </c:pt>
                <c:pt idx="511">
                  <c:v>-49.136506497802451</c:v>
                </c:pt>
                <c:pt idx="512">
                  <c:v>-49.241384846207083</c:v>
                </c:pt>
                <c:pt idx="513">
                  <c:v>-49.34632960257278</c:v>
                </c:pt>
                <c:pt idx="514">
                  <c:v>-49.45141758266837</c:v>
                </c:pt>
                <c:pt idx="515">
                  <c:v>-49.556725294898072</c:v>
                </c:pt>
                <c:pt idx="516">
                  <c:v>-49.66232872173839</c:v>
                </c:pt>
                <c:pt idx="517">
                  <c:v>-49.768303103855224</c:v>
                </c:pt>
                <c:pt idx="518">
                  <c:v>-49.874722727897407</c:v>
                </c:pt>
                <c:pt idx="519">
                  <c:v>-49.981660718949868</c:v>
                </c:pt>
                <c:pt idx="520">
                  <c:v>-50.089188838606056</c:v>
                </c:pt>
                <c:pt idx="521">
                  <c:v>-50.197377289600041</c:v>
                </c:pt>
                <c:pt idx="522">
                  <c:v>-50.306294527903439</c:v>
                </c:pt>
                <c:pt idx="523">
                  <c:v>-50.41600708315994</c:v>
                </c:pt>
                <c:pt idx="524">
                  <c:v>-50.52657938829023</c:v>
                </c:pt>
                <c:pt idx="525">
                  <c:v>-50.638073619048583</c:v>
                </c:pt>
                <c:pt idx="526">
                  <c:v>-50.750549544264061</c:v>
                </c:pt>
                <c:pt idx="527">
                  <c:v>-50.864064387435945</c:v>
                </c:pt>
                <c:pt idx="528">
                  <c:v>-50.978672700290275</c:v>
                </c:pt>
                <c:pt idx="529">
                  <c:v>-51.094426248830622</c:v>
                </c:pt>
                <c:pt idx="530">
                  <c:v>-51.211373912339411</c:v>
                </c:pt>
                <c:pt idx="531">
                  <c:v>-51.329561595705975</c:v>
                </c:pt>
                <c:pt idx="532">
                  <c:v>-51.449032155366901</c:v>
                </c:pt>
                <c:pt idx="533">
                  <c:v>-51.569825339056464</c:v>
                </c:pt>
                <c:pt idx="534">
                  <c:v>-51.691977739471596</c:v>
                </c:pt>
                <c:pt idx="535">
                  <c:v>-51.815522761857615</c:v>
                </c:pt>
                <c:pt idx="536">
                  <c:v>-51.94049060542806</c:v>
                </c:pt>
                <c:pt idx="537">
                  <c:v>-52.066908258435227</c:v>
                </c:pt>
                <c:pt idx="538">
                  <c:v>-52.194799506612917</c:v>
                </c:pt>
                <c:pt idx="539">
                  <c:v>-52.32418495462332</c:v>
                </c:pt>
                <c:pt idx="540">
                  <c:v>-52.455082060051062</c:v>
                </c:pt>
                <c:pt idx="541">
                  <c:v>-52.587505179408268</c:v>
                </c:pt>
              </c:numCache>
            </c:numRef>
          </c:yVal>
          <c:smooth val="1"/>
          <c:extLst>
            <c:ext xmlns:c16="http://schemas.microsoft.com/office/drawing/2014/chart" uri="{C3380CC4-5D6E-409C-BE32-E72D297353CC}">
              <c16:uniqueId val="{00000000-1B3F-4802-9751-4D21F96C72BF}"/>
            </c:ext>
          </c:extLst>
        </c:ser>
        <c:dLbls>
          <c:showLegendKey val="0"/>
          <c:showVal val="0"/>
          <c:showCatName val="0"/>
          <c:showSerName val="0"/>
          <c:showPercent val="0"/>
          <c:showBubbleSize val="0"/>
        </c:dLbls>
        <c:axId val="385819776"/>
        <c:axId val="385821696"/>
      </c:scatterChart>
      <c:scatterChart>
        <c:scatterStyle val="smoothMarker"/>
        <c:varyColors val="0"/>
        <c:ser>
          <c:idx val="1"/>
          <c:order val="1"/>
          <c:tx>
            <c:v>Phase (deg)</c:v>
          </c:tx>
          <c:marker>
            <c:symbol val="none"/>
          </c:marker>
          <c:xVal>
            <c:numRef>
              <c:f>CCM_Loop_Modeling_non_isolated!$O$19:$O$560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CCM_Loop_Modeling_non_isolated!$AE$19:$AE$560</c:f>
              <c:numCache>
                <c:formatCode>General</c:formatCode>
                <c:ptCount val="542"/>
                <c:pt idx="0">
                  <c:v>-55.777692346158688</c:v>
                </c:pt>
                <c:pt idx="1">
                  <c:v>-56.388922635760387</c:v>
                </c:pt>
                <c:pt idx="2">
                  <c:v>-56.994742299886781</c:v>
                </c:pt>
                <c:pt idx="3">
                  <c:v>-57.59493141119296</c:v>
                </c:pt>
                <c:pt idx="4">
                  <c:v>-58.189282022737864</c:v>
                </c:pt>
                <c:pt idx="5">
                  <c:v>-58.777598316293926</c:v>
                </c:pt>
                <c:pt idx="6">
                  <c:v>-59.359696697546191</c:v>
                </c:pt>
                <c:pt idx="7">
                  <c:v>-59.935405840096507</c:v>
                </c:pt>
                <c:pt idx="8">
                  <c:v>-60.504566680498584</c:v>
                </c:pt>
                <c:pt idx="9">
                  <c:v>-61.067032366806657</c:v>
                </c:pt>
                <c:pt idx="10">
                  <c:v>-61.622668163338368</c:v>
                </c:pt>
                <c:pt idx="11">
                  <c:v>-62.171351314534519</c:v>
                </c:pt>
                <c:pt idx="12">
                  <c:v>-62.712970870918625</c:v>
                </c:pt>
                <c:pt idx="13">
                  <c:v>-63.247427480265259</c:v>
                </c:pt>
                <c:pt idx="14">
                  <c:v>-63.774633147132349</c:v>
                </c:pt>
                <c:pt idx="15">
                  <c:v>-64.294510963935053</c:v>
                </c:pt>
                <c:pt idx="16">
                  <c:v>-64.806994816720149</c:v>
                </c:pt>
                <c:pt idx="17">
                  <c:v>-65.312029068766279</c:v>
                </c:pt>
                <c:pt idx="18">
                  <c:v>-65.809568225053027</c:v>
                </c:pt>
                <c:pt idx="19">
                  <c:v>-66.299576580559958</c:v>
                </c:pt>
                <c:pt idx="20">
                  <c:v>-66.782027855236308</c:v>
                </c:pt>
                <c:pt idx="21">
                  <c:v>-67.256904818358038</c:v>
                </c:pt>
                <c:pt idx="22">
                  <c:v>-67.724198904842822</c:v>
                </c:pt>
                <c:pt idx="23">
                  <c:v>-68.183909825945719</c:v>
                </c:pt>
                <c:pt idx="24">
                  <c:v>-68.636045176589036</c:v>
                </c:pt>
                <c:pt idx="25">
                  <c:v>-69.080620041430521</c:v>
                </c:pt>
                <c:pt idx="26">
                  <c:v>-69.517656601584321</c:v>
                </c:pt>
                <c:pt idx="27">
                  <c:v>-69.947183743766203</c:v>
                </c:pt>
                <c:pt idx="28">
                  <c:v>-70.369236673444732</c:v>
                </c:pt>
                <c:pt idx="29">
                  <c:v>-70.783856533433948</c:v>
                </c:pt>
                <c:pt idx="30">
                  <c:v>-71.191090029193532</c:v>
                </c:pt>
                <c:pt idx="31">
                  <c:v>-71.59098906195554</c:v>
                </c:pt>
                <c:pt idx="32">
                  <c:v>-71.983610370643589</c:v>
                </c:pt>
                <c:pt idx="33">
                  <c:v>-72.369015183418483</c:v>
                </c:pt>
                <c:pt idx="34">
                  <c:v>-72.747268879545999</c:v>
                </c:pt>
                <c:pt idx="35">
                  <c:v>-73.118440662163195</c:v>
                </c:pt>
                <c:pt idx="36">
                  <c:v>-73.482603242402973</c:v>
                </c:pt>
                <c:pt idx="37">
                  <c:v>-73.839832535231906</c:v>
                </c:pt>
                <c:pt idx="38">
                  <c:v>-74.190207367257173</c:v>
                </c:pt>
                <c:pt idx="39">
                  <c:v>-74.533809196670632</c:v>
                </c:pt>
                <c:pt idx="40">
                  <c:v>-74.870721845416966</c:v>
                </c:pt>
                <c:pt idx="41">
                  <c:v>-75.201031243599559</c:v>
                </c:pt>
                <c:pt idx="42">
                  <c:v>-75.524825186075006</c:v>
                </c:pt>
                <c:pt idx="43">
                  <c:v>-75.84219310112438</c:v>
                </c:pt>
                <c:pt idx="44">
                  <c:v>-76.153225831047052</c:v>
                </c:pt>
                <c:pt idx="45">
                  <c:v>-76.458015424470076</c:v>
                </c:pt>
                <c:pt idx="46">
                  <c:v>-76.756654940134482</c:v>
                </c:pt>
                <c:pt idx="47">
                  <c:v>-77.049238261884341</c:v>
                </c:pt>
                <c:pt idx="48">
                  <c:v>-77.335859924559415</c:v>
                </c:pt>
                <c:pt idx="49">
                  <c:v>-77.616614950468062</c:v>
                </c:pt>
                <c:pt idx="50">
                  <c:v>-77.891598696102903</c:v>
                </c:pt>
                <c:pt idx="51">
                  <c:v>-78.160906708742473</c:v>
                </c:pt>
                <c:pt idx="52">
                  <c:v>-78.42463459257857</c:v>
                </c:pt>
                <c:pt idx="53">
                  <c:v>-78.682877883997364</c:v>
                </c:pt>
                <c:pt idx="54">
                  <c:v>-78.935731935640433</c:v>
                </c:pt>
                <c:pt idx="55">
                  <c:v>-79.18329180887082</c:v>
                </c:pt>
                <c:pt idx="56">
                  <c:v>-79.42565217426872</c:v>
                </c:pt>
                <c:pt idx="57">
                  <c:v>-79.662907219786348</c:v>
                </c:pt>
                <c:pt idx="58">
                  <c:v>-79.895150566194957</c:v>
                </c:pt>
                <c:pt idx="59">
                  <c:v>-80.122475189462307</c:v>
                </c:pt>
                <c:pt idx="60">
                  <c:v>-80.344973349708951</c:v>
                </c:pt>
                <c:pt idx="61">
                  <c:v>-80.562736526397131</c:v>
                </c:pt>
                <c:pt idx="62">
                  <c:v>-80.775855359417136</c:v>
                </c:pt>
                <c:pt idx="63">
                  <c:v>-80.984419595745919</c:v>
                </c:pt>
                <c:pt idx="64">
                  <c:v>-81.188518041362101</c:v>
                </c:pt>
                <c:pt idx="65">
                  <c:v>-81.388238518113596</c:v>
                </c:pt>
                <c:pt idx="66">
                  <c:v>-81.583667825245158</c:v>
                </c:pt>
                <c:pt idx="67">
                  <c:v>-81.774891705303773</c:v>
                </c:pt>
                <c:pt idx="68">
                  <c:v>-81.961994814151922</c:v>
                </c:pt>
                <c:pt idx="69">
                  <c:v>-82.145060694830576</c:v>
                </c:pt>
                <c:pt idx="70">
                  <c:v>-82.324171755024295</c:v>
                </c:pt>
                <c:pt idx="71">
                  <c:v>-82.499409247892785</c:v>
                </c:pt>
                <c:pt idx="72">
                  <c:v>-82.670853256044367</c:v>
                </c:pt>
                <c:pt idx="73">
                  <c:v>-82.83858267843776</c:v>
                </c:pt>
                <c:pt idx="74">
                  <c:v>-83.002675220008555</c:v>
                </c:pt>
                <c:pt idx="75">
                  <c:v>-83.163207383828961</c:v>
                </c:pt>
                <c:pt idx="76">
                  <c:v>-83.320254465616898</c:v>
                </c:pt>
                <c:pt idx="77">
                  <c:v>-83.473890550423334</c:v>
                </c:pt>
                <c:pt idx="78">
                  <c:v>-83.624188511333102</c:v>
                </c:pt>
                <c:pt idx="79">
                  <c:v>-83.771220010026781</c:v>
                </c:pt>
                <c:pt idx="80">
                  <c:v>-83.915055499056692</c:v>
                </c:pt>
                <c:pt idx="81">
                  <c:v>-84.055764225701523</c:v>
                </c:pt>
                <c:pt idx="82">
                  <c:v>-84.193414237269934</c:v>
                </c:pt>
                <c:pt idx="83">
                  <c:v>-84.328072387732519</c:v>
                </c:pt>
                <c:pt idx="84">
                  <c:v>-84.459804345568074</c:v>
                </c:pt>
                <c:pt idx="85">
                  <c:v>-84.588674602717731</c:v>
                </c:pt>
                <c:pt idx="86">
                  <c:v>-84.714746484546964</c:v>
                </c:pt>
                <c:pt idx="87">
                  <c:v>-84.83808216072164</c:v>
                </c:pt>
                <c:pt idx="88">
                  <c:v>-84.958742656910999</c:v>
                </c:pt>
                <c:pt idx="89">
                  <c:v>-85.076787867234628</c:v>
                </c:pt>
                <c:pt idx="90">
                  <c:v>-85.19227656737884</c:v>
                </c:pt>
                <c:pt idx="91">
                  <c:v>-85.305266428309281</c:v>
                </c:pt>
                <c:pt idx="92">
                  <c:v>-85.415814030514298</c:v>
                </c:pt>
                <c:pt idx="93">
                  <c:v>-85.523974878717596</c:v>
                </c:pt>
                <c:pt idx="94">
                  <c:v>-85.629803417001639</c:v>
                </c:pt>
                <c:pt idx="95">
                  <c:v>-85.733353044289572</c:v>
                </c:pt>
                <c:pt idx="96">
                  <c:v>-85.834676130135009</c:v>
                </c:pt>
                <c:pt idx="97">
                  <c:v>-85.933824030774787</c:v>
                </c:pt>
                <c:pt idx="98">
                  <c:v>-86.030847105401392</c:v>
                </c:pt>
                <c:pt idx="99">
                  <c:v>-86.125794732616427</c:v>
                </c:pt>
                <c:pt idx="100">
                  <c:v>-86.218715327028193</c:v>
                </c:pt>
                <c:pt idx="101">
                  <c:v>-86.309656355960527</c:v>
                </c:pt>
                <c:pt idx="102">
                  <c:v>-86.398664356241781</c:v>
                </c:pt>
                <c:pt idx="103">
                  <c:v>-86.485784951045559</c:v>
                </c:pt>
                <c:pt idx="104">
                  <c:v>-86.571062866757742</c:v>
                </c:pt>
                <c:pt idx="105">
                  <c:v>-86.654541949845381</c:v>
                </c:pt>
                <c:pt idx="106">
                  <c:v>-86.736265183706124</c:v>
                </c:pt>
                <c:pt idx="107">
                  <c:v>-86.816274705478236</c:v>
                </c:pt>
                <c:pt idx="108">
                  <c:v>-86.894611822793166</c:v>
                </c:pt>
                <c:pt idx="109">
                  <c:v>-86.971317030454202</c:v>
                </c:pt>
                <c:pt idx="110">
                  <c:v>-87.046430027026616</c:v>
                </c:pt>
                <c:pt idx="111">
                  <c:v>-87.119989731325575</c:v>
                </c:pt>
                <c:pt idx="112">
                  <c:v>-87.192034298790119</c:v>
                </c:pt>
                <c:pt idx="113">
                  <c:v>-87.262601137732389</c:v>
                </c:pt>
                <c:pt idx="114">
                  <c:v>-87.331726925452216</c:v>
                </c:pt>
                <c:pt idx="115">
                  <c:v>-87.399447624209046</c:v>
                </c:pt>
                <c:pt idx="116">
                  <c:v>-87.46579849704338</c:v>
                </c:pt>
                <c:pt idx="117">
                  <c:v>-87.530814123441189</c:v>
                </c:pt>
                <c:pt idx="118">
                  <c:v>-87.594528414836049</c:v>
                </c:pt>
                <c:pt idx="119">
                  <c:v>-87.656974629943505</c:v>
                </c:pt>
                <c:pt idx="120">
                  <c:v>-87.718185389924159</c:v>
                </c:pt>
                <c:pt idx="121">
                  <c:v>-87.778192693371651</c:v>
                </c:pt>
                <c:pt idx="122">
                  <c:v>-87.837027931123174</c:v>
                </c:pt>
                <c:pt idx="123">
                  <c:v>-87.894721900890048</c:v>
                </c:pt>
                <c:pt idx="124">
                  <c:v>-87.951304821706756</c:v>
                </c:pt>
                <c:pt idx="125">
                  <c:v>-88.006806348197856</c:v>
                </c:pt>
                <c:pt idx="126">
                  <c:v>-88.06125558466141</c:v>
                </c:pt>
                <c:pt idx="127">
                  <c:v>-88.114681098969314</c:v>
                </c:pt>
                <c:pt idx="128">
                  <c:v>-88.167110936284416</c:v>
                </c:pt>
                <c:pt idx="129">
                  <c:v>-88.218572632595411</c:v>
                </c:pt>
                <c:pt idx="130">
                  <c:v>-88.269093228069821</c:v>
                </c:pt>
                <c:pt idx="131">
                  <c:v>-88.318699280227207</c:v>
                </c:pt>
                <c:pt idx="132">
                  <c:v>-88.367416876932936</c:v>
                </c:pt>
                <c:pt idx="133">
                  <c:v>-88.415271649215569</c:v>
                </c:pt>
                <c:pt idx="134">
                  <c:v>-88.462288783908988</c:v>
                </c:pt>
                <c:pt idx="135">
                  <c:v>-88.508493036121919</c:v>
                </c:pt>
                <c:pt idx="136">
                  <c:v>-88.553908741537157</c:v>
                </c:pt>
                <c:pt idx="137">
                  <c:v>-88.59855982854333</c:v>
                </c:pt>
                <c:pt idx="138">
                  <c:v>-88.642469830201634</c:v>
                </c:pt>
                <c:pt idx="139">
                  <c:v>-88.685661896050931</c:v>
                </c:pt>
                <c:pt idx="140">
                  <c:v>-88.728158803753942</c:v>
                </c:pt>
                <c:pt idx="141">
                  <c:v>-88.769982970587989</c:v>
                </c:pt>
                <c:pt idx="142">
                  <c:v>-88.811156464783451</c:v>
                </c:pt>
                <c:pt idx="143">
                  <c:v>-88.85170101671342</c:v>
                </c:pt>
                <c:pt idx="144">
                  <c:v>-88.891638029938164</c:v>
                </c:pt>
                <c:pt idx="145">
                  <c:v>-88.930988592107795</c:v>
                </c:pt>
                <c:pt idx="146">
                  <c:v>-88.969773485727075</c:v>
                </c:pt>
                <c:pt idx="147">
                  <c:v>-89.008013198785804</c:v>
                </c:pt>
                <c:pt idx="148">
                  <c:v>-89.045727935258881</c:v>
                </c:pt>
                <c:pt idx="149">
                  <c:v>-89.082937625479687</c:v>
                </c:pt>
                <c:pt idx="150">
                  <c:v>-89.119661936390713</c:v>
                </c:pt>
                <c:pt idx="151">
                  <c:v>-89.155920281675478</c:v>
                </c:pt>
                <c:pt idx="152">
                  <c:v>-89.191731831775584</c:v>
                </c:pt>
                <c:pt idx="153">
                  <c:v>-89.227115523796968</c:v>
                </c:pt>
                <c:pt idx="154">
                  <c:v>-89.262090071309359</c:v>
                </c:pt>
                <c:pt idx="155">
                  <c:v>-89.296673974043046</c:v>
                </c:pt>
                <c:pt idx="156">
                  <c:v>-89.330885527486856</c:v>
                </c:pt>
                <c:pt idx="157">
                  <c:v>-89.364742832391784</c:v>
                </c:pt>
                <c:pt idx="158">
                  <c:v>-89.39826380418387</c:v>
                </c:pt>
                <c:pt idx="159">
                  <c:v>-89.431466182290976</c:v>
                </c:pt>
                <c:pt idx="160">
                  <c:v>-89.464367539387197</c:v>
                </c:pt>
                <c:pt idx="161">
                  <c:v>-89.496985290559195</c:v>
                </c:pt>
                <c:pt idx="162">
                  <c:v>-89.529336702398581</c:v>
                </c:pt>
                <c:pt idx="163">
                  <c:v>-89.561438902024591</c:v>
                </c:pt>
                <c:pt idx="164">
                  <c:v>-89.593308886040973</c:v>
                </c:pt>
                <c:pt idx="165">
                  <c:v>-89.624963529431454</c:v>
                </c:pt>
                <c:pt idx="166">
                  <c:v>-89.656419594397974</c:v>
                </c:pt>
                <c:pt idx="167">
                  <c:v>-89.68769373914553</c:v>
                </c:pt>
                <c:pt idx="168">
                  <c:v>-89.718802526618333</c:v>
                </c:pt>
                <c:pt idx="169">
                  <c:v>-89.749762433190881</c:v>
                </c:pt>
                <c:pt idx="170">
                  <c:v>-89.780589857318574</c:v>
                </c:pt>
                <c:pt idx="171">
                  <c:v>-89.811301128151825</c:v>
                </c:pt>
                <c:pt idx="172">
                  <c:v>-89.841912514117837</c:v>
                </c:pt>
                <c:pt idx="173">
                  <c:v>-89.872440231474371</c:v>
                </c:pt>
                <c:pt idx="174">
                  <c:v>-89.902900452839575</c:v>
                </c:pt>
                <c:pt idx="175">
                  <c:v>-89.933309315702189</c:v>
                </c:pt>
                <c:pt idx="176">
                  <c:v>-89.963682930916121</c:v>
                </c:pt>
                <c:pt idx="177">
                  <c:v>-89.994037391183952</c:v>
                </c:pt>
                <c:pt idx="178">
                  <c:v>-90.024388779533069</c:v>
                </c:pt>
                <c:pt idx="179">
                  <c:v>-90.054753177789394</c:v>
                </c:pt>
                <c:pt idx="180">
                  <c:v>-90.08514667505203</c:v>
                </c:pt>
                <c:pt idx="181">
                  <c:v>-90.115585376173925</c:v>
                </c:pt>
                <c:pt idx="182">
                  <c:v>-90.146085410252255</c:v>
                </c:pt>
                <c:pt idx="183">
                  <c:v>-90.176662939133053</c:v>
                </c:pt>
                <c:pt idx="184">
                  <c:v>-90.207334165934185</c:v>
                </c:pt>
                <c:pt idx="185">
                  <c:v>-90.238115343591332</c:v>
                </c:pt>
                <c:pt idx="186">
                  <c:v>-90.269022783430643</c:v>
                </c:pt>
                <c:pt idx="187">
                  <c:v>-90.300072863773238</c:v>
                </c:pt>
                <c:pt idx="188">
                  <c:v>-90.331282038575139</c:v>
                </c:pt>
                <c:pt idx="189">
                  <c:v>-90.36266684610743</c:v>
                </c:pt>
                <c:pt idx="190">
                  <c:v>-90.39424391768101</c:v>
                </c:pt>
                <c:pt idx="191">
                  <c:v>-90.426029986420161</c:v>
                </c:pt>
                <c:pt idx="192">
                  <c:v>-90.458041896089583</c:v>
                </c:pt>
                <c:pt idx="193">
                  <c:v>-90.490296609979183</c:v>
                </c:pt>
                <c:pt idx="194">
                  <c:v>-90.522811219851292</c:v>
                </c:pt>
                <c:pt idx="195">
                  <c:v>-90.555602954954637</c:v>
                </c:pt>
                <c:pt idx="196">
                  <c:v>-90.58868919110985</c:v>
                </c:pt>
                <c:pt idx="197">
                  <c:v>-90.622087459870698</c:v>
                </c:pt>
                <c:pt idx="198">
                  <c:v>-90.655815457766252</c:v>
                </c:pt>
                <c:pt idx="199">
                  <c:v>-90.689891055628038</c:v>
                </c:pt>
                <c:pt idx="200">
                  <c:v>-90.724332308007106</c:v>
                </c:pt>
                <c:pt idx="201">
                  <c:v>-90.759157462685948</c:v>
                </c:pt>
                <c:pt idx="202">
                  <c:v>-90.794384970289585</c:v>
                </c:pt>
                <c:pt idx="203">
                  <c:v>-90.830033494000887</c:v>
                </c:pt>
                <c:pt idx="204">
                  <c:v>-90.866121919384952</c:v>
                </c:pt>
                <c:pt idx="205">
                  <c:v>-90.902669364327323</c:v>
                </c:pt>
                <c:pt idx="206">
                  <c:v>-90.939695189090997</c:v>
                </c:pt>
                <c:pt idx="207">
                  <c:v>-90.977219006497137</c:v>
                </c:pt>
                <c:pt idx="208">
                  <c:v>-91.015260692234591</c:v>
                </c:pt>
                <c:pt idx="209">
                  <c:v>-91.053840395303155</c:v>
                </c:pt>
                <c:pt idx="210">
                  <c:v>-91.092978548595667</c:v>
                </c:pt>
                <c:pt idx="211">
                  <c:v>-91.132695879624109</c:v>
                </c:pt>
                <c:pt idx="212">
                  <c:v>-91.17301342139497</c:v>
                </c:pt>
                <c:pt idx="213">
                  <c:v>-91.213952523438749</c:v>
                </c:pt>
                <c:pt idx="214">
                  <c:v>-91.255534862999383</c:v>
                </c:pt>
                <c:pt idx="215">
                  <c:v>-91.297782456388518</c:v>
                </c:pt>
                <c:pt idx="216">
                  <c:v>-91.340717670510017</c:v>
                </c:pt>
                <c:pt idx="217">
                  <c:v>-91.384363234560297</c:v>
                </c:pt>
                <c:pt idx="218">
                  <c:v>-91.428742251909839</c:v>
                </c:pt>
                <c:pt idx="219">
                  <c:v>-91.473878212171286</c:v>
                </c:pt>
                <c:pt idx="220">
                  <c:v>-91.519795003459762</c:v>
                </c:pt>
                <c:pt idx="221">
                  <c:v>-91.566516924851044</c:v>
                </c:pt>
                <c:pt idx="222">
                  <c:v>-91.614068699042946</c:v>
                </c:pt>
                <c:pt idx="223">
                  <c:v>-91.662475485225926</c:v>
                </c:pt>
                <c:pt idx="224">
                  <c:v>-91.71176289216838</c:v>
                </c:pt>
                <c:pt idx="225">
                  <c:v>-91.761956991522226</c:v>
                </c:pt>
                <c:pt idx="226">
                  <c:v>-91.813084331355142</c:v>
                </c:pt>
                <c:pt idx="227">
                  <c:v>-91.86517194991437</c:v>
                </c:pt>
                <c:pt idx="228">
                  <c:v>-91.918247389628519</c:v>
                </c:pt>
                <c:pt idx="229">
                  <c:v>-91.972338711353189</c:v>
                </c:pt>
                <c:pt idx="230">
                  <c:v>-92.02747450886595</c:v>
                </c:pt>
                <c:pt idx="231">
                  <c:v>-92.083683923616704</c:v>
                </c:pt>
                <c:pt idx="232">
                  <c:v>-92.140996659739358</c:v>
                </c:pt>
                <c:pt idx="233">
                  <c:v>-92.19944299933077</c:v>
                </c:pt>
                <c:pt idx="234">
                  <c:v>-92.259053818002471</c:v>
                </c:pt>
                <c:pt idx="235">
                  <c:v>-92.319860600711337</c:v>
                </c:pt>
                <c:pt idx="236">
                  <c:v>-92.381895457875089</c:v>
                </c:pt>
                <c:pt idx="237">
                  <c:v>-92.445191141778096</c:v>
                </c:pt>
                <c:pt idx="238">
                  <c:v>-92.509781063273635</c:v>
                </c:pt>
                <c:pt idx="239">
                  <c:v>-92.575699308787961</c:v>
                </c:pt>
                <c:pt idx="240">
                  <c:v>-92.642980657632137</c:v>
                </c:pt>
                <c:pt idx="241">
                  <c:v>-92.711660599627066</c:v>
                </c:pt>
                <c:pt idx="242">
                  <c:v>-92.78177535304718</c:v>
                </c:pt>
                <c:pt idx="243">
                  <c:v>-92.853361882888265</c:v>
                </c:pt>
                <c:pt idx="244">
                  <c:v>-92.92645791946461</c:v>
                </c:pt>
                <c:pt idx="245">
                  <c:v>-93.001101977340696</c:v>
                </c:pt>
                <c:pt idx="246">
                  <c:v>-93.077333374602276</c:v>
                </c:pt>
                <c:pt idx="247">
                  <c:v>-93.155192252471778</c:v>
                </c:pt>
                <c:pt idx="248">
                  <c:v>-93.234719595272509</c:v>
                </c:pt>
                <c:pt idx="249">
                  <c:v>-93.315957250746109</c:v>
                </c:pt>
                <c:pt idx="250">
                  <c:v>-93.398947950727447</c:v>
                </c:pt>
                <c:pt idx="251">
                  <c:v>-93.483735332180416</c:v>
                </c:pt>
                <c:pt idx="252">
                  <c:v>-93.570363958598733</c:v>
                </c:pt>
                <c:pt idx="253">
                  <c:v>-93.658879341774622</c:v>
                </c:pt>
                <c:pt idx="254">
                  <c:v>-93.749327963938129</c:v>
                </c:pt>
                <c:pt idx="255">
                  <c:v>-93.841757300269478</c:v>
                </c:pt>
                <c:pt idx="256">
                  <c:v>-93.936215841786705</c:v>
                </c:pt>
                <c:pt idx="257">
                  <c:v>-94.032753118609719</c:v>
                </c:pt>
                <c:pt idx="258">
                  <c:v>-94.131419723601638</c:v>
                </c:pt>
                <c:pt idx="259">
                  <c:v>-94.232267336387977</c:v>
                </c:pt>
                <c:pt idx="260">
                  <c:v>-94.335348747753073</c:v>
                </c:pt>
                <c:pt idx="261">
                  <c:v>-94.440717884412678</c:v>
                </c:pt>
                <c:pt idx="262">
                  <c:v>-94.548429834161141</c:v>
                </c:pt>
                <c:pt idx="263">
                  <c:v>-94.658540871390059</c:v>
                </c:pt>
                <c:pt idx="264">
                  <c:v>-94.771108482975208</c:v>
                </c:pt>
                <c:pt idx="265">
                  <c:v>-94.886191394526676</c:v>
                </c:pt>
                <c:pt idx="266">
                  <c:v>-95.003849596997071</c:v>
                </c:pt>
                <c:pt idx="267">
                  <c:v>-95.124144373640348</c:v>
                </c:pt>
                <c:pt idx="268">
                  <c:v>-95.247138327313692</c:v>
                </c:pt>
                <c:pt idx="269">
                  <c:v>-95.372895408112498</c:v>
                </c:pt>
                <c:pt idx="270">
                  <c:v>-95.501480941327841</c:v>
                </c:pt>
                <c:pt idx="271">
                  <c:v>-95.632961655713842</c:v>
                </c:pt>
                <c:pt idx="272">
                  <c:v>-95.76740571205022</c:v>
                </c:pt>
                <c:pt idx="273">
                  <c:v>-95.904882731984898</c:v>
                </c:pt>
                <c:pt idx="274">
                  <c:v>-96.045463827137354</c:v>
                </c:pt>
                <c:pt idx="275">
                  <c:v>-96.189221628443576</c:v>
                </c:pt>
                <c:pt idx="276">
                  <c:v>-96.336230315719547</c:v>
                </c:pt>
                <c:pt idx="277">
                  <c:v>-96.486565647418175</c:v>
                </c:pt>
                <c:pt idx="278">
                  <c:v>-96.64030499055248</c:v>
                </c:pt>
                <c:pt idx="279">
                  <c:v>-96.797527350754336</c:v>
                </c:pt>
                <c:pt idx="280">
                  <c:v>-96.958313402435124</c:v>
                </c:pt>
                <c:pt idx="281">
                  <c:v>-97.122745519011488</c:v>
                </c:pt>
                <c:pt idx="282">
                  <c:v>-97.290907803156728</c:v>
                </c:pt>
                <c:pt idx="283">
                  <c:v>-97.462886117032483</c:v>
                </c:pt>
                <c:pt idx="284">
                  <c:v>-97.638768112453803</c:v>
                </c:pt>
                <c:pt idx="285">
                  <c:v>-97.81864326093492</c:v>
                </c:pt>
                <c:pt idx="286">
                  <c:v>-98.002602883558851</c:v>
                </c:pt>
                <c:pt idx="287">
                  <c:v>-98.190740180609566</c:v>
                </c:pt>
                <c:pt idx="288">
                  <c:v>-98.383150260899143</c:v>
                </c:pt>
                <c:pt idx="289">
                  <c:v>-98.579930170718242</c:v>
                </c:pt>
                <c:pt idx="290">
                  <c:v>-98.781178922331264</c:v>
                </c:pt>
                <c:pt idx="291">
                  <c:v>-98.986997521931613</c:v>
                </c:pt>
                <c:pt idx="292">
                  <c:v>-99.197488996966257</c:v>
                </c:pt>
                <c:pt idx="293">
                  <c:v>-99.412758422730775</c:v>
                </c:pt>
                <c:pt idx="294">
                  <c:v>-99.632912948129729</c:v>
                </c:pt>
                <c:pt idx="295">
                  <c:v>-99.85806182048816</c:v>
                </c:pt>
                <c:pt idx="296">
                  <c:v>-100.08831640929223</c:v>
                </c:pt>
                <c:pt idx="297">
                  <c:v>-100.32379022872784</c:v>
                </c:pt>
                <c:pt idx="298">
                  <c:v>-100.56459895887727</c:v>
                </c:pt>
                <c:pt idx="299">
                  <c:v>-100.81086046542184</c:v>
                </c:pt>
                <c:pt idx="300">
                  <c:v>-101.06269481769138</c:v>
                </c:pt>
                <c:pt idx="301">
                  <c:v>-101.32022430488681</c:v>
                </c:pt>
                <c:pt idx="302">
                  <c:v>-101.58357345029266</c:v>
                </c:pt>
                <c:pt idx="303">
                  <c:v>-101.85286902328289</c:v>
                </c:pt>
                <c:pt idx="304">
                  <c:v>-102.12824004891161</c:v>
                </c:pt>
                <c:pt idx="305">
                  <c:v>-102.40981781486416</c:v>
                </c:pt>
                <c:pt idx="306">
                  <c:v>-102.69773587553409</c:v>
                </c:pt>
                <c:pt idx="307">
                  <c:v>-102.99213005297156</c:v>
                </c:pt>
                <c:pt idx="308">
                  <c:v>-103.29313843443742</c:v>
                </c:pt>
                <c:pt idx="309">
                  <c:v>-103.60090136627824</c:v>
                </c:pt>
                <c:pt idx="310">
                  <c:v>-103.91556144382253</c:v>
                </c:pt>
                <c:pt idx="311">
                  <c:v>-104.23726349697901</c:v>
                </c:pt>
                <c:pt idx="312">
                  <c:v>-104.56615457120186</c:v>
                </c:pt>
                <c:pt idx="313">
                  <c:v>-104.9023839034667</c:v>
                </c:pt>
                <c:pt idx="314">
                  <c:v>-105.24610289288363</c:v>
                </c:pt>
                <c:pt idx="315">
                  <c:v>-105.59746506555246</c:v>
                </c:pt>
                <c:pt idx="316">
                  <c:v>-105.95662603324568</c:v>
                </c:pt>
                <c:pt idx="317">
                  <c:v>-106.32374344548364</c:v>
                </c:pt>
                <c:pt idx="318">
                  <c:v>-106.69897693454539</c:v>
                </c:pt>
                <c:pt idx="319">
                  <c:v>-107.0824880529351</c:v>
                </c:pt>
                <c:pt idx="320">
                  <c:v>-107.47444020280794</c:v>
                </c:pt>
                <c:pt idx="321">
                  <c:v>-107.87499855682914</c:v>
                </c:pt>
                <c:pt idx="322">
                  <c:v>-108.28432996992717</c:v>
                </c:pt>
                <c:pt idx="323">
                  <c:v>-108.70260288137395</c:v>
                </c:pt>
                <c:pt idx="324">
                  <c:v>-109.12998720660886</c:v>
                </c:pt>
                <c:pt idx="325">
                  <c:v>-109.56665421819824</c:v>
                </c:pt>
                <c:pt idx="326">
                  <c:v>-110.01277641530631</c:v>
                </c:pt>
                <c:pt idx="327">
                  <c:v>-110.46852738103776</c:v>
                </c:pt>
                <c:pt idx="328">
                  <c:v>-110.93408162698412</c:v>
                </c:pt>
                <c:pt idx="329">
                  <c:v>-111.40961442430871</c:v>
                </c:pt>
                <c:pt idx="330">
                  <c:v>-111.89530162067135</c:v>
                </c:pt>
                <c:pt idx="331">
                  <c:v>-112.39131944230327</c:v>
                </c:pt>
                <c:pt idx="332">
                  <c:v>-112.89784428052013</c:v>
                </c:pt>
                <c:pt idx="333">
                  <c:v>-113.41505246196627</c:v>
                </c:pt>
                <c:pt idx="334">
                  <c:v>-113.94312000187617</c:v>
                </c:pt>
                <c:pt idx="335">
                  <c:v>-114.48222233965078</c:v>
                </c:pt>
                <c:pt idx="336">
                  <c:v>-115.03253405604531</c:v>
                </c:pt>
                <c:pt idx="337">
                  <c:v>-115.59422857129388</c:v>
                </c:pt>
                <c:pt idx="338">
                  <c:v>-116.16747782350149</c:v>
                </c:pt>
                <c:pt idx="339">
                  <c:v>-116.75245192667427</c:v>
                </c:pt>
                <c:pt idx="340">
                  <c:v>-117.34931880778866</c:v>
                </c:pt>
                <c:pt idx="341">
                  <c:v>-117.95824382234655</c:v>
                </c:pt>
                <c:pt idx="342">
                  <c:v>-118.57938934791358</c:v>
                </c:pt>
                <c:pt idx="343">
                  <c:v>-119.2129143552052</c:v>
                </c:pt>
                <c:pt idx="344">
                  <c:v>-119.85897395635547</c:v>
                </c:pt>
                <c:pt idx="345">
                  <c:v>-120.51771893009131</c:v>
                </c:pt>
                <c:pt idx="346">
                  <c:v>-121.18929522362987</c:v>
                </c:pt>
                <c:pt idx="347">
                  <c:v>-121.87384343122937</c:v>
                </c:pt>
                <c:pt idx="348">
                  <c:v>-122.57149824944696</c:v>
                </c:pt>
                <c:pt idx="349">
                  <c:v>-123.28238790929541</c:v>
                </c:pt>
                <c:pt idx="350">
                  <c:v>-124.00663358564333</c:v>
                </c:pt>
                <c:pt idx="351">
                  <c:v>-124.74434878436813</c:v>
                </c:pt>
                <c:pt idx="352">
                  <c:v>-125.49563870796398</c:v>
                </c:pt>
                <c:pt idx="353">
                  <c:v>-126.2605996004896</c:v>
                </c:pt>
                <c:pt idx="354">
                  <c:v>-127.03931807297361</c:v>
                </c:pt>
                <c:pt idx="355">
                  <c:v>-127.83187041060498</c:v>
                </c:pt>
                <c:pt idx="356">
                  <c:v>-128.63832186329387</c:v>
                </c:pt>
                <c:pt idx="357">
                  <c:v>-129.45872592143903</c:v>
                </c:pt>
                <c:pt idx="358">
                  <c:v>-130.29312357900386</c:v>
                </c:pt>
                <c:pt idx="359">
                  <c:v>-131.14154258629156</c:v>
                </c:pt>
                <c:pt idx="360">
                  <c:v>-132.00399669509295</c:v>
                </c:pt>
                <c:pt idx="361">
                  <c:v>-132.88048489917716</c:v>
                </c:pt>
                <c:pt idx="362">
                  <c:v>-133.77099067340058</c:v>
                </c:pt>
                <c:pt idx="363">
                  <c:v>-134.67548121500778</c:v>
                </c:pt>
                <c:pt idx="364">
                  <c:v>-135.59390669099875</c:v>
                </c:pt>
                <c:pt idx="365">
                  <c:v>-136.5261994957313</c:v>
                </c:pt>
                <c:pt idx="366">
                  <c:v>-137.47227352321823</c:v>
                </c:pt>
                <c:pt idx="367">
                  <c:v>-138.43202345883452</c:v>
                </c:pt>
                <c:pt idx="368">
                  <c:v>-139.40532409541879</c:v>
                </c:pt>
                <c:pt idx="369">
                  <c:v>-140.39202967896722</c:v>
                </c:pt>
                <c:pt idx="370">
                  <c:v>-141.3919732893161</c:v>
                </c:pt>
                <c:pt idx="371">
                  <c:v>-142.40496626138022</c:v>
                </c:pt>
                <c:pt idx="372">
                  <c:v>-143.4307976526224</c:v>
                </c:pt>
                <c:pt idx="373">
                  <c:v>-144.46923376251203</c:v>
                </c:pt>
                <c:pt idx="374">
                  <c:v>-145.52001770975514</c:v>
                </c:pt>
                <c:pt idx="375">
                  <c:v>-146.58286907303605</c:v>
                </c:pt>
                <c:pt idx="376">
                  <c:v>-147.65748360092758</c:v>
                </c:pt>
                <c:pt idx="377">
                  <c:v>-148.74353299646035</c:v>
                </c:pt>
                <c:pt idx="378">
                  <c:v>-149.8406647816127</c:v>
                </c:pt>
                <c:pt idx="379">
                  <c:v>-150.94850224669142</c:v>
                </c:pt>
                <c:pt idx="380">
                  <c:v>-152.06664448919076</c:v>
                </c:pt>
                <c:pt idx="381">
                  <c:v>-153.19466654628465</c:v>
                </c:pt>
                <c:pt idx="382">
                  <c:v>-154.33211962458026</c:v>
                </c:pt>
                <c:pt idx="383">
                  <c:v>-155.47853143018116</c:v>
                </c:pt>
                <c:pt idx="384">
                  <c:v>-156.63340660145039</c:v>
                </c:pt>
                <c:pt idx="385">
                  <c:v>-157.79622724614853</c:v>
                </c:pt>
                <c:pt idx="386">
                  <c:v>-158.96645358385405</c:v>
                </c:pt>
                <c:pt idx="387">
                  <c:v>-160.14352469374992</c:v>
                </c:pt>
                <c:pt idx="388">
                  <c:v>-161.32685936699923</c:v>
                </c:pt>
                <c:pt idx="389">
                  <c:v>-162.51585706204835</c:v>
                </c:pt>
                <c:pt idx="390">
                  <c:v>-163.70989896028726</c:v>
                </c:pt>
                <c:pt idx="391">
                  <c:v>-164.90834911858093</c:v>
                </c:pt>
                <c:pt idx="392">
                  <c:v>-166.11055571428216</c:v>
                </c:pt>
                <c:pt idx="393">
                  <c:v>-167.31585237744395</c:v>
                </c:pt>
                <c:pt idx="394">
                  <c:v>-168.52355960409821</c:v>
                </c:pt>
                <c:pt idx="395">
                  <c:v>-169.73298624365844</c:v>
                </c:pt>
                <c:pt idx="396">
                  <c:v>-170.94343105274601</c:v>
                </c:pt>
                <c:pt idx="397">
                  <c:v>-172.15418430707467</c:v>
                </c:pt>
                <c:pt idx="398">
                  <c:v>-173.3645294624157</c:v>
                </c:pt>
                <c:pt idx="399">
                  <c:v>-174.57374485517039</c:v>
                </c:pt>
                <c:pt idx="400">
                  <c:v>-175.78110543266953</c:v>
                </c:pt>
                <c:pt idx="401">
                  <c:v>-176.98588450302805</c:v>
                </c:pt>
                <c:pt idx="402">
                  <c:v>-178.18735549419318</c:v>
                </c:pt>
                <c:pt idx="403">
                  <c:v>-179.38479371176655</c:v>
                </c:pt>
                <c:pt idx="404">
                  <c:v>179.42252191477007</c:v>
                </c:pt>
                <c:pt idx="405">
                  <c:v>178.23530710762756</c:v>
                </c:pt>
                <c:pt idx="406">
                  <c:v>177.05427054799625</c:v>
                </c:pt>
                <c:pt idx="407">
                  <c:v>175.88011222457143</c:v>
                </c:pt>
                <c:pt idx="408">
                  <c:v>174.71352183234129</c:v>
                </c:pt>
                <c:pt idx="409">
                  <c:v>173.55517723007634</c:v>
                </c:pt>
                <c:pt idx="410">
                  <c:v>172.40574296427812</c:v>
                </c:pt>
                <c:pt idx="411">
                  <c:v>171.26586886659737</c:v>
                </c:pt>
                <c:pt idx="412">
                  <c:v>170.13618873091707</c:v>
                </c:pt>
                <c:pt idx="413">
                  <c:v>169.01731907544351</c:v>
                </c:pt>
                <c:pt idx="414">
                  <c:v>167.90985799424041</c:v>
                </c:pt>
                <c:pt idx="415">
                  <c:v>166.81438410173268</c:v>
                </c:pt>
                <c:pt idx="416">
                  <c:v>165.73145557277181</c:v>
                </c:pt>
                <c:pt idx="417">
                  <c:v>164.66160927993559</c:v>
                </c:pt>
                <c:pt idx="418">
                  <c:v>163.60536002882563</c:v>
                </c:pt>
                <c:pt idx="419">
                  <c:v>162.56319989124751</c:v>
                </c:pt>
                <c:pt idx="420">
                  <c:v>161.53559763531297</c:v>
                </c:pt>
                <c:pt idx="421">
                  <c:v>160.52299825071438</c:v>
                </c:pt>
                <c:pt idx="422">
                  <c:v>159.52582256668649</c:v>
                </c:pt>
                <c:pt idx="423">
                  <c:v>158.54446695948141</c:v>
                </c:pt>
                <c:pt idx="424">
                  <c:v>157.57930314559511</c:v>
                </c:pt>
                <c:pt idx="425">
                  <c:v>156.63067805642908</c:v>
                </c:pt>
                <c:pt idx="426">
                  <c:v>155.69891378962001</c:v>
                </c:pt>
                <c:pt idx="427">
                  <c:v>154.78430763188859</c:v>
                </c:pt>
                <c:pt idx="428">
                  <c:v>153.88713214793998</c:v>
                </c:pt>
                <c:pt idx="429">
                  <c:v>153.00763532971607</c:v>
                </c:pt>
                <c:pt idx="430">
                  <c:v>152.14604080015803</c:v>
                </c:pt>
                <c:pt idx="431">
                  <c:v>151.30254806551767</c:v>
                </c:pt>
                <c:pt idx="432">
                  <c:v>150.4773328102649</c:v>
                </c:pt>
                <c:pt idx="433">
                  <c:v>149.67054722865544</c:v>
                </c:pt>
                <c:pt idx="434">
                  <c:v>148.88232038714625</c:v>
                </c:pt>
                <c:pt idx="435">
                  <c:v>148.11275861197959</c:v>
                </c:pt>
                <c:pt idx="436">
                  <c:v>147.36194589647337</c:v>
                </c:pt>
                <c:pt idx="437">
                  <c:v>146.62994432280081</c:v>
                </c:pt>
                <c:pt idx="438">
                  <c:v>145.91679449332361</c:v>
                </c:pt>
                <c:pt idx="439">
                  <c:v>145.22251596686951</c:v>
                </c:pt>
                <c:pt idx="440">
                  <c:v>144.5471076956895</c:v>
                </c:pt>
                <c:pt idx="441">
                  <c:v>143.89054845920523</c:v>
                </c:pt>
                <c:pt idx="442">
                  <c:v>143.25279729105108</c:v>
                </c:pt>
                <c:pt idx="443">
                  <c:v>142.63379389632433</c:v>
                </c:pt>
                <c:pt idx="444">
                  <c:v>142.0334590563761</c:v>
                </c:pt>
                <c:pt idx="445">
                  <c:v>141.45169501890777</c:v>
                </c:pt>
                <c:pt idx="446">
                  <c:v>140.88838587157298</c:v>
                </c:pt>
                <c:pt idx="447">
                  <c:v>140.34339789771798</c:v>
                </c:pt>
                <c:pt idx="448">
                  <c:v>139.81657991333449</c:v>
                </c:pt>
                <c:pt idx="449">
                  <c:v>139.30776358472818</c:v>
                </c:pt>
                <c:pt idx="450">
                  <c:v>138.81676372683486</c:v>
                </c:pt>
                <c:pt idx="451">
                  <c:v>138.3433785825371</c:v>
                </c:pt>
                <c:pt idx="452">
                  <c:v>137.88739008373736</c:v>
                </c:pt>
                <c:pt idx="453">
                  <c:v>137.44856409534631</c:v>
                </c:pt>
                <c:pt idx="454">
                  <c:v>137.02665064372377</c:v>
                </c:pt>
                <c:pt idx="455">
                  <c:v>136.62138413147335</c:v>
                </c:pt>
                <c:pt idx="456">
                  <c:v>136.23248354083654</c:v>
                </c:pt>
                <c:pt idx="457">
                  <c:v>135.85965262826068</c:v>
                </c:pt>
                <c:pt idx="458">
                  <c:v>135.50258011300824</c:v>
                </c:pt>
                <c:pt idx="459">
                  <c:v>135.16093986295161</c:v>
                </c:pt>
                <c:pt idx="460">
                  <c:v>134.83439108093921</c:v>
                </c:pt>
                <c:pt idx="461">
                  <c:v>134.52257849533373</c:v>
                </c:pt>
                <c:pt idx="462">
                  <c:v>134.22513255849285</c:v>
                </c:pt>
                <c:pt idx="463">
                  <c:v>133.94166965711207</c:v>
                </c:pt>
                <c:pt idx="464">
                  <c:v>133.67179233843848</c:v>
                </c:pt>
                <c:pt idx="465">
                  <c:v>133.41508955642831</c:v>
                </c:pt>
                <c:pt idx="466">
                  <c:v>133.17113694192352</c:v>
                </c:pt>
                <c:pt idx="467">
                  <c:v>132.93949710090075</c:v>
                </c:pt>
                <c:pt idx="468">
                  <c:v>132.71971994474154</c:v>
                </c:pt>
                <c:pt idx="469">
                  <c:v>132.51134305635256</c:v>
                </c:pt>
                <c:pt idx="470">
                  <c:v>132.31389209576764</c:v>
                </c:pt>
                <c:pt idx="471">
                  <c:v>132.12688124863223</c:v>
                </c:pt>
                <c:pt idx="472">
                  <c:v>131.9498137206686</c:v>
                </c:pt>
                <c:pt idx="473">
                  <c:v>131.78218228089389</c:v>
                </c:pt>
                <c:pt idx="474">
                  <c:v>131.62346985596031</c:v>
                </c:pt>
                <c:pt idx="475">
                  <c:v>131.47315017756407</c:v>
                </c:pt>
                <c:pt idx="476">
                  <c:v>131.33068848438413</c:v>
                </c:pt>
                <c:pt idx="477">
                  <c:v>131.19554227950161</c:v>
                </c:pt>
                <c:pt idx="478">
                  <c:v>131.06716214370914</c:v>
                </c:pt>
                <c:pt idx="479">
                  <c:v>130.94499260453847</c:v>
                </c:pt>
                <c:pt idx="480">
                  <c:v>130.82847306024959</c:v>
                </c:pt>
                <c:pt idx="481">
                  <c:v>130.7170387574219</c:v>
                </c:pt>
                <c:pt idx="482">
                  <c:v>130.61012182017592</c:v>
                </c:pt>
                <c:pt idx="483">
                  <c:v>130.50715232845513</c:v>
                </c:pt>
                <c:pt idx="484">
                  <c:v>130.4075594422041</c:v>
                </c:pt>
                <c:pt idx="485">
                  <c:v>130.31077256770925</c:v>
                </c:pt>
                <c:pt idx="486">
                  <c:v>130.21622256182775</c:v>
                </c:pt>
                <c:pt idx="487">
                  <c:v>130.12334296931994</c:v>
                </c:pt>
                <c:pt idx="488">
                  <c:v>130.03157128804628</c:v>
                </c:pt>
                <c:pt idx="489">
                  <c:v>129.94035025636495</c:v>
                </c:pt>
                <c:pt idx="490">
                  <c:v>129.8491291567218</c:v>
                </c:pt>
                <c:pt idx="491">
                  <c:v>129.75736512911118</c:v>
                </c:pt>
                <c:pt idx="492">
                  <c:v>129.66452448786458</c:v>
                </c:pt>
                <c:pt idx="493">
                  <c:v>129.57008403503687</c:v>
                </c:pt>
                <c:pt idx="494">
                  <c:v>129.47353236356773</c:v>
                </c:pt>
                <c:pt idx="495">
                  <c:v>129.37437114334435</c:v>
                </c:pt>
                <c:pt idx="496">
                  <c:v>129.2721163833202</c:v>
                </c:pt>
                <c:pt idx="497">
                  <c:v>129.1662996629284</c:v>
                </c:pt>
                <c:pt idx="498">
                  <c:v>129.05646932616358</c:v>
                </c:pt>
                <c:pt idx="499">
                  <c:v>128.94219163191423</c:v>
                </c:pt>
                <c:pt idx="500">
                  <c:v>128.82305185435942</c:v>
                </c:pt>
                <c:pt idx="501">
                  <c:v>128.69865532754019</c:v>
                </c:pt>
                <c:pt idx="502">
                  <c:v>128.56862842854167</c:v>
                </c:pt>
                <c:pt idx="503">
                  <c:v>128.43261949407591</c:v>
                </c:pt>
                <c:pt idx="504">
                  <c:v>128.29029966564948</c:v>
                </c:pt>
                <c:pt idx="505">
                  <c:v>128.1413636589059</c:v>
                </c:pt>
                <c:pt idx="506">
                  <c:v>127.98553045315329</c:v>
                </c:pt>
                <c:pt idx="507">
                  <c:v>127.82254389753594</c:v>
                </c:pt>
                <c:pt idx="508">
                  <c:v>127.65217323074909</c:v>
                </c:pt>
                <c:pt idx="509">
                  <c:v>127.47421351165583</c:v>
                </c:pt>
                <c:pt idx="510">
                  <c:v>127.28848595861965</c:v>
                </c:pt>
                <c:pt idx="511">
                  <c:v>127.09483819582765</c:v>
                </c:pt>
                <c:pt idx="512">
                  <c:v>126.89314440534848</c:v>
                </c:pt>
                <c:pt idx="513">
                  <c:v>126.6833053841134</c:v>
                </c:pt>
                <c:pt idx="514">
                  <c:v>126.46524850549791</c:v>
                </c:pt>
                <c:pt idx="515">
                  <c:v>126.2389275856153</c:v>
                </c:pt>
                <c:pt idx="516">
                  <c:v>126.00432265492083</c:v>
                </c:pt>
                <c:pt idx="517">
                  <c:v>125.76143963617537</c:v>
                </c:pt>
                <c:pt idx="518">
                  <c:v>125.51030993028083</c:v>
                </c:pt>
                <c:pt idx="519">
                  <c:v>125.25098991197959</c:v>
                </c:pt>
                <c:pt idx="520">
                  <c:v>124.98356033785149</c:v>
                </c:pt>
                <c:pt idx="521">
                  <c:v>124.70812566952462</c:v>
                </c:pt>
                <c:pt idx="522">
                  <c:v>124.42481331546318</c:v>
                </c:pt>
                <c:pt idx="523">
                  <c:v>124.13377279515329</c:v>
                </c:pt>
                <c:pt idx="524">
                  <c:v>123.83517482995101</c:v>
                </c:pt>
                <c:pt idx="525">
                  <c:v>123.52921036528814</c:v>
                </c:pt>
                <c:pt idx="526">
                  <c:v>123.21608952934164</c:v>
                </c:pt>
                <c:pt idx="527">
                  <c:v>122.89604053367209</c:v>
                </c:pt>
                <c:pt idx="528">
                  <c:v>122.56930852169445</c:v>
                </c:pt>
                <c:pt idx="529">
                  <c:v>122.23615437117306</c:v>
                </c:pt>
                <c:pt idx="530">
                  <c:v>121.89685345724125</c:v>
                </c:pt>
                <c:pt idx="531">
                  <c:v>121.55169438267602</c:v>
                </c:pt>
                <c:pt idx="532">
                  <c:v>121.20097768237464</c:v>
                </c:pt>
                <c:pt idx="533">
                  <c:v>120.84501450911449</c:v>
                </c:pt>
                <c:pt idx="534">
                  <c:v>120.48412530777857</c:v>
                </c:pt>
                <c:pt idx="535">
                  <c:v>120.11863848524911</c:v>
                </c:pt>
                <c:pt idx="536">
                  <c:v>119.74888908313457</c:v>
                </c:pt>
                <c:pt idx="537">
                  <c:v>119.37521746040699</c:v>
                </c:pt>
                <c:pt idx="538">
                  <c:v>118.99796799284775</c:v>
                </c:pt>
                <c:pt idx="539">
                  <c:v>118.61748779598038</c:v>
                </c:pt>
                <c:pt idx="540">
                  <c:v>118.23412547787885</c:v>
                </c:pt>
                <c:pt idx="541">
                  <c:v>117.8482299278869</c:v>
                </c:pt>
              </c:numCache>
            </c:numRef>
          </c:yVal>
          <c:smooth val="1"/>
          <c:extLst>
            <c:ext xmlns:c16="http://schemas.microsoft.com/office/drawing/2014/chart" uri="{C3380CC4-5D6E-409C-BE32-E72D297353CC}">
              <c16:uniqueId val="{00000001-1B3F-4802-9751-4D21F96C72BF}"/>
            </c:ext>
          </c:extLst>
        </c:ser>
        <c:dLbls>
          <c:showLegendKey val="0"/>
          <c:showVal val="0"/>
          <c:showCatName val="0"/>
          <c:showSerName val="0"/>
          <c:showPercent val="0"/>
          <c:showBubbleSize val="0"/>
        </c:dLbls>
        <c:axId val="385829504"/>
        <c:axId val="385827968"/>
      </c:scatterChart>
      <c:valAx>
        <c:axId val="385819776"/>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385821696"/>
        <c:crosses val="autoZero"/>
        <c:crossBetween val="midCat"/>
      </c:valAx>
      <c:valAx>
        <c:axId val="385821696"/>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385819776"/>
        <c:crosses val="autoZero"/>
        <c:crossBetween val="midCat"/>
        <c:majorUnit val="20"/>
        <c:minorUnit val="10"/>
      </c:valAx>
      <c:valAx>
        <c:axId val="385827968"/>
        <c:scaling>
          <c:orientation val="minMax"/>
          <c:max val="180"/>
          <c:min val="-180"/>
        </c:scaling>
        <c:delete val="0"/>
        <c:axPos val="r"/>
        <c:numFmt formatCode="General" sourceLinked="1"/>
        <c:majorTickMark val="out"/>
        <c:minorTickMark val="none"/>
        <c:tickLblPos val="nextTo"/>
        <c:crossAx val="385829504"/>
        <c:crosses val="max"/>
        <c:crossBetween val="midCat"/>
        <c:majorUnit val="90"/>
        <c:minorUnit val="45"/>
      </c:valAx>
      <c:valAx>
        <c:axId val="385829504"/>
        <c:scaling>
          <c:logBase val="10"/>
          <c:orientation val="minMax"/>
        </c:scaling>
        <c:delete val="1"/>
        <c:axPos val="b"/>
        <c:numFmt formatCode="0.00" sourceLinked="1"/>
        <c:majorTickMark val="out"/>
        <c:minorTickMark val="none"/>
        <c:tickLblPos val="nextTo"/>
        <c:crossAx val="385827968"/>
        <c:crosses val="autoZero"/>
        <c:crossBetween val="midCat"/>
      </c:valAx>
    </c:plotArea>
    <c:legend>
      <c:legendPos val="r"/>
      <c:layout>
        <c:manualLayout>
          <c:xMode val="edge"/>
          <c:yMode val="edge"/>
          <c:x val="0.79880558209512509"/>
          <c:y val="0.14321997959862004"/>
          <c:w val="0.13459449276057311"/>
          <c:h val="0.10691609861199437"/>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Error</a:t>
            </a:r>
            <a:r>
              <a:rPr lang="en-US" baseline="0"/>
              <a:t> Amplifier Transfer</a:t>
            </a:r>
          </a:p>
        </c:rich>
      </c:tx>
      <c:overlay val="0"/>
    </c:title>
    <c:autoTitleDeleted val="0"/>
    <c:plotArea>
      <c:layout/>
      <c:scatterChart>
        <c:scatterStyle val="smoothMarker"/>
        <c:varyColors val="0"/>
        <c:ser>
          <c:idx val="0"/>
          <c:order val="0"/>
          <c:marker>
            <c:symbol val="none"/>
          </c:marker>
          <c:xVal>
            <c:numRef>
              <c:f>CCM_Loop_Modeling_non_isolated!$O$19:$O$560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CCM_Loop_Modeling_non_isolated!$AQ$19:$AQ$560</c:f>
              <c:numCache>
                <c:formatCode>General</c:formatCode>
                <c:ptCount val="542"/>
                <c:pt idx="0">
                  <c:v>32.127904518629549</c:v>
                </c:pt>
                <c:pt idx="1">
                  <c:v>31.928984366293527</c:v>
                </c:pt>
                <c:pt idx="2">
                  <c:v>31.73011481788005</c:v>
                </c:pt>
                <c:pt idx="3">
                  <c:v>31.53129823068312</c:v>
                </c:pt>
                <c:pt idx="4">
                  <c:v>31.332537070454507</c:v>
                </c:pt>
                <c:pt idx="5">
                  <c:v>31.133833916264045</c:v>
                </c:pt>
                <c:pt idx="6">
                  <c:v>30.935191465565772</c:v>
                </c:pt>
                <c:pt idx="7">
                  <c:v>30.736612539476262</c:v>
                </c:pt>
                <c:pt idx="8">
                  <c:v>30.538100088274227</c:v>
                </c:pt>
                <c:pt idx="9">
                  <c:v>30.33965719712732</c:v>
                </c:pt>
                <c:pt idx="10">
                  <c:v>30.141287092056302</c:v>
                </c:pt>
                <c:pt idx="11">
                  <c:v>29.942993146142094</c:v>
                </c:pt>
                <c:pt idx="12">
                  <c:v>29.744778885985824</c:v>
                </c:pt>
                <c:pt idx="13">
                  <c:v>29.546647998428874</c:v>
                </c:pt>
                <c:pt idx="14">
                  <c:v>29.348604337541587</c:v>
                </c:pt>
                <c:pt idx="15">
                  <c:v>29.150651931888696</c:v>
                </c:pt>
                <c:pt idx="16">
                  <c:v>28.952794992079781</c:v>
                </c:pt>
                <c:pt idx="17">
                  <c:v>28.755037918613269</c:v>
                </c:pt>
                <c:pt idx="18">
                  <c:v>28.557385310021122</c:v>
                </c:pt>
                <c:pt idx="19">
                  <c:v>28.359841971323267</c:v>
                </c:pt>
                <c:pt idx="20">
                  <c:v>28.162412922799156</c:v>
                </c:pt>
                <c:pt idx="21">
                  <c:v>27.965103409084012</c:v>
                </c:pt>
                <c:pt idx="22">
                  <c:v>27.767918908596837</c:v>
                </c:pt>
                <c:pt idx="23">
                  <c:v>27.570865143307842</c:v>
                </c:pt>
                <c:pt idx="24">
                  <c:v>27.373948088851215</c:v>
                </c:pt>
                <c:pt idx="25">
                  <c:v>27.17717398498969</c:v>
                </c:pt>
                <c:pt idx="26">
                  <c:v>26.980549346436003</c:v>
                </c:pt>
                <c:pt idx="27">
                  <c:v>26.784080974036556</c:v>
                </c:pt>
                <c:pt idx="28">
                  <c:v>26.587775966320667</c:v>
                </c:pt>
                <c:pt idx="29">
                  <c:v>26.391641731419266</c:v>
                </c:pt>
                <c:pt idx="30">
                  <c:v>26.195685999354687</c:v>
                </c:pt>
                <c:pt idx="31">
                  <c:v>25.999916834702347</c:v>
                </c:pt>
                <c:pt idx="32">
                  <c:v>25.804342649624527</c:v>
                </c:pt>
                <c:pt idx="33">
                  <c:v>25.608972217274435</c:v>
                </c:pt>
                <c:pt idx="34">
                  <c:v>25.413814685566273</c:v>
                </c:pt>
                <c:pt idx="35">
                  <c:v>25.218879591307658</c:v>
                </c:pt>
                <c:pt idx="36">
                  <c:v>25.024176874685633</c:v>
                </c:pt>
                <c:pt idx="37">
                  <c:v>24.829716894098155</c:v>
                </c:pt>
                <c:pt idx="38">
                  <c:v>24.635510441318722</c:v>
                </c:pt>
                <c:pt idx="39">
                  <c:v>24.441568756979525</c:v>
                </c:pt>
                <c:pt idx="40">
                  <c:v>24.247903546356699</c:v>
                </c:pt>
                <c:pt idx="41">
                  <c:v>24.054526995435953</c:v>
                </c:pt>
                <c:pt idx="42">
                  <c:v>23.861451787235826</c:v>
                </c:pt>
                <c:pt idx="43">
                  <c:v>23.668691118360883</c:v>
                </c:pt>
                <c:pt idx="44">
                  <c:v>23.476258715751968</c:v>
                </c:pt>
                <c:pt idx="45">
                  <c:v>23.284168853599819</c:v>
                </c:pt>
                <c:pt idx="46">
                  <c:v>23.092436370379023</c:v>
                </c:pt>
                <c:pt idx="47">
                  <c:v>22.901076685959634</c:v>
                </c:pt>
                <c:pt idx="48">
                  <c:v>22.710105818742402</c:v>
                </c:pt>
                <c:pt idx="49">
                  <c:v>22.51954040276436</c:v>
                </c:pt>
                <c:pt idx="50">
                  <c:v>22.32939770470978</c:v>
                </c:pt>
                <c:pt idx="51">
                  <c:v>22.13969564075963</c:v>
                </c:pt>
                <c:pt idx="52">
                  <c:v>21.950452793202814</c:v>
                </c:pt>
                <c:pt idx="53">
                  <c:v>21.761688426728124</c:v>
                </c:pt>
                <c:pt idx="54">
                  <c:v>21.573422504305448</c:v>
                </c:pt>
                <c:pt idx="55">
                  <c:v>21.385675702561056</c:v>
                </c:pt>
                <c:pt idx="56">
                  <c:v>21.198469426540822</c:v>
                </c:pt>
                <c:pt idx="57">
                  <c:v>21.01182582374782</c:v>
                </c:pt>
                <c:pt idx="58">
                  <c:v>20.825767797334052</c:v>
                </c:pt>
                <c:pt idx="59">
                  <c:v>20.640319018316326</c:v>
                </c:pt>
                <c:pt idx="60">
                  <c:v>20.455503936677179</c:v>
                </c:pt>
                <c:pt idx="61">
                  <c:v>20.271347791205621</c:v>
                </c:pt>
                <c:pt idx="62">
                  <c:v>20.087876617922014</c:v>
                </c:pt>
                <c:pt idx="63">
                  <c:v>19.90511725692371</c:v>
                </c:pt>
                <c:pt idx="64">
                  <c:v>19.723097357481581</c:v>
                </c:pt>
                <c:pt idx="65">
                  <c:v>19.541845381207366</c:v>
                </c:pt>
                <c:pt idx="66">
                  <c:v>19.361390603108056</c:v>
                </c:pt>
                <c:pt idx="67">
                  <c:v>19.181763110334359</c:v>
                </c:pt>
                <c:pt idx="68">
                  <c:v>19.002993798426807</c:v>
                </c:pt>
                <c:pt idx="69">
                  <c:v>18.825114364857757</c:v>
                </c:pt>
                <c:pt idx="70">
                  <c:v>18.648157299664629</c:v>
                </c:pt>
                <c:pt idx="71">
                  <c:v>18.472155872968031</c:v>
                </c:pt>
                <c:pt idx="72">
                  <c:v>18.29714411916699</c:v>
                </c:pt>
                <c:pt idx="73">
                  <c:v>18.123156817607764</c:v>
                </c:pt>
                <c:pt idx="74">
                  <c:v>17.950229469522682</c:v>
                </c:pt>
                <c:pt idx="75">
                  <c:v>17.778398271044345</c:v>
                </c:pt>
                <c:pt idx="76">
                  <c:v>17.607700082107069</c:v>
                </c:pt>
                <c:pt idx="77">
                  <c:v>17.438172391058664</c:v>
                </c:pt>
                <c:pt idx="78">
                  <c:v>17.269853274819642</c:v>
                </c:pt>
                <c:pt idx="79">
                  <c:v>17.102781354443195</c:v>
                </c:pt>
                <c:pt idx="80">
                  <c:v>16.936995745949567</c:v>
                </c:pt>
                <c:pt idx="81">
                  <c:v>16.772536006331229</c:v>
                </c:pt>
                <c:pt idx="82">
                  <c:v>16.609442074652311</c:v>
                </c:pt>
                <c:pt idx="83">
                  <c:v>16.447754208194734</c:v>
                </c:pt>
                <c:pt idx="84">
                  <c:v>16.287512913638594</c:v>
                </c:pt>
                <c:pt idx="85">
                  <c:v>16.128758873298747</c:v>
                </c:pt>
                <c:pt idx="86">
                  <c:v>15.97153286648205</c:v>
                </c:pt>
                <c:pt idx="87">
                  <c:v>15.815875686070498</c:v>
                </c:pt>
                <c:pt idx="88">
                  <c:v>15.661828050483017</c:v>
                </c:pt>
                <c:pt idx="89">
                  <c:v>15.509430511216255</c:v>
                </c:pt>
                <c:pt idx="90">
                  <c:v>15.358723356214576</c:v>
                </c:pt>
                <c:pt idx="91">
                  <c:v>15.209746509372708</c:v>
                </c:pt>
                <c:pt idx="92">
                  <c:v>15.06253942652515</c:v>
                </c:pt>
                <c:pt idx="93">
                  <c:v>14.917140988332092</c:v>
                </c:pt>
                <c:pt idx="94">
                  <c:v>14.773589390521725</c:v>
                </c:pt>
                <c:pt idx="95">
                  <c:v>14.631922032001983</c:v>
                </c:pt>
                <c:pt idx="96">
                  <c:v>14.492175401403053</c:v>
                </c:pt>
                <c:pt idx="97">
                  <c:v>14.354384962659294</c:v>
                </c:pt>
                <c:pt idx="98">
                  <c:v>14.21858504027999</c:v>
                </c:pt>
                <c:pt idx="99">
                  <c:v>14.084808704998517</c:v>
                </c:pt>
                <c:pt idx="100">
                  <c:v>13.953087660518825</c:v>
                </c:pt>
                <c:pt idx="101">
                  <c:v>13.823452132106501</c:v>
                </c:pt>
                <c:pt idx="102">
                  <c:v>13.69593075778678</c:v>
                </c:pt>
                <c:pt idx="103">
                  <c:v>13.57055048292526</c:v>
                </c:pt>
                <c:pt idx="104">
                  <c:v>13.447336458966282</c:v>
                </c:pt>
                <c:pt idx="105">
                  <c:v>13.326311947097372</c:v>
                </c:pt>
                <c:pt idx="106">
                  <c:v>13.207498227591653</c:v>
                </c:pt>
                <c:pt idx="107">
                  <c:v>13.09091451555221</c:v>
                </c:pt>
                <c:pt idx="108">
                  <c:v>12.976577883748615</c:v>
                </c:pt>
                <c:pt idx="109">
                  <c:v>12.864503193187494</c:v>
                </c:pt>
                <c:pt idx="110">
                  <c:v>12.754703032007171</c:v>
                </c:pt>
                <c:pt idx="111">
                  <c:v>12.64718766322205</c:v>
                </c:pt>
                <c:pt idx="112">
                  <c:v>12.541964981772189</c:v>
                </c:pt>
                <c:pt idx="113">
                  <c:v>12.439040481256589</c:v>
                </c:pt>
                <c:pt idx="114">
                  <c:v>12.338417230645003</c:v>
                </c:pt>
                <c:pt idx="115">
                  <c:v>12.24009586117646</c:v>
                </c:pt>
                <c:pt idx="116">
                  <c:v>12.144074563561627</c:v>
                </c:pt>
                <c:pt idx="117">
                  <c:v>12.050349095513024</c:v>
                </c:pt>
                <c:pt idx="118">
                  <c:v>11.958912799536137</c:v>
                </c:pt>
                <c:pt idx="119">
                  <c:v>11.869756630820447</c:v>
                </c:pt>
                <c:pt idx="120">
                  <c:v>11.782869194981568</c:v>
                </c:pt>
                <c:pt idx="121">
                  <c:v>11.698236795319762</c:v>
                </c:pt>
                <c:pt idx="122">
                  <c:v>11.615843489179596</c:v>
                </c:pt>
                <c:pt idx="123">
                  <c:v>11.535671152920571</c:v>
                </c:pt>
                <c:pt idx="124">
                  <c:v>11.457699554943677</c:v>
                </c:pt>
                <c:pt idx="125">
                  <c:v>11.381906436155898</c:v>
                </c:pt>
                <c:pt idx="126">
                  <c:v>11.308267597209516</c:v>
                </c:pt>
                <c:pt idx="127">
                  <c:v>11.236756991806489</c:v>
                </c:pt>
                <c:pt idx="128">
                  <c:v>11.167346825331052</c:v>
                </c:pt>
                <c:pt idx="129">
                  <c:v>11.100007658049321</c:v>
                </c:pt>
                <c:pt idx="130">
                  <c:v>11.034708512102187</c:v>
                </c:pt>
                <c:pt idx="131">
                  <c:v>10.971416981516116</c:v>
                </c:pt>
                <c:pt idx="132">
                  <c:v>10.910099344459965</c:v>
                </c:pt>
                <c:pt idx="133">
                  <c:v>10.850720676992136</c:v>
                </c:pt>
                <c:pt idx="134">
                  <c:v>10.793244967562551</c:v>
                </c:pt>
                <c:pt idx="135">
                  <c:v>10.737635231562939</c:v>
                </c:pt>
                <c:pt idx="136">
                  <c:v>10.683853625254729</c:v>
                </c:pt>
                <c:pt idx="137">
                  <c:v>10.631861558442118</c:v>
                </c:pt>
                <c:pt idx="138">
                  <c:v>10.581619805303559</c:v>
                </c:pt>
                <c:pt idx="139">
                  <c:v>10.533088612842995</c:v>
                </c:pt>
                <c:pt idx="140">
                  <c:v>10.486227806470662</c:v>
                </c:pt>
                <c:pt idx="141">
                  <c:v>10.44099689227798</c:v>
                </c:pt>
                <c:pt idx="142">
                  <c:v>10.397355155621494</c:v>
                </c:pt>
                <c:pt idx="143">
                  <c:v>10.35526175568549</c:v>
                </c:pt>
                <c:pt idx="144">
                  <c:v>10.31467581574476</c:v>
                </c:pt>
                <c:pt idx="145">
                  <c:v>10.275556508900021</c:v>
                </c:pt>
                <c:pt idx="146">
                  <c:v>10.237863139107739</c:v>
                </c:pt>
                <c:pt idx="147">
                  <c:v>10.20155521737461</c:v>
                </c:pt>
                <c:pt idx="148">
                  <c:v>10.166592533028993</c:v>
                </c:pt>
                <c:pt idx="149">
                  <c:v>10.132935220026125</c:v>
                </c:pt>
                <c:pt idx="150">
                  <c:v>10.100543818280387</c:v>
                </c:pt>
                <c:pt idx="151">
                  <c:v>10.069379330053298</c:v>
                </c:pt>
                <c:pt idx="152">
                  <c:v>10.03940327145904</c:v>
                </c:pt>
                <c:pt idx="153">
                  <c:v>10.010577719176542</c:v>
                </c:pt>
                <c:pt idx="154">
                  <c:v>9.9828653524805695</c:v>
                </c:pt>
                <c:pt idx="155">
                  <c:v>9.9562294907309088</c:v>
                </c:pt>
                <c:pt idx="156">
                  <c:v>9.9306341264700482</c:v>
                </c:pt>
                <c:pt idx="157">
                  <c:v>9.9060439543012198</c:v>
                </c:pt>
                <c:pt idx="158">
                  <c:v>9.8824243957273534</c:v>
                </c:pt>
                <c:pt idx="159">
                  <c:v>9.8597416201429304</c:v>
                </c:pt>
                <c:pt idx="160">
                  <c:v>9.8379625621755888</c:v>
                </c:pt>
                <c:pt idx="161">
                  <c:v>9.8170549355822327</c:v>
                </c:pt>
                <c:pt idx="162">
                  <c:v>9.7969872439039509</c:v>
                </c:pt>
                <c:pt idx="163">
                  <c:v>9.7777287880860868</c:v>
                </c:pt>
                <c:pt idx="164">
                  <c:v>9.7592496712694921</c:v>
                </c:pt>
                <c:pt idx="165">
                  <c:v>9.7415208009537739</c:v>
                </c:pt>
                <c:pt idx="166">
                  <c:v>9.7245138887335809</c:v>
                </c:pt>
                <c:pt idx="167">
                  <c:v>9.7082014478000218</c:v>
                </c:pt>
                <c:pt idx="168">
                  <c:v>9.6925567883954411</c:v>
                </c:pt>
                <c:pt idx="169">
                  <c:v>9.6775540114037781</c:v>
                </c:pt>
                <c:pt idx="170">
                  <c:v>9.6631680002494811</c:v>
                </c:pt>
                <c:pt idx="171">
                  <c:v>9.6493744112725217</c:v>
                </c:pt>
                <c:pt idx="172">
                  <c:v>9.6361496627357486</c:v>
                </c:pt>
                <c:pt idx="173">
                  <c:v>9.6234709226171926</c:v>
                </c:pt>
                <c:pt idx="174">
                  <c:v>9.611316095326238</c:v>
                </c:pt>
                <c:pt idx="175">
                  <c:v>9.5996638074787501</c:v>
                </c:pt>
                <c:pt idx="176">
                  <c:v>9.5884933928539251</c:v>
                </c:pt>
                <c:pt idx="177">
                  <c:v>9.577784876650421</c:v>
                </c:pt>
                <c:pt idx="178">
                  <c:v>9.5675189591487442</c:v>
                </c:pt>
                <c:pt idx="179">
                  <c:v>9.5576769988802255</c:v>
                </c:pt>
                <c:pt idx="180">
                  <c:v>9.5482409953945471</c:v>
                </c:pt>
                <c:pt idx="181">
                  <c:v>9.5391935717107277</c:v>
                </c:pt>
                <c:pt idx="182">
                  <c:v>9.5305179565286924</c:v>
                </c:pt>
                <c:pt idx="183">
                  <c:v>9.5221979662716318</c:v>
                </c:pt>
                <c:pt idx="184">
                  <c:v>9.5142179870242121</c:v>
                </c:pt>
                <c:pt idx="185">
                  <c:v>9.5065629564229219</c:v>
                </c:pt>
                <c:pt idx="186">
                  <c:v>9.4992183455514372</c:v>
                </c:pt>
                <c:pt idx="187">
                  <c:v>9.4921701408866266</c:v>
                </c:pt>
                <c:pt idx="188">
                  <c:v>9.4854048263365023</c:v>
                </c:pt>
                <c:pt idx="189">
                  <c:v>9.4789093654061816</c:v>
                </c:pt>
                <c:pt idx="190">
                  <c:v>9.4726711835229711</c:v>
                </c:pt>
                <c:pt idx="191">
                  <c:v>9.4666781505488213</c:v>
                </c:pt>
                <c:pt idx="192">
                  <c:v>9.4609185635020214</c:v>
                </c:pt>
                <c:pt idx="193">
                  <c:v>9.4553811295089591</c:v>
                </c:pt>
                <c:pt idx="194">
                  <c:v>9.4500549490017853</c:v>
                </c:pt>
                <c:pt idx="195">
                  <c:v>9.4449294991744441</c:v>
                </c:pt>
                <c:pt idx="196">
                  <c:v>9.4399946177082104</c:v>
                </c:pt>
                <c:pt idx="197">
                  <c:v>9.4352404867735657</c:v>
                </c:pt>
                <c:pt idx="198">
                  <c:v>9.4306576173136509</c:v>
                </c:pt>
                <c:pt idx="199">
                  <c:v>9.4262368336122702</c:v>
                </c:pt>
                <c:pt idx="200">
                  <c:v>9.421969258147211</c:v>
                </c:pt>
                <c:pt idx="201">
                  <c:v>9.4178462967278893</c:v>
                </c:pt>
                <c:pt idx="202">
                  <c:v>9.4138596239144654</c:v>
                </c:pt>
                <c:pt idx="203">
                  <c:v>9.4100011687142153</c:v>
                </c:pt>
                <c:pt idx="204">
                  <c:v>9.40626310055017</c:v>
                </c:pt>
                <c:pt idx="205">
                  <c:v>9.4026378154940531</c:v>
                </c:pt>
                <c:pt idx="206">
                  <c:v>9.3991179227567692</c:v>
                </c:pt>
                <c:pt idx="207">
                  <c:v>9.3956962314264381</c:v>
                </c:pt>
                <c:pt idx="208">
                  <c:v>9.3923657374452123</c:v>
                </c:pt>
                <c:pt idx="209">
                  <c:v>9.3891196108129478</c:v>
                </c:pt>
                <c:pt idx="210">
                  <c:v>9.3859511830076592</c:v>
                </c:pt>
                <c:pt idx="211">
                  <c:v>9.3828539346099085</c:v>
                </c:pt>
                <c:pt idx="212">
                  <c:v>9.3798214831187856</c:v>
                </c:pt>
                <c:pt idx="213">
                  <c:v>9.3768475709465946</c:v>
                </c:pt>
                <c:pt idx="214">
                  <c:v>9.3739260535785593</c:v>
                </c:pt>
                <c:pt idx="215">
                  <c:v>9.3710508878838503</c:v>
                </c:pt>
                <c:pt idx="216">
                  <c:v>9.3682161205636003</c:v>
                </c:pt>
                <c:pt idx="217">
                  <c:v>9.365415876721233</c:v>
                </c:pt>
                <c:pt idx="218">
                  <c:v>9.3626443485413411</c:v>
                </c:pt>
                <c:pt idx="219">
                  <c:v>9.3598957840604982</c:v>
                </c:pt>
                <c:pt idx="220">
                  <c:v>9.357164476016731</c:v>
                </c:pt>
                <c:pt idx="221">
                  <c:v>9.3544447507609405</c:v>
                </c:pt>
                <c:pt idx="222">
                  <c:v>9.3517309572161604</c:v>
                </c:pt>
                <c:pt idx="223">
                  <c:v>9.3490174558678945</c:v>
                </c:pt>
                <c:pt idx="224">
                  <c:v>9.3462986077713612</c:v>
                </c:pt>
                <c:pt idx="225">
                  <c:v>9.3435687635589471</c:v>
                </c:pt>
                <c:pt idx="226">
                  <c:v>9.3408222524340569</c:v>
                </c:pt>
                <c:pt idx="227">
                  <c:v>9.3380533711333378</c:v>
                </c:pt>
                <c:pt idx="228">
                  <c:v>9.3352563728441336</c:v>
                </c:pt>
                <c:pt idx="229">
                  <c:v>9.3324254560610012</c:v>
                </c:pt>
                <c:pt idx="230">
                  <c:v>9.3295547533655725</c:v>
                </c:pt>
                <c:pt idx="231">
                  <c:v>9.3266383201156255</c:v>
                </c:pt>
                <c:pt idx="232">
                  <c:v>9.3236701230268473</c:v>
                </c:pt>
                <c:pt idx="233">
                  <c:v>9.3206440286351633</c:v>
                </c:pt>
                <c:pt idx="234">
                  <c:v>9.3175537916217994</c:v>
                </c:pt>
                <c:pt idx="235">
                  <c:v>9.3143930429894386</c:v>
                </c:pt>
                <c:pt idx="236">
                  <c:v>9.3111552780752245</c:v>
                </c:pt>
                <c:pt idx="237">
                  <c:v>9.3078338443852022</c:v>
                </c:pt>
                <c:pt idx="238">
                  <c:v>9.3044219292396022</c:v>
                </c:pt>
                <c:pt idx="239">
                  <c:v>9.3009125472147094</c:v>
                </c:pt>
                <c:pt idx="240">
                  <c:v>9.2972985273696604</c:v>
                </c:pt>
                <c:pt idx="241">
                  <c:v>9.2935725002473752</c:v>
                </c:pt>
                <c:pt idx="242">
                  <c:v>9.2897268846377568</c:v>
                </c:pt>
                <c:pt idx="243">
                  <c:v>9.2857538740942722</c:v>
                </c:pt>
                <c:pt idx="244">
                  <c:v>9.2816454231938241</c:v>
                </c:pt>
                <c:pt idx="245">
                  <c:v>9.2773932335334592</c:v>
                </c:pt>
                <c:pt idx="246">
                  <c:v>9.2729887394547177</c:v>
                </c:pt>
                <c:pt idx="247">
                  <c:v>9.2684230934924745</c:v>
                </c:pt>
                <c:pt idx="248">
                  <c:v>9.2636871515412054</c:v>
                </c:pt>
                <c:pt idx="249">
                  <c:v>9.2587714577382467</c:v>
                </c:pt>
                <c:pt idx="250">
                  <c:v>9.2536662290611744</c:v>
                </c:pt>
                <c:pt idx="251">
                  <c:v>9.2483613396408888</c:v>
                </c:pt>
                <c:pt idx="252">
                  <c:v>9.2428463047920495</c:v>
                </c:pt>
                <c:pt idx="253">
                  <c:v>9.2371102647675425</c:v>
                </c:pt>
                <c:pt idx="254">
                  <c:v>9.2311419682416833</c:v>
                </c:pt>
                <c:pt idx="255">
                  <c:v>9.2249297555339851</c:v>
                </c:pt>
                <c:pt idx="256">
                  <c:v>9.2184615415860272</c:v>
                </c:pt>
                <c:pt idx="257">
                  <c:v>9.2117247987059638</c:v>
                </c:pt>
                <c:pt idx="258">
                  <c:v>9.2047065391015952</c:v>
                </c:pt>
                <c:pt idx="259">
                  <c:v>9.1973932972239361</c:v>
                </c:pt>
                <c:pt idx="260">
                  <c:v>9.1897711119479499</c:v>
                </c:pt>
                <c:pt idx="261">
                  <c:v>9.1818255086225555</c:v>
                </c:pt>
                <c:pt idx="262">
                  <c:v>9.1735414810239337</c:v>
                </c:pt>
                <c:pt idx="263">
                  <c:v>9.1649034732542596</c:v>
                </c:pt>
                <c:pt idx="264">
                  <c:v>9.1558953616305754</c:v>
                </c:pt>
                <c:pt idx="265">
                  <c:v>9.14650043661495</c:v>
                </c:pt>
                <c:pt idx="266">
                  <c:v>9.1367013848432368</c:v>
                </c:pt>
                <c:pt idx="267">
                  <c:v>9.1264802713165665</c:v>
                </c:pt>
                <c:pt idx="268">
                  <c:v>9.1158185218232983</c:v>
                </c:pt>
                <c:pt idx="269">
                  <c:v>9.1046969056701741</c:v>
                </c:pt>
                <c:pt idx="270">
                  <c:v>9.0930955188055318</c:v>
                </c:pt>
                <c:pt idx="271">
                  <c:v>9.0809937674264489</c:v>
                </c:pt>
                <c:pt idx="272">
                  <c:v>9.0683703521674488</c:v>
                </c:pt>
                <c:pt idx="273">
                  <c:v>9.0552032529807338</c:v>
                </c:pt>
                <c:pt idx="274">
                  <c:v>9.0414697148196232</c:v>
                </c:pt>
                <c:pt idx="275">
                  <c:v>9.027146234252184</c:v>
                </c:pt>
                <c:pt idx="276">
                  <c:v>9.0122085471345734</c:v>
                </c:pt>
                <c:pt idx="277">
                  <c:v>8.9966316174864946</c:v>
                </c:pt>
                <c:pt idx="278">
                  <c:v>8.9803896277168729</c:v>
                </c:pt>
                <c:pt idx="279">
                  <c:v>8.9634559703569856</c:v>
                </c:pt>
                <c:pt idx="280">
                  <c:v>8.9458032414676296</c:v>
                </c:pt>
                <c:pt idx="281">
                  <c:v>8.9274032358925286</c:v>
                </c:pt>
                <c:pt idx="282">
                  <c:v>8.9082269445390292</c:v>
                </c:pt>
                <c:pt idx="283">
                  <c:v>8.8882445538732728</c:v>
                </c:pt>
                <c:pt idx="284">
                  <c:v>8.8674254478232211</c:v>
                </c:pt>
                <c:pt idx="285">
                  <c:v>8.845738212287932</c:v>
                </c:pt>
                <c:pt idx="286">
                  <c:v>8.8231506424547632</c:v>
                </c:pt>
                <c:pt idx="287">
                  <c:v>8.7996297531304375</c:v>
                </c:pt>
                <c:pt idx="288">
                  <c:v>8.7751417922911195</c:v>
                </c:pt>
                <c:pt idx="289">
                  <c:v>8.7496522580578855</c:v>
                </c:pt>
                <c:pt idx="290">
                  <c:v>8.7231259193004576</c:v>
                </c:pt>
                <c:pt idx="291">
                  <c:v>8.6955268400685544</c:v>
                </c:pt>
                <c:pt idx="292">
                  <c:v>8.6668184080423192</c:v>
                </c:pt>
                <c:pt idx="293">
                  <c:v>8.6369633671850572</c:v>
                </c:pt>
                <c:pt idx="294">
                  <c:v>8.6059238547688679</c:v>
                </c:pt>
                <c:pt idx="295">
                  <c:v>8.5736614429291951</c:v>
                </c:pt>
                <c:pt idx="296">
                  <c:v>8.5401371848853618</c:v>
                </c:pt>
                <c:pt idx="297">
                  <c:v>8.5053116659446708</c:v>
                </c:pt>
                <c:pt idx="298">
                  <c:v>8.4691450593809989</c:v>
                </c:pt>
                <c:pt idx="299">
                  <c:v>8.4315971872527555</c:v>
                </c:pt>
                <c:pt idx="300">
                  <c:v>8.3926275861918356</c:v>
                </c:pt>
                <c:pt idx="301">
                  <c:v>8.3521955781621298</c:v>
                </c:pt>
                <c:pt idx="302">
                  <c:v>8.3102603461465065</c:v>
                </c:pt>
                <c:pt idx="303">
                  <c:v>8.266781014680852</c:v>
                </c:pt>
                <c:pt idx="304">
                  <c:v>8.2217167351091671</c:v>
                </c:pt>
                <c:pt idx="305">
                  <c:v>8.1750267753867618</c:v>
                </c:pt>
                <c:pt idx="306">
                  <c:v>8.1266706142087948</c:v>
                </c:pt>
                <c:pt idx="307">
                  <c:v>8.0766080391923882</c:v>
                </c:pt>
                <c:pt idx="308">
                  <c:v>8.0247992487854543</c:v>
                </c:pt>
                <c:pt idx="309">
                  <c:v>7.9712049575243142</c:v>
                </c:pt>
                <c:pt idx="310">
                  <c:v>7.9157865042092288</c:v>
                </c:pt>
                <c:pt idx="311">
                  <c:v>7.8585059625131235</c:v>
                </c:pt>
                <c:pt idx="312">
                  <c:v>7.7993262534906895</c:v>
                </c:pt>
                <c:pt idx="313">
                  <c:v>7.7382112594043395</c:v>
                </c:pt>
                <c:pt idx="314">
                  <c:v>7.6751259382407513</c:v>
                </c:pt>
                <c:pt idx="315">
                  <c:v>7.6100364382502388</c:v>
                </c:pt>
                <c:pt idx="316">
                  <c:v>7.5429102118055757</c:v>
                </c:pt>
                <c:pt idx="317">
                  <c:v>7.4737161278483457</c:v>
                </c:pt>
                <c:pt idx="318">
                  <c:v>7.402424582168166</c:v>
                </c:pt>
                <c:pt idx="319">
                  <c:v>7.3290076047444437</c:v>
                </c:pt>
                <c:pt idx="320">
                  <c:v>7.2534389633753547</c:v>
                </c:pt>
                <c:pt idx="321">
                  <c:v>7.1756942628190483</c:v>
                </c:pt>
                <c:pt idx="322">
                  <c:v>7.0957510386862275</c:v>
                </c:pt>
                <c:pt idx="323">
                  <c:v>7.013588845340136</c:v>
                </c:pt>
                <c:pt idx="324">
                  <c:v>6.9291893370967443</c:v>
                </c:pt>
                <c:pt idx="325">
                  <c:v>6.8425363420502485</c:v>
                </c:pt>
                <c:pt idx="326">
                  <c:v>6.7536159279069574</c:v>
                </c:pt>
                <c:pt idx="327">
                  <c:v>6.6624164592610313</c:v>
                </c:pt>
                <c:pt idx="328">
                  <c:v>6.5689286458170857</c:v>
                </c:pt>
                <c:pt idx="329">
                  <c:v>6.4731455811359249</c:v>
                </c:pt>
                <c:pt idx="330">
                  <c:v>6.3750627715598096</c:v>
                </c:pt>
                <c:pt idx="331">
                  <c:v>6.2746781550594513</c:v>
                </c:pt>
                <c:pt idx="332">
                  <c:v>6.1719921098329289</c:v>
                </c:pt>
                <c:pt idx="333">
                  <c:v>6.0670074525786912</c:v>
                </c:pt>
                <c:pt idx="334">
                  <c:v>5.9597294264587646</c:v>
                </c:pt>
                <c:pt idx="335">
                  <c:v>5.8501656788581489</c:v>
                </c:pt>
                <c:pt idx="336">
                  <c:v>5.7383262291404025</c:v>
                </c:pt>
                <c:pt idx="337">
                  <c:v>5.6242234266848969</c:v>
                </c:pt>
                <c:pt idx="338">
                  <c:v>5.5078718995757869</c:v>
                </c:pt>
                <c:pt idx="339">
                  <c:v>5.3892884943907156</c:v>
                </c:pt>
                <c:pt idx="340">
                  <c:v>5.2684922076083005</c:v>
                </c:pt>
                <c:pt idx="341">
                  <c:v>5.1455041092168479</c:v>
                </c:pt>
                <c:pt idx="342">
                  <c:v>5.0203472591629392</c:v>
                </c:pt>
                <c:pt idx="343">
                  <c:v>4.8930466173244973</c:v>
                </c:pt>
                <c:pt idx="344">
                  <c:v>4.7636289477288525</c:v>
                </c:pt>
                <c:pt idx="345">
                  <c:v>4.6321227177666415</c:v>
                </c:pt>
                <c:pt idx="346">
                  <c:v>4.4985579931673163</c:v>
                </c:pt>
                <c:pt idx="347">
                  <c:v>4.3629663295120151</c:v>
                </c:pt>
                <c:pt idx="348">
                  <c:v>4.2253806610587672</c:v>
                </c:pt>
                <c:pt idx="349">
                  <c:v>4.0858351876456522</c:v>
                </c:pt>
                <c:pt idx="350">
                  <c:v>3.9443652604191701</c:v>
                </c:pt>
                <c:pt idx="351">
                  <c:v>3.8010072671121842</c:v>
                </c:pt>
                <c:pt idx="352">
                  <c:v>3.6557985175623746</c:v>
                </c:pt>
                <c:pt idx="353">
                  <c:v>3.508777130126171</c:v>
                </c:pt>
                <c:pt idx="354">
                  <c:v>3.3599819196012226</c:v>
                </c:pt>
                <c:pt idx="355">
                  <c:v>3.2094522872226823</c:v>
                </c:pt>
                <c:pt idx="356">
                  <c:v>3.0572281132531742</c:v>
                </c:pt>
                <c:pt idx="357">
                  <c:v>2.9033496526303559</c:v>
                </c:pt>
                <c:pt idx="358">
                  <c:v>2.7478574340880133</c:v>
                </c:pt>
                <c:pt idx="359">
                  <c:v>2.5907921631105104</c:v>
                </c:pt>
                <c:pt idx="360">
                  <c:v>2.4321946290280878</c:v>
                </c:pt>
                <c:pt idx="361">
                  <c:v>2.272105616510625</c:v>
                </c:pt>
                <c:pt idx="362">
                  <c:v>2.1105658216639474</c:v>
                </c:pt>
                <c:pt idx="363">
                  <c:v>1.9476157728859431</c:v>
                </c:pt>
                <c:pt idx="364">
                  <c:v>1.7832957565944039</c:v>
                </c:pt>
                <c:pt idx="365">
                  <c:v>1.617645747892458</c:v>
                </c:pt>
                <c:pt idx="366">
                  <c:v>1.4507053462003305</c:v>
                </c:pt>
                <c:pt idx="367">
                  <c:v>1.282513715843151</c:v>
                </c:pt>
                <c:pt idx="368">
                  <c:v>1.1131095315500792</c:v>
                </c:pt>
                <c:pt idx="369">
                  <c:v>0.9425309287929462</c:v>
                </c:pt>
                <c:pt idx="370">
                  <c:v>0.77081545886178837</c:v>
                </c:pt>
                <c:pt idx="371">
                  <c:v>0.59800004855353328</c:v>
                </c:pt>
                <c:pt idx="372">
                  <c:v>0.42412096432958746</c:v>
                </c:pt>
                <c:pt idx="373">
                  <c:v>0.24921378078095308</c:v>
                </c:pt>
                <c:pt idx="374">
                  <c:v>7.3313353224096892E-2</c:v>
                </c:pt>
                <c:pt idx="375">
                  <c:v>-0.10354620575749993</c:v>
                </c:pt>
                <c:pt idx="376">
                  <c:v>-0.28133154602246918</c:v>
                </c:pt>
                <c:pt idx="377">
                  <c:v>-0.46001009603202148</c:v>
                </c:pt>
                <c:pt idx="378">
                  <c:v>-0.63955007566664523</c:v>
                </c:pt>
                <c:pt idx="379">
                  <c:v>-0.81992050590650156</c:v>
                </c:pt>
                <c:pt idx="380">
                  <c:v>-1.0010912155812237</c:v>
                </c:pt>
                <c:pt idx="381">
                  <c:v>-1.1830328453946215</c:v>
                </c:pt>
                <c:pt idx="382">
                  <c:v>-1.3657168494263701</c:v>
                </c:pt>
                <c:pt idx="383">
                  <c:v>-1.5491154943078849</c:v>
                </c:pt>
                <c:pt idx="384">
                  <c:v>-1.7332018562650893</c:v>
                </c:pt>
                <c:pt idx="385">
                  <c:v>-1.9179498162135677</c:v>
                </c:pt>
                <c:pt idx="386">
                  <c:v>-2.1033340530860341</c:v>
                </c:pt>
                <c:pt idx="387">
                  <c:v>-2.2893300355634558</c:v>
                </c:pt>
                <c:pt idx="388">
                  <c:v>-2.4759140123741137</c:v>
                </c:pt>
                <c:pt idx="389">
                  <c:v>-2.6630630013156753</c:v>
                </c:pt>
                <c:pt idx="390">
                  <c:v>-2.8507547771488806</c:v>
                </c:pt>
                <c:pt idx="391">
                  <c:v>-3.038967858500853</c:v>
                </c:pt>
                <c:pt idx="392">
                  <c:v>-3.2276814939089511</c:v>
                </c:pt>
                <c:pt idx="393">
                  <c:v>-3.4168756471275241</c:v>
                </c:pt>
                <c:pt idx="394">
                  <c:v>-3.6065309818115123</c:v>
                </c:pt>
                <c:pt idx="395">
                  <c:v>-3.7966288456824193</c:v>
                </c:pt>
                <c:pt idx="396">
                  <c:v>-3.9871512542750196</c:v>
                </c:pt>
                <c:pt idx="397">
                  <c:v>-4.1780808743549507</c:v>
                </c:pt>
                <c:pt idx="398">
                  <c:v>-4.3694010070909615</c:v>
                </c:pt>
                <c:pt idx="399">
                  <c:v>-4.5610955710564722</c:v>
                </c:pt>
                <c:pt idx="400">
                  <c:v>-4.753149085131847</c:v>
                </c:pt>
                <c:pt idx="401">
                  <c:v>-4.9455466513683213</c:v>
                </c:pt>
                <c:pt idx="402">
                  <c:v>-5.138273937872663</c:v>
                </c:pt>
                <c:pt idx="403">
                  <c:v>-5.3313171617620458</c:v>
                </c:pt>
                <c:pt idx="404">
                  <c:v>-5.5246630722367733</c:v>
                </c:pt>
                <c:pt idx="405">
                  <c:v>-5.7182989338104937</c:v>
                </c:pt>
                <c:pt idx="406">
                  <c:v>-5.9122125097358538</c:v>
                </c:pt>
                <c:pt idx="407">
                  <c:v>-6.1063920456554506</c:v>
                </c:pt>
                <c:pt idx="408">
                  <c:v>-6.3008262535087187</c:v>
                </c:pt>
                <c:pt idx="409">
                  <c:v>-6.4955042957164446</c:v>
                </c:pt>
                <c:pt idx="410">
                  <c:v>-6.6904157696654121</c:v>
                </c:pt>
                <c:pt idx="411">
                  <c:v>-6.8855506925100398</c:v>
                </c:pt>
                <c:pt idx="412">
                  <c:v>-7.080899486305908</c:v>
                </c:pt>
                <c:pt idx="413">
                  <c:v>-7.2764529634873378</c:v>
                </c:pt>
                <c:pt idx="414">
                  <c:v>-7.4722023126979664</c:v>
                </c:pt>
                <c:pt idx="415">
                  <c:v>-7.6681390849828501</c:v>
                </c:pt>
                <c:pt idx="416">
                  <c:v>-7.8642551803462393</c:v>
                </c:pt>
                <c:pt idx="417">
                  <c:v>-8.0605428346794668</c:v>
                </c:pt>
                <c:pt idx="418">
                  <c:v>-8.2569946070604079</c:v>
                </c:pt>
                <c:pt idx="419">
                  <c:v>-8.4536033674252042</c:v>
                </c:pt>
                <c:pt idx="420">
                  <c:v>-8.6503622846115142</c:v>
                </c:pt>
                <c:pt idx="421">
                  <c:v>-8.8472648147706678</c:v>
                </c:pt>
                <c:pt idx="422">
                  <c:v>-9.0443046901464541</c:v>
                </c:pt>
                <c:pt idx="423">
                  <c:v>-9.2414759082164757</c:v>
                </c:pt>
                <c:pt idx="424">
                  <c:v>-9.4387727211903112</c:v>
                </c:pt>
                <c:pt idx="425">
                  <c:v>-9.6361896258612951</c:v>
                </c:pt>
                <c:pt idx="426">
                  <c:v>-9.8337213538030532</c:v>
                </c:pt>
                <c:pt idx="427">
                  <c:v>-10.031362861906846</c:v>
                </c:pt>
                <c:pt idx="428">
                  <c:v>-10.229109323250935</c:v>
                </c:pt>
                <c:pt idx="429">
                  <c:v>-10.42695611829631</c:v>
                </c:pt>
                <c:pt idx="430">
                  <c:v>-10.624898826399267</c:v>
                </c:pt>
                <c:pt idx="431">
                  <c:v>-10.822933217635187</c:v>
                </c:pt>
                <c:pt idx="432">
                  <c:v>-11.021055244923375</c:v>
                </c:pt>
                <c:pt idx="433">
                  <c:v>-11.21926103644731</c:v>
                </c:pt>
                <c:pt idx="434">
                  <c:v>-11.41754688835926</c:v>
                </c:pt>
                <c:pt idx="435">
                  <c:v>-11.615909257763843</c:v>
                </c:pt>
                <c:pt idx="436">
                  <c:v>-11.814344755969966</c:v>
                </c:pt>
                <c:pt idx="437">
                  <c:v>-12.012850142004943</c:v>
                </c:pt>
                <c:pt idx="438">
                  <c:v>-12.211422316380563</c:v>
                </c:pt>
                <c:pt idx="439">
                  <c:v>-12.41005831510542</c:v>
                </c:pt>
                <c:pt idx="440">
                  <c:v>-12.608755303932595</c:v>
                </c:pt>
                <c:pt idx="441">
                  <c:v>-12.807510572837931</c:v>
                </c:pt>
                <c:pt idx="442">
                  <c:v>-13.006321530718099</c:v>
                </c:pt>
                <c:pt idx="443">
                  <c:v>-13.205185700303746</c:v>
                </c:pt>
                <c:pt idx="444">
                  <c:v>-13.404100713277547</c:v>
                </c:pt>
                <c:pt idx="445">
                  <c:v>-13.603064305591994</c:v>
                </c:pt>
                <c:pt idx="446">
                  <c:v>-13.802074312978069</c:v>
                </c:pt>
                <c:pt idx="447">
                  <c:v>-14.001128666639111</c:v>
                </c:pt>
                <c:pt idx="448">
                  <c:v>-14.200225389122238</c:v>
                </c:pt>
                <c:pt idx="449">
                  <c:v>-14.399362590361539</c:v>
                </c:pt>
                <c:pt idx="450">
                  <c:v>-14.598538463884926</c:v>
                </c:pt>
                <c:pt idx="451">
                  <c:v>-14.797751283180837</c:v>
                </c:pt>
                <c:pt idx="452">
                  <c:v>-14.996999398216255</c:v>
                </c:pt>
                <c:pt idx="453">
                  <c:v>-15.196281232101697</c:v>
                </c:pt>
                <c:pt idx="454">
                  <c:v>-15.395595277897103</c:v>
                </c:pt>
                <c:pt idx="455">
                  <c:v>-15.59494009555285</c:v>
                </c:pt>
                <c:pt idx="456">
                  <c:v>-15.79431430898053</c:v>
                </c:pt>
                <c:pt idx="457">
                  <c:v>-15.993716603248876</c:v>
                </c:pt>
                <c:pt idx="458">
                  <c:v>-16.193145721899004</c:v>
                </c:pt>
                <c:pt idx="459">
                  <c:v>-16.392600464374507</c:v>
                </c:pt>
                <c:pt idx="460">
                  <c:v>-16.592079683562485</c:v>
                </c:pt>
                <c:pt idx="461">
                  <c:v>-16.791582283439624</c:v>
                </c:pt>
                <c:pt idx="462">
                  <c:v>-16.991107216819707</c:v>
                </c:pt>
                <c:pt idx="463">
                  <c:v>-17.190653483199295</c:v>
                </c:pt>
                <c:pt idx="464">
                  <c:v>-17.390220126695102</c:v>
                </c:pt>
                <c:pt idx="465">
                  <c:v>-17.589806234072249</c:v>
                </c:pt>
                <c:pt idx="466">
                  <c:v>-17.789410932857329</c:v>
                </c:pt>
                <c:pt idx="467">
                  <c:v>-17.989033389533517</c:v>
                </c:pt>
                <c:pt idx="468">
                  <c:v>-18.188672807814662</c:v>
                </c:pt>
                <c:pt idx="469">
                  <c:v>-18.38832842699443</c:v>
                </c:pt>
                <c:pt idx="470">
                  <c:v>-18.587999520367656</c:v>
                </c:pt>
                <c:pt idx="471">
                  <c:v>-18.787685393720896</c:v>
                </c:pt>
                <c:pt idx="472">
                  <c:v>-18.987385383888732</c:v>
                </c:pt>
                <c:pt idx="473">
                  <c:v>-19.187098857373751</c:v>
                </c:pt>
                <c:pt idx="474">
                  <c:v>-19.38682520902686</c:v>
                </c:pt>
                <c:pt idx="475">
                  <c:v>-19.586563860785876</c:v>
                </c:pt>
                <c:pt idx="476">
                  <c:v>-19.786314260469762</c:v>
                </c:pt>
                <c:pt idx="477">
                  <c:v>-19.986075880625119</c:v>
                </c:pt>
                <c:pt idx="478">
                  <c:v>-20.185848217424702</c:v>
                </c:pt>
                <c:pt idx="479">
                  <c:v>-20.38563078961381</c:v>
                </c:pt>
                <c:pt idx="480">
                  <c:v>-20.585423137503398</c:v>
                </c:pt>
                <c:pt idx="481">
                  <c:v>-20.785224822007791</c:v>
                </c:pt>
                <c:pt idx="482">
                  <c:v>-20.985035423724998</c:v>
                </c:pt>
                <c:pt idx="483">
                  <c:v>-21.184854542057536</c:v>
                </c:pt>
                <c:pt idx="484">
                  <c:v>-21.384681794372575</c:v>
                </c:pt>
                <c:pt idx="485">
                  <c:v>-21.584516815199024</c:v>
                </c:pt>
                <c:pt idx="486">
                  <c:v>-21.784359255460114</c:v>
                </c:pt>
                <c:pt idx="487">
                  <c:v>-21.984208781740875</c:v>
                </c:pt>
                <c:pt idx="488">
                  <c:v>-22.184065075587142</c:v>
                </c:pt>
                <c:pt idx="489">
                  <c:v>-22.383927832836203</c:v>
                </c:pt>
                <c:pt idx="490">
                  <c:v>-22.583796762977443</c:v>
                </c:pt>
                <c:pt idx="491">
                  <c:v>-22.783671588540994</c:v>
                </c:pt>
                <c:pt idx="492">
                  <c:v>-22.983552044513885</c:v>
                </c:pt>
                <c:pt idx="493">
                  <c:v>-23.183437877782183</c:v>
                </c:pt>
                <c:pt idx="494">
                  <c:v>-23.383328846597834</c:v>
                </c:pt>
                <c:pt idx="495">
                  <c:v>-23.583224720069616</c:v>
                </c:pt>
                <c:pt idx="496">
                  <c:v>-23.783125277676383</c:v>
                </c:pt>
                <c:pt idx="497">
                  <c:v>-23.983030308802245</c:v>
                </c:pt>
                <c:pt idx="498">
                  <c:v>-24.182939612292756</c:v>
                </c:pt>
                <c:pt idx="499">
                  <c:v>-24.382852996030252</c:v>
                </c:pt>
                <c:pt idx="500">
                  <c:v>-24.582770276529004</c:v>
                </c:pt>
                <c:pt idx="501">
                  <c:v>-24.782691278547595</c:v>
                </c:pt>
                <c:pt idx="502">
                  <c:v>-24.98261583471951</c:v>
                </c:pt>
                <c:pt idx="503">
                  <c:v>-25.182543785199421</c:v>
                </c:pt>
                <c:pt idx="504">
                  <c:v>-25.382474977326002</c:v>
                </c:pt>
                <c:pt idx="505">
                  <c:v>-25.582409265299233</c:v>
                </c:pt>
                <c:pt idx="506">
                  <c:v>-25.782346509872639</c:v>
                </c:pt>
                <c:pt idx="507">
                  <c:v>-25.982286578058861</c:v>
                </c:pt>
                <c:pt idx="508">
                  <c:v>-26.182229342848924</c:v>
                </c:pt>
                <c:pt idx="509">
                  <c:v>-26.382174682943543</c:v>
                </c:pt>
                <c:pt idx="510">
                  <c:v>-26.582122482496878</c:v>
                </c:pt>
                <c:pt idx="511">
                  <c:v>-26.782072630871646</c:v>
                </c:pt>
                <c:pt idx="512">
                  <c:v>-26.982025022404841</c:v>
                </c:pt>
                <c:pt idx="513">
                  <c:v>-27.181979556184768</c:v>
                </c:pt>
                <c:pt idx="514">
                  <c:v>-27.381936135837329</c:v>
                </c:pt>
                <c:pt idx="515">
                  <c:v>-27.581894669322033</c:v>
                </c:pt>
                <c:pt idx="516">
                  <c:v>-27.781855068737901</c:v>
                </c:pt>
                <c:pt idx="517">
                  <c:v>-27.981817250136473</c:v>
                </c:pt>
                <c:pt idx="518">
                  <c:v>-28.181781133344966</c:v>
                </c:pt>
                <c:pt idx="519">
                  <c:v>-28.381746641796546</c:v>
                </c:pt>
                <c:pt idx="520">
                  <c:v>-28.581713702367708</c:v>
                </c:pt>
                <c:pt idx="521">
                  <c:v>-28.781682245224225</c:v>
                </c:pt>
                <c:pt idx="522">
                  <c:v>-28.98165220367261</c:v>
                </c:pt>
                <c:pt idx="523">
                  <c:v>-29.181623514019609</c:v>
                </c:pt>
                <c:pt idx="524">
                  <c:v>-29.381596115436661</c:v>
                </c:pt>
                <c:pt idx="525">
                  <c:v>-29.581569949831767</c:v>
                </c:pt>
                <c:pt idx="526">
                  <c:v>-29.781544961725913</c:v>
                </c:pt>
                <c:pt idx="527">
                  <c:v>-29.981521098135886</c:v>
                </c:pt>
                <c:pt idx="528">
                  <c:v>-30.18149830846184</c:v>
                </c:pt>
                <c:pt idx="529">
                  <c:v>-30.381476544380472</c:v>
                </c:pt>
                <c:pt idx="530">
                  <c:v>-30.581455759742283</c:v>
                </c:pt>
                <c:pt idx="531">
                  <c:v>-30.78143591047413</c:v>
                </c:pt>
                <c:pt idx="532">
                  <c:v>-30.981416954485489</c:v>
                </c:pt>
                <c:pt idx="533">
                  <c:v>-31.181398851579559</c:v>
                </c:pt>
                <c:pt idx="534">
                  <c:v>-31.381381563368116</c:v>
                </c:pt>
                <c:pt idx="535">
                  <c:v>-31.581365053190247</c:v>
                </c:pt>
                <c:pt idx="536">
                  <c:v>-31.781349286034146</c:v>
                </c:pt>
                <c:pt idx="537">
                  <c:v>-31.981334228463496</c:v>
                </c:pt>
                <c:pt idx="538">
                  <c:v>-32.181319848546394</c:v>
                </c:pt>
                <c:pt idx="539">
                  <c:v>-32.381306115787766</c:v>
                </c:pt>
                <c:pt idx="540">
                  <c:v>-32.581293001064545</c:v>
                </c:pt>
                <c:pt idx="541">
                  <c:v>-32.781280476564071</c:v>
                </c:pt>
              </c:numCache>
            </c:numRef>
          </c:yVal>
          <c:smooth val="1"/>
          <c:extLst>
            <c:ext xmlns:c16="http://schemas.microsoft.com/office/drawing/2014/chart" uri="{C3380CC4-5D6E-409C-BE32-E72D297353CC}">
              <c16:uniqueId val="{00000000-4F4B-43C9-BE46-3F56EC7D1C25}"/>
            </c:ext>
          </c:extLst>
        </c:ser>
        <c:dLbls>
          <c:showLegendKey val="0"/>
          <c:showVal val="0"/>
          <c:showCatName val="0"/>
          <c:showSerName val="0"/>
          <c:showPercent val="0"/>
          <c:showBubbleSize val="0"/>
        </c:dLbls>
        <c:axId val="384242816"/>
        <c:axId val="384244736"/>
      </c:scatterChart>
      <c:scatterChart>
        <c:scatterStyle val="smoothMarker"/>
        <c:varyColors val="0"/>
        <c:ser>
          <c:idx val="1"/>
          <c:order val="1"/>
          <c:marker>
            <c:symbol val="none"/>
          </c:marker>
          <c:xVal>
            <c:numRef>
              <c:f>CCM_Loop_Modeling_non_isolated!$O$19:$O$560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CCM_Loop_Modeling_non_isolated!$AR$19:$AR$560</c:f>
              <c:numCache>
                <c:formatCode>General</c:formatCode>
                <c:ptCount val="542"/>
                <c:pt idx="0">
                  <c:v>94.137221066958375</c:v>
                </c:pt>
                <c:pt idx="1">
                  <c:v>94.233235766166757</c:v>
                </c:pt>
                <c:pt idx="2">
                  <c:v>94.331461764426891</c:v>
                </c:pt>
                <c:pt idx="3">
                  <c:v>94.431948783373358</c:v>
                </c:pt>
                <c:pt idx="4">
                  <c:v>94.534747576764431</c:v>
                </c:pt>
                <c:pt idx="5">
                  <c:v>94.63990994571418</c:v>
                </c:pt>
                <c:pt idx="6">
                  <c:v>94.747488753674332</c:v>
                </c:pt>
                <c:pt idx="7">
                  <c:v>94.857537941119119</c:v>
                </c:pt>
                <c:pt idx="8">
                  <c:v>94.970112539883729</c:v>
                </c:pt>
                <c:pt idx="9">
                  <c:v>95.085268687102925</c:v>
                </c:pt>
                <c:pt idx="10">
                  <c:v>95.203063638691134</c:v>
                </c:pt>
                <c:pt idx="11">
                  <c:v>95.323555782303316</c:v>
                </c:pt>
                <c:pt idx="12">
                  <c:v>95.446804649709065</c:v>
                </c:pt>
                <c:pt idx="13">
                  <c:v>95.572870928508792</c:v>
                </c:pt>
                <c:pt idx="14">
                  <c:v>95.701816473115372</c:v>
                </c:pt>
                <c:pt idx="15">
                  <c:v>95.83370431491953</c:v>
                </c:pt>
                <c:pt idx="16">
                  <c:v>95.968598671550822</c:v>
                </c:pt>
                <c:pt idx="17">
                  <c:v>96.106564955140385</c:v>
                </c:pt>
                <c:pt idx="18">
                  <c:v>96.247669779486358</c:v>
                </c:pt>
                <c:pt idx="19">
                  <c:v>96.391980966014216</c:v>
                </c:pt>
                <c:pt idx="20">
                  <c:v>96.539567548418063</c:v>
                </c:pt>
                <c:pt idx="21">
                  <c:v>96.690499775863259</c:v>
                </c:pt>
                <c:pt idx="22">
                  <c:v>96.844849114619848</c:v>
                </c:pt>
                <c:pt idx="23">
                  <c:v>97.002688247990918</c:v>
                </c:pt>
                <c:pt idx="24">
                  <c:v>97.164091074390399</c:v>
                </c:pt>
                <c:pt idx="25">
                  <c:v>97.329132703416334</c:v>
                </c:pt>
                <c:pt idx="26">
                  <c:v>97.497889449756073</c:v>
                </c:pt>
                <c:pt idx="27">
                  <c:v>97.670438824751372</c:v>
                </c:pt>
                <c:pt idx="28">
                  <c:v>97.846859525441147</c:v>
                </c:pt>
                <c:pt idx="29">
                  <c:v>98.027231420888228</c:v>
                </c:pt>
                <c:pt idx="30">
                  <c:v>98.211635535588542</c:v>
                </c:pt>
                <c:pt idx="31">
                  <c:v>98.400154029749189</c:v>
                </c:pt>
                <c:pt idx="32">
                  <c:v>98.592870176209232</c:v>
                </c:pt>
                <c:pt idx="33">
                  <c:v>98.789868333769576</c:v>
                </c:pt>
                <c:pt idx="34">
                  <c:v>98.991233916684081</c:v>
                </c:pt>
                <c:pt idx="35">
                  <c:v>99.197053360052763</c:v>
                </c:pt>
                <c:pt idx="36">
                  <c:v>99.407414080849193</c:v>
                </c:pt>
                <c:pt idx="37">
                  <c:v>99.622404434298019</c:v>
                </c:pt>
                <c:pt idx="38">
                  <c:v>99.842113665312439</c:v>
                </c:pt>
                <c:pt idx="39">
                  <c:v>100.06663185468545</c:v>
                </c:pt>
                <c:pt idx="40">
                  <c:v>100.29604985972091</c:v>
                </c:pt>
                <c:pt idx="41">
                  <c:v>100.53045924897948</c:v>
                </c:pt>
                <c:pt idx="42">
                  <c:v>100.76995223080256</c:v>
                </c:pt>
                <c:pt idx="43">
                  <c:v>101.01462157526967</c:v>
                </c:pt>
                <c:pt idx="44">
                  <c:v>101.26456052923724</c:v>
                </c:pt>
                <c:pt idx="45">
                  <c:v>101.51986272409634</c:v>
                </c:pt>
                <c:pt idx="46">
                  <c:v>101.78062207588422</c:v>
                </c:pt>
                <c:pt idx="47">
                  <c:v>102.04693267737485</c:v>
                </c:pt>
                <c:pt idx="48">
                  <c:v>102.31888868177839</c:v>
                </c:pt>
                <c:pt idx="49">
                  <c:v>102.59658417766917</c:v>
                </c:pt>
                <c:pt idx="50">
                  <c:v>102.88011305477107</c:v>
                </c:pt>
                <c:pt idx="51">
                  <c:v>103.16956886022641</c:v>
                </c:pt>
                <c:pt idx="52">
                  <c:v>103.4650446449867</c:v>
                </c:pt>
                <c:pt idx="53">
                  <c:v>103.76663279997015</c:v>
                </c:pt>
                <c:pt idx="54">
                  <c:v>104.07442488164266</c:v>
                </c:pt>
                <c:pt idx="55">
                  <c:v>104.38851142670345</c:v>
                </c:pt>
                <c:pt idx="56">
                  <c:v>104.70898175556879</c:v>
                </c:pt>
                <c:pt idx="57">
                  <c:v>105.03592376438274</c:v>
                </c:pt>
                <c:pt idx="58">
                  <c:v>105.36942370531018</c:v>
                </c:pt>
                <c:pt idx="59">
                  <c:v>105.70956595490649</c:v>
                </c:pt>
                <c:pt idx="60">
                  <c:v>106.05643277040389</c:v>
                </c:pt>
                <c:pt idx="61">
                  <c:v>106.4101040338014</c:v>
                </c:pt>
                <c:pt idx="62">
                  <c:v>106.77065698370539</c:v>
                </c:pt>
                <c:pt idx="63">
                  <c:v>107.13816593493087</c:v>
                </c:pt>
                <c:pt idx="64">
                  <c:v>107.51270198594707</c:v>
                </c:pt>
                <c:pt idx="65">
                  <c:v>107.89433271432875</c:v>
                </c:pt>
                <c:pt idx="66">
                  <c:v>108.28312186046706</c:v>
                </c:pt>
                <c:pt idx="67">
                  <c:v>108.67912899988842</c:v>
                </c:pt>
                <c:pt idx="68">
                  <c:v>109.08240920463422</c:v>
                </c:pt>
                <c:pt idx="69">
                  <c:v>109.4930126942741</c:v>
                </c:pt>
                <c:pt idx="70">
                  <c:v>109.91098447724131</c:v>
                </c:pt>
                <c:pt idx="71">
                  <c:v>110.33636398331556</c:v>
                </c:pt>
                <c:pt idx="72">
                  <c:v>110.76918468821421</c:v>
                </c:pt>
                <c:pt idx="73">
                  <c:v>111.20947373140228</c:v>
                </c:pt>
                <c:pt idx="74">
                  <c:v>111.65725152838088</c:v>
                </c:pt>
                <c:pt idx="75">
                  <c:v>112.11253137887729</c:v>
                </c:pt>
                <c:pt idx="76">
                  <c:v>112.57531907251794</c:v>
                </c:pt>
                <c:pt idx="77">
                  <c:v>113.04561249373707</c:v>
                </c:pt>
                <c:pt idx="78">
                  <c:v>113.52340122783787</c:v>
                </c:pt>
                <c:pt idx="79">
                  <c:v>114.00866617029247</c:v>
                </c:pt>
                <c:pt idx="80">
                  <c:v>114.50137914153312</c:v>
                </c:pt>
                <c:pt idx="81">
                  <c:v>115.00150250964478</c:v>
                </c:pt>
                <c:pt idx="82">
                  <c:v>115.5089888235247</c:v>
                </c:pt>
                <c:pt idx="83">
                  <c:v>116.02378045921753</c:v>
                </c:pt>
                <c:pt idx="84">
                  <c:v>116.54580928226102</c:v>
                </c:pt>
                <c:pt idx="85">
                  <c:v>117.07499632899574</c:v>
                </c:pt>
                <c:pt idx="86">
                  <c:v>117.61125150988276</c:v>
                </c:pt>
                <c:pt idx="87">
                  <c:v>118.15447333794401</c:v>
                </c:pt>
                <c:pt idx="88">
                  <c:v>118.70454868548639</c:v>
                </c:pt>
                <c:pt idx="89">
                  <c:v>119.26135257228661</c:v>
                </c:pt>
                <c:pt idx="90">
                  <c:v>119.82474798839303</c:v>
                </c:pt>
                <c:pt idx="91">
                  <c:v>120.39458575465213</c:v>
                </c:pt>
                <c:pt idx="92">
                  <c:v>120.97070442397236</c:v>
                </c:pt>
                <c:pt idx="93">
                  <c:v>121.55293022621036</c:v>
                </c:pt>
                <c:pt idx="94">
                  <c:v>122.14107705939138</c:v>
                </c:pt>
                <c:pt idx="95">
                  <c:v>122.73494652975452</c:v>
                </c:pt>
                <c:pt idx="96">
                  <c:v>123.33432804286097</c:v>
                </c:pt>
                <c:pt idx="97">
                  <c:v>123.93899894769825</c:v>
                </c:pt>
                <c:pt idx="98">
                  <c:v>124.54872473536473</c:v>
                </c:pt>
                <c:pt idx="99">
                  <c:v>125.16325929354264</c:v>
                </c:pt>
                <c:pt idx="100">
                  <c:v>125.78234521753775</c:v>
                </c:pt>
                <c:pt idx="101">
                  <c:v>126.4057141782155</c:v>
                </c:pt>
                <c:pt idx="102">
                  <c:v>127.03308734667853</c:v>
                </c:pt>
                <c:pt idx="103">
                  <c:v>127.66417587502302</c:v>
                </c:pt>
                <c:pt idx="104">
                  <c:v>128.29868143199087</c:v>
                </c:pt>
                <c:pt idx="105">
                  <c:v>128.93629679180395</c:v>
                </c:pt>
                <c:pt idx="106">
                  <c:v>129.57670647393067</c:v>
                </c:pt>
                <c:pt idx="107">
                  <c:v>130.21958743100993</c:v>
                </c:pt>
                <c:pt idx="108">
                  <c:v>130.86460978164331</c:v>
                </c:pt>
                <c:pt idx="109">
                  <c:v>131.51143758428185</c:v>
                </c:pt>
                <c:pt idx="110">
                  <c:v>132.15972964796839</c:v>
                </c:pt>
                <c:pt idx="111">
                  <c:v>132.80914037528447</c:v>
                </c:pt>
                <c:pt idx="112">
                  <c:v>133.45932063247653</c:v>
                </c:pt>
                <c:pt idx="113">
                  <c:v>134.10991864141948</c:v>
                </c:pt>
                <c:pt idx="114">
                  <c:v>134.76058088781474</c:v>
                </c:pt>
                <c:pt idx="115">
                  <c:v>135.41095303983224</c:v>
                </c:pt>
                <c:pt idx="116">
                  <c:v>136.06068087127201</c:v>
                </c:pt>
                <c:pt idx="117">
                  <c:v>136.70941118327485</c:v>
                </c:pt>
                <c:pt idx="118">
                  <c:v>137.35679271862094</c:v>
                </c:pt>
                <c:pt idx="119">
                  <c:v>138.00247706274956</c:v>
                </c:pt>
                <c:pt idx="120">
                  <c:v>138.64611952578215</c:v>
                </c:pt>
                <c:pt idx="121">
                  <c:v>139.28738000006828</c:v>
                </c:pt>
                <c:pt idx="122">
                  <c:v>139.92592378804633</c:v>
                </c:pt>
                <c:pt idx="123">
                  <c:v>140.56142239556135</c:v>
                </c:pt>
                <c:pt idx="124">
                  <c:v>141.19355428618309</c:v>
                </c:pt>
                <c:pt idx="125">
                  <c:v>141.82200559248673</c:v>
                </c:pt>
                <c:pt idx="126">
                  <c:v>142.44647078075602</c:v>
                </c:pt>
                <c:pt idx="127">
                  <c:v>143.06665326604613</c:v>
                </c:pt>
                <c:pt idx="128">
                  <c:v>143.68226597508186</c:v>
                </c:pt>
                <c:pt idx="129">
                  <c:v>144.29303185498839</c:v>
                </c:pt>
                <c:pt idx="130">
                  <c:v>144.89868432638801</c:v>
                </c:pt>
                <c:pt idx="131">
                  <c:v>145.4989676799224</c:v>
                </c:pt>
                <c:pt idx="132">
                  <c:v>146.09363741578039</c:v>
                </c:pt>
                <c:pt idx="133">
                  <c:v>146.68246052629792</c:v>
                </c:pt>
                <c:pt idx="134">
                  <c:v>147.26521572218249</c:v>
                </c:pt>
                <c:pt idx="135">
                  <c:v>147.84169360333016</c:v>
                </c:pt>
                <c:pt idx="136">
                  <c:v>148.41169677563826</c:v>
                </c:pt>
                <c:pt idx="137">
                  <c:v>148.97503991555172</c:v>
                </c:pt>
                <c:pt idx="138">
                  <c:v>149.53154978442981</c:v>
                </c:pt>
                <c:pt idx="139">
                  <c:v>150.08106519509153</c:v>
                </c:pt>
                <c:pt idx="140">
                  <c:v>150.62343693313747</c:v>
                </c:pt>
                <c:pt idx="141">
                  <c:v>151.1585276358451</c:v>
                </c:pt>
                <c:pt idx="142">
                  <c:v>151.68621163158625</c:v>
                </c:pt>
                <c:pt idx="143">
                  <c:v>152.20637474282435</c:v>
                </c:pt>
                <c:pt idx="144">
                  <c:v>152.71891405583011</c:v>
                </c:pt>
                <c:pt idx="145">
                  <c:v>153.22373766028042</c:v>
                </c:pt>
                <c:pt idx="146">
                  <c:v>153.72076436191159</c:v>
                </c:pt>
                <c:pt idx="147">
                  <c:v>154.20992337137343</c:v>
                </c:pt>
                <c:pt idx="148">
                  <c:v>154.69115397235956</c:v>
                </c:pt>
                <c:pt idx="149">
                  <c:v>155.16440517202415</c:v>
                </c:pt>
                <c:pt idx="150">
                  <c:v>155.62963533657859</c:v>
                </c:pt>
                <c:pt idx="151">
                  <c:v>156.08681181484627</c:v>
                </c:pt>
                <c:pt idx="152">
                  <c:v>156.53591055241566</c:v>
                </c:pt>
                <c:pt idx="153">
                  <c:v>156.97691569888656</c:v>
                </c:pt>
                <c:pt idx="154">
                  <c:v>157.40981921054009</c:v>
                </c:pt>
                <c:pt idx="155">
                  <c:v>157.83462045061225</c:v>
                </c:pt>
                <c:pt idx="156">
                  <c:v>158.25132578916916</c:v>
                </c:pt>
                <c:pt idx="157">
                  <c:v>158.65994820442785</c:v>
                </c:pt>
                <c:pt idx="158">
                  <c:v>159.06050688719017</c:v>
                </c:pt>
                <c:pt idx="159">
                  <c:v>159.45302684989474</c:v>
                </c:pt>
                <c:pt idx="160">
                  <c:v>159.83753854163274</c:v>
                </c:pt>
                <c:pt idx="161">
                  <c:v>160.214077470311</c:v>
                </c:pt>
                <c:pt idx="162">
                  <c:v>160.58268383300461</c:v>
                </c:pt>
                <c:pt idx="163">
                  <c:v>160.9434021553883</c:v>
                </c:pt>
                <c:pt idx="164">
                  <c:v>161.29628094100994</c:v>
                </c:pt>
                <c:pt idx="165">
                  <c:v>161.64137233103264</c:v>
                </c:pt>
                <c:pt idx="166">
                  <c:v>161.97873177496183</c:v>
                </c:pt>
                <c:pt idx="167">
                  <c:v>162.30841771275715</c:v>
                </c:pt>
                <c:pt idx="168">
                  <c:v>162.63049126862873</c:v>
                </c:pt>
                <c:pt idx="169">
                  <c:v>162.94501595672745</c:v>
                </c:pt>
                <c:pt idx="170">
                  <c:v>163.25205739884848</c:v>
                </c:pt>
                <c:pt idx="171">
                  <c:v>163.55168305419653</c:v>
                </c:pt>
                <c:pt idx="172">
                  <c:v>163.8439619611872</c:v>
                </c:pt>
                <c:pt idx="173">
                  <c:v>164.12896449120288</c:v>
                </c:pt>
                <c:pt idx="174">
                  <c:v>164.4067621141634</c:v>
                </c:pt>
                <c:pt idx="175">
                  <c:v>164.67742717572801</c:v>
                </c:pt>
                <c:pt idx="176">
                  <c:v>164.94103268590086</c:v>
                </c:pt>
                <c:pt idx="177">
                  <c:v>165.19765211878143</c:v>
                </c:pt>
                <c:pt idx="178">
                  <c:v>165.44735922316781</c:v>
                </c:pt>
                <c:pt idx="179">
                  <c:v>165.69022784370003</c:v>
                </c:pt>
                <c:pt idx="180">
                  <c:v>165.92633175220817</c:v>
                </c:pt>
                <c:pt idx="181">
                  <c:v>166.15574448891681</c:v>
                </c:pt>
                <c:pt idx="182">
                  <c:v>166.37853921314365</c:v>
                </c:pt>
                <c:pt idx="183">
                  <c:v>166.59478856312336</c:v>
                </c:pt>
                <c:pt idx="184">
                  <c:v>166.80456452458256</c:v>
                </c:pt>
                <c:pt idx="185">
                  <c:v>167.00793830768876</c:v>
                </c:pt>
                <c:pt idx="186">
                  <c:v>167.20498023199644</c:v>
                </c:pt>
                <c:pt idx="187">
                  <c:v>167.39575961901647</c:v>
                </c:pt>
                <c:pt idx="188">
                  <c:v>167.58034469203761</c:v>
                </c:pt>
                <c:pt idx="189">
                  <c:v>167.75880248283644</c:v>
                </c:pt>
                <c:pt idx="190">
                  <c:v>167.93119874491708</c:v>
                </c:pt>
                <c:pt idx="191">
                  <c:v>168.09759787293234</c:v>
                </c:pt>
                <c:pt idx="192">
                  <c:v>168.25806282794531</c:v>
                </c:pt>
                <c:pt idx="193">
                  <c:v>168.41265506820173</c:v>
                </c:pt>
                <c:pt idx="194">
                  <c:v>168.5614344850942</c:v>
                </c:pt>
                <c:pt idx="195">
                  <c:v>168.70445934400846</c:v>
                </c:pt>
                <c:pt idx="196">
                  <c:v>168.84178622975691</c:v>
                </c:pt>
                <c:pt idx="197">
                  <c:v>168.97346999631276</c:v>
                </c:pt>
                <c:pt idx="198">
                  <c:v>169.09956372057337</c:v>
                </c:pt>
                <c:pt idx="199">
                  <c:v>169.22011865989072</c:v>
                </c:pt>
                <c:pt idx="200">
                  <c:v>169.33518421312175</c:v>
                </c:pt>
                <c:pt idx="201">
                  <c:v>169.44480788496062</c:v>
                </c:pt>
                <c:pt idx="202">
                  <c:v>169.54903525332938</c:v>
                </c:pt>
                <c:pt idx="203">
                  <c:v>169.64790993961387</c:v>
                </c:pt>
                <c:pt idx="204">
                  <c:v>169.74147358154417</c:v>
                </c:pt>
                <c:pt idx="205">
                  <c:v>169.82976580852983</c:v>
                </c:pt>
                <c:pt idx="206">
                  <c:v>169.91282421927215</c:v>
                </c:pt>
                <c:pt idx="207">
                  <c:v>169.99068436148627</c:v>
                </c:pt>
                <c:pt idx="208">
                  <c:v>170.06337971357615</c:v>
                </c:pt>
                <c:pt idx="209">
                  <c:v>170.13094166811814</c:v>
                </c:pt>
                <c:pt idx="210">
                  <c:v>170.19339951701647</c:v>
                </c:pt>
                <c:pt idx="211">
                  <c:v>170.25078043820596</c:v>
                </c:pt>
                <c:pt idx="212">
                  <c:v>170.30310948378661</c:v>
                </c:pt>
                <c:pt idx="213">
                  <c:v>170.35040956948342</c:v>
                </c:pt>
                <c:pt idx="214">
                  <c:v>170.39270146533605</c:v>
                </c:pt>
                <c:pt idx="215">
                  <c:v>170.43000378752993</c:v>
                </c:pt>
                <c:pt idx="216">
                  <c:v>170.46233299129091</c:v>
                </c:pt>
                <c:pt idx="217">
                  <c:v>170.48970336477308</c:v>
                </c:pt>
                <c:pt idx="218">
                  <c:v>170.5121270238802</c:v>
                </c:pt>
                <c:pt idx="219">
                  <c:v>170.52961390796554</c:v>
                </c:pt>
                <c:pt idx="220">
                  <c:v>170.54217177636809</c:v>
                </c:pt>
                <c:pt idx="221">
                  <c:v>170.54980620574733</c:v>
                </c:pt>
                <c:pt idx="222">
                  <c:v>170.5525205881894</c:v>
                </c:pt>
                <c:pt idx="223">
                  <c:v>170.55031613006295</c:v>
                </c:pt>
                <c:pt idx="224">
                  <c:v>170.54319185161475</c:v>
                </c:pt>
                <c:pt idx="225">
                  <c:v>170.53114458729803</c:v>
                </c:pt>
                <c:pt idx="226">
                  <c:v>170.51416898683934</c:v>
                </c:pt>
                <c:pt idx="227">
                  <c:v>170.49225751705407</c:v>
                </c:pt>
                <c:pt idx="228">
                  <c:v>170.4654004644305</c:v>
                </c:pt>
                <c:pt idx="229">
                  <c:v>170.4335859385092</c:v>
                </c:pt>
                <c:pt idx="230">
                  <c:v>170.39679987609452</c:v>
                </c:pt>
                <c:pt idx="231">
                  <c:v>170.35502604633996</c:v>
                </c:pt>
                <c:pt idx="232">
                  <c:v>170.30824605676082</c:v>
                </c:pt>
                <c:pt idx="233">
                  <c:v>170.25643936023334</c:v>
                </c:pt>
                <c:pt idx="234">
                  <c:v>170.19958326305004</c:v>
                </c:pt>
                <c:pt idx="235">
                  <c:v>170.13765293410762</c:v>
                </c:pt>
                <c:pt idx="236">
                  <c:v>170.07062141531571</c:v>
                </c:pt>
                <c:pt idx="237">
                  <c:v>169.99845963331967</c:v>
                </c:pt>
                <c:pt idx="238">
                  <c:v>169.92113641264467</c:v>
                </c:pt>
                <c:pt idx="239">
                  <c:v>169.83861849037356</c:v>
                </c:pt>
                <c:pt idx="240">
                  <c:v>169.75087053248484</c:v>
                </c:pt>
                <c:pt idx="241">
                  <c:v>169.65785515198255</c:v>
                </c:pt>
                <c:pt idx="242">
                  <c:v>169.55953292896521</c:v>
                </c:pt>
                <c:pt idx="243">
                  <c:v>169.4558624327876</c:v>
                </c:pt>
                <c:pt idx="244">
                  <c:v>169.34680024648034</c:v>
                </c:pt>
                <c:pt idx="245">
                  <c:v>169.23230099360754</c:v>
                </c:pt>
                <c:pt idx="246">
                  <c:v>169.11231736774661</c:v>
                </c:pt>
                <c:pt idx="247">
                  <c:v>168.98680016479389</c:v>
                </c:pt>
                <c:pt idx="248">
                  <c:v>168.85569831830446</c:v>
                </c:pt>
                <c:pt idx="249">
                  <c:v>168.71895893809082</c:v>
                </c:pt>
                <c:pt idx="250">
                  <c:v>168.57652735231653</c:v>
                </c:pt>
                <c:pt idx="251">
                  <c:v>168.42834715333032</c:v>
                </c:pt>
                <c:pt idx="252">
                  <c:v>168.27436024750179</c:v>
                </c:pt>
                <c:pt idx="253">
                  <c:v>168.11450690932881</c:v>
                </c:pt>
                <c:pt idx="254">
                  <c:v>167.94872584010258</c:v>
                </c:pt>
                <c:pt idx="255">
                  <c:v>167.77695423142262</c:v>
                </c:pt>
                <c:pt idx="256">
                  <c:v>167.59912783387222</c:v>
                </c:pt>
                <c:pt idx="257">
                  <c:v>167.41518103116965</c:v>
                </c:pt>
                <c:pt idx="258">
                  <c:v>167.22504692012686</c:v>
                </c:pt>
                <c:pt idx="259">
                  <c:v>167.02865739675187</c:v>
                </c:pt>
                <c:pt idx="260">
                  <c:v>166.82594324884622</c:v>
                </c:pt>
                <c:pt idx="261">
                  <c:v>166.61683425545223</c:v>
                </c:pt>
                <c:pt idx="262">
                  <c:v>166.40125929351478</c:v>
                </c:pt>
                <c:pt idx="263">
                  <c:v>166.17914645212758</c:v>
                </c:pt>
                <c:pt idx="264">
                  <c:v>165.95042315473771</c:v>
                </c:pt>
                <c:pt idx="265">
                  <c:v>165.71501628968517</c:v>
                </c:pt>
                <c:pt idx="266">
                  <c:v>165.47285234945417</c:v>
                </c:pt>
                <c:pt idx="267">
                  <c:v>165.22385757901159</c:v>
                </c:pt>
                <c:pt idx="268">
                  <c:v>164.96795813360106</c:v>
                </c:pt>
                <c:pt idx="269">
                  <c:v>164.70508024635689</c:v>
                </c:pt>
                <c:pt idx="270">
                  <c:v>164.43515040608696</c:v>
                </c:pt>
                <c:pt idx="271">
                  <c:v>164.15809554556179</c:v>
                </c:pt>
                <c:pt idx="272">
                  <c:v>163.87384324062521</c:v>
                </c:pt>
                <c:pt idx="273">
                  <c:v>163.58232192042081</c:v>
                </c:pt>
                <c:pt idx="274">
                  <c:v>163.28346108899686</c:v>
                </c:pt>
                <c:pt idx="275">
                  <c:v>162.97719155852019</c:v>
                </c:pt>
                <c:pt idx="276">
                  <c:v>162.66344569428907</c:v>
                </c:pt>
                <c:pt idx="277">
                  <c:v>162.34215767168661</c:v>
                </c:pt>
                <c:pt idx="278">
                  <c:v>162.0132637451666</c:v>
                </c:pt>
                <c:pt idx="279">
                  <c:v>161.67670252929966</c:v>
                </c:pt>
                <c:pt idx="280">
                  <c:v>161.33241529184272</c:v>
                </c:pt>
                <c:pt idx="281">
                  <c:v>160.98034625871767</c:v>
                </c:pt>
                <c:pt idx="282">
                  <c:v>160.62044293069982</c:v>
                </c:pt>
                <c:pt idx="283">
                  <c:v>160.25265641152879</c:v>
                </c:pt>
                <c:pt idx="284">
                  <c:v>159.87694174704794</c:v>
                </c:pt>
                <c:pt idx="285">
                  <c:v>159.49325827487434</c:v>
                </c:pt>
                <c:pt idx="286">
                  <c:v>159.10156998397906</c:v>
                </c:pt>
                <c:pt idx="287">
                  <c:v>158.70184588343332</c:v>
                </c:pt>
                <c:pt idx="288">
                  <c:v>158.29406037944173</c:v>
                </c:pt>
                <c:pt idx="289">
                  <c:v>157.87819365963821</c:v>
                </c:pt>
                <c:pt idx="290">
                  <c:v>157.45423208347492</c:v>
                </c:pt>
                <c:pt idx="291">
                  <c:v>157.02216857737804</c:v>
                </c:pt>
                <c:pt idx="292">
                  <c:v>156.58200303317878</c:v>
                </c:pt>
                <c:pt idx="293">
                  <c:v>156.133742708169</c:v>
                </c:pt>
                <c:pt idx="294">
                  <c:v>155.67740262496179</c:v>
                </c:pt>
                <c:pt idx="295">
                  <c:v>155.21300596916601</c:v>
                </c:pt>
                <c:pt idx="296">
                  <c:v>154.74058448272109</c:v>
                </c:pt>
                <c:pt idx="297">
                  <c:v>154.26017885057422</c:v>
                </c:pt>
                <c:pt idx="298">
                  <c:v>153.7718390782174</c:v>
                </c:pt>
                <c:pt idx="299">
                  <c:v>153.27562485746884</c:v>
                </c:pt>
                <c:pt idx="300">
                  <c:v>152.77160591772437</c:v>
                </c:pt>
                <c:pt idx="301">
                  <c:v>152.25986235980011</c:v>
                </c:pt>
                <c:pt idx="302">
                  <c:v>151.74048496936999</c:v>
                </c:pt>
                <c:pt idx="303">
                  <c:v>151.21357550692457</c:v>
                </c:pt>
                <c:pt idx="304">
                  <c:v>150.67924697111218</c:v>
                </c:pt>
                <c:pt idx="305">
                  <c:v>150.13762383229351</c:v>
                </c:pt>
                <c:pt idx="306">
                  <c:v>149.58884223313939</c:v>
                </c:pt>
                <c:pt idx="307">
                  <c:v>149.0330501531343</c:v>
                </c:pt>
                <c:pt idx="308">
                  <c:v>148.47040753391167</c:v>
                </c:pt>
                <c:pt idx="309">
                  <c:v>147.90108636246333</c:v>
                </c:pt>
                <c:pt idx="310">
                  <c:v>147.325270709406</c:v>
                </c:pt>
                <c:pt idx="311">
                  <c:v>146.7431567196879</c:v>
                </c:pt>
                <c:pt idx="312">
                  <c:v>146.15495255334304</c:v>
                </c:pt>
                <c:pt idx="313">
                  <c:v>145.56087827418631</c:v>
                </c:pt>
                <c:pt idx="314">
                  <c:v>144.96116568466414</c:v>
                </c:pt>
                <c:pt idx="315">
                  <c:v>144.35605810542859</c:v>
                </c:pt>
                <c:pt idx="316">
                  <c:v>143.74581009861251</c:v>
                </c:pt>
                <c:pt idx="317">
                  <c:v>143.130687134216</c:v>
                </c:pt>
                <c:pt idx="318">
                  <c:v>142.51096519948038</c:v>
                </c:pt>
                <c:pt idx="319">
                  <c:v>141.88693035162277</c:v>
                </c:pt>
                <c:pt idx="320">
                  <c:v>141.25887821481209</c:v>
                </c:pt>
                <c:pt idx="321">
                  <c:v>140.62711342280392</c:v>
                </c:pt>
                <c:pt idx="322">
                  <c:v>139.99194900917405</c:v>
                </c:pt>
                <c:pt idx="323">
                  <c:v>139.35370574763229</c:v>
                </c:pt>
                <c:pt idx="324">
                  <c:v>138.71271144540853</c:v>
                </c:pt>
                <c:pt idx="325">
                  <c:v>138.06930019322078</c:v>
                </c:pt>
                <c:pt idx="326">
                  <c:v>137.42381157579945</c:v>
                </c:pt>
                <c:pt idx="327">
                  <c:v>136.77658984738397</c:v>
                </c:pt>
                <c:pt idx="328">
                  <c:v>136.12798307702593</c:v>
                </c:pt>
                <c:pt idx="329">
                  <c:v>135.47834226884393</c:v>
                </c:pt>
                <c:pt idx="330">
                  <c:v>134.82802046271735</c:v>
                </c:pt>
                <c:pt idx="331">
                  <c:v>134.17737182109107</c:v>
                </c:pt>
                <c:pt idx="332">
                  <c:v>133.52675070775786</c:v>
                </c:pt>
                <c:pt idx="333">
                  <c:v>132.87651076456908</c:v>
                </c:pt>
                <c:pt idx="334">
                  <c:v>132.22700399204871</c:v>
                </c:pt>
                <c:pt idx="335">
                  <c:v>131.57857983983757</c:v>
                </c:pt>
                <c:pt idx="336">
                  <c:v>130.93158431278758</c:v>
                </c:pt>
                <c:pt idx="337">
                  <c:v>130.28635909831499</c:v>
                </c:pt>
                <c:pt idx="338">
                  <c:v>129.64324072039798</c:v>
                </c:pt>
                <c:pt idx="339">
                  <c:v>129.00255972527236</c:v>
                </c:pt>
                <c:pt idx="340">
                  <c:v>128.36463990352053</c:v>
                </c:pt>
                <c:pt idx="341">
                  <c:v>127.72979755283636</c:v>
                </c:pt>
                <c:pt idx="342">
                  <c:v>127.09834078528637</c:v>
                </c:pt>
                <c:pt idx="343">
                  <c:v>126.47056888241541</c:v>
                </c:pt>
                <c:pt idx="344">
                  <c:v>125.84677170101841</c:v>
                </c:pt>
                <c:pt idx="345">
                  <c:v>125.22722913188639</c:v>
                </c:pt>
                <c:pt idx="346">
                  <c:v>124.6122106132933</c:v>
                </c:pt>
                <c:pt idx="347">
                  <c:v>124.00197470046979</c:v>
                </c:pt>
                <c:pt idx="348">
                  <c:v>123.39676869176647</c:v>
                </c:pt>
                <c:pt idx="349">
                  <c:v>122.79682831172219</c:v>
                </c:pt>
                <c:pt idx="350">
                  <c:v>122.20237745076047</c:v>
                </c:pt>
                <c:pt idx="351">
                  <c:v>121.61362796076489</c:v>
                </c:pt>
                <c:pt idx="352">
                  <c:v>121.03077950538918</c:v>
                </c:pt>
                <c:pt idx="353">
                  <c:v>120.45401946353822</c:v>
                </c:pt>
                <c:pt idx="354">
                  <c:v>119.88352288412561</c:v>
                </c:pt>
                <c:pt idx="355">
                  <c:v>119.31945248990789</c:v>
                </c:pt>
                <c:pt idx="356">
                  <c:v>118.7619587279151</c:v>
                </c:pt>
                <c:pt idx="357">
                  <c:v>118.21117986379639</c:v>
                </c:pt>
                <c:pt idx="358">
                  <c:v>117.66724211721015</c:v>
                </c:pt>
                <c:pt idx="359">
                  <c:v>117.13025983525276</c:v>
                </c:pt>
                <c:pt idx="360">
                  <c:v>116.60033570083273</c:v>
                </c:pt>
                <c:pt idx="361">
                  <c:v>116.07756097283215</c:v>
                </c:pt>
                <c:pt idx="362">
                  <c:v>115.56201575488174</c:v>
                </c:pt>
                <c:pt idx="363">
                  <c:v>115.05376928958404</c:v>
                </c:pt>
                <c:pt idx="364">
                  <c:v>114.55288027506661</c:v>
                </c:pt>
                <c:pt idx="365">
                  <c:v>114.05939720080794</c:v>
                </c:pt>
                <c:pt idx="366">
                  <c:v>113.5733586997769</c:v>
                </c:pt>
                <c:pt idx="367">
                  <c:v>113.09479391403592</c:v>
                </c:pt>
                <c:pt idx="368">
                  <c:v>112.62372287108441</c:v>
                </c:pt>
                <c:pt idx="369">
                  <c:v>112.16015686836344</c:v>
                </c:pt>
                <c:pt idx="370">
                  <c:v>111.7040988634941</c:v>
                </c:pt>
                <c:pt idx="371">
                  <c:v>111.25554386798041</c:v>
                </c:pt>
                <c:pt idx="372">
                  <c:v>110.81447934227258</c:v>
                </c:pt>
                <c:pt idx="373">
                  <c:v>110.3808855902582</c:v>
                </c:pt>
                <c:pt idx="374">
                  <c:v>109.95473615140914</c:v>
                </c:pt>
                <c:pt idx="375">
                  <c:v>109.5359981889865</c:v>
                </c:pt>
                <c:pt idx="376">
                  <c:v>109.12463287286491</c:v>
                </c:pt>
                <c:pt idx="377">
                  <c:v>108.720595755698</c:v>
                </c:pt>
                <c:pt idx="378">
                  <c:v>108.32383714130063</c:v>
                </c:pt>
                <c:pt idx="379">
                  <c:v>107.93430244427191</c:v>
                </c:pt>
                <c:pt idx="380">
                  <c:v>107.55193254001972</c:v>
                </c:pt>
                <c:pt idx="381">
                  <c:v>107.17666410448376</c:v>
                </c:pt>
                <c:pt idx="382">
                  <c:v>106.80842994297413</c:v>
                </c:pt>
                <c:pt idx="383">
                  <c:v>106.44715930765886</c:v>
                </c:pt>
                <c:pt idx="384">
                  <c:v>106.09277820334313</c:v>
                </c:pt>
                <c:pt idx="385">
                  <c:v>105.74520968127601</c:v>
                </c:pt>
                <c:pt idx="386">
                  <c:v>105.40437412081481</c:v>
                </c:pt>
                <c:pt idx="387">
                  <c:v>105.07018949885462</c:v>
                </c:pt>
                <c:pt idx="388">
                  <c:v>104.74257164700667</c:v>
                </c:pt>
                <c:pt idx="389">
                  <c:v>104.42143449657232</c:v>
                </c:pt>
                <c:pt idx="390">
                  <c:v>104.10669031141899</c:v>
                </c:pt>
                <c:pt idx="391">
                  <c:v>103.79824990891426</c:v>
                </c:pt>
                <c:pt idx="392">
                  <c:v>103.4960228691199</c:v>
                </c:pt>
                <c:pt idx="393">
                  <c:v>103.199917732484</c:v>
                </c:pt>
                <c:pt idx="394">
                  <c:v>102.90984218630415</c:v>
                </c:pt>
                <c:pt idx="395">
                  <c:v>102.62570324026022</c:v>
                </c:pt>
                <c:pt idx="396">
                  <c:v>102.34740739133824</c:v>
                </c:pt>
                <c:pt idx="397">
                  <c:v>102.07486077848448</c:v>
                </c:pt>
                <c:pt idx="398">
                  <c:v>101.80796932734269</c:v>
                </c:pt>
                <c:pt idx="399">
                  <c:v>101.54663888543962</c:v>
                </c:pt>
                <c:pt idx="400">
                  <c:v>101.29077534818566</c:v>
                </c:pt>
                <c:pt idx="401">
                  <c:v>101.04028477606913</c:v>
                </c:pt>
                <c:pt idx="402">
                  <c:v>100.79507350341643</c:v>
                </c:pt>
                <c:pt idx="403">
                  <c:v>100.55504823909585</c:v>
                </c:pt>
                <c:pt idx="404">
                  <c:v>100.32011615953431</c:v>
                </c:pt>
                <c:pt idx="405">
                  <c:v>100.09018499441778</c:v>
                </c:pt>
                <c:pt idx="406">
                  <c:v>99.865163105433254</c:v>
                </c:pt>
                <c:pt idx="407">
                  <c:v>99.644959558410065</c:v>
                </c:pt>
                <c:pt idx="408">
                  <c:v>99.429484189202967</c:v>
                </c:pt>
                <c:pt idx="409">
                  <c:v>99.218647663656128</c:v>
                </c:pt>
                <c:pt idx="410">
                  <c:v>99.012361531972942</c:v>
                </c:pt>
                <c:pt idx="411">
                  <c:v>98.810538277808689</c:v>
                </c:pt>
                <c:pt idx="412">
                  <c:v>98.613091362390662</c:v>
                </c:pt>
                <c:pt idx="413">
                  <c:v>98.419935263960141</c:v>
                </c:pt>
                <c:pt idx="414">
                  <c:v>98.230985512818592</c:v>
                </c:pt>
                <c:pt idx="415">
                  <c:v>98.046158722249444</c:v>
                </c:pt>
                <c:pt idx="416">
                  <c:v>97.865372615574401</c:v>
                </c:pt>
                <c:pt idx="417">
                  <c:v>97.68854604959354</c:v>
                </c:pt>
                <c:pt idx="418">
                  <c:v>97.515599034644751</c:v>
                </c:pt>
                <c:pt idx="419">
                  <c:v>97.346452751509617</c:v>
                </c:pt>
                <c:pt idx="420">
                  <c:v>97.18102956537841</c:v>
                </c:pt>
                <c:pt idx="421">
                  <c:v>97.019253037080517</c:v>
                </c:pt>
                <c:pt idx="422">
                  <c:v>96.861047931772205</c:v>
                </c:pt>
                <c:pt idx="423">
                  <c:v>96.706340225265421</c:v>
                </c:pt>
                <c:pt idx="424">
                  <c:v>96.555057108171781</c:v>
                </c:pt>
                <c:pt idx="425">
                  <c:v>96.40712698802534</c:v>
                </c:pt>
                <c:pt idx="426">
                  <c:v>96.26247948953889</c:v>
                </c:pt>
                <c:pt idx="427">
                  <c:v>96.121045453140837</c:v>
                </c:pt>
                <c:pt idx="428">
                  <c:v>95.982756931929671</c:v>
                </c:pt>
                <c:pt idx="429">
                  <c:v>95.847547187175223</c:v>
                </c:pt>
                <c:pt idx="430">
                  <c:v>95.715350682490154</c:v>
                </c:pt>
                <c:pt idx="431">
                  <c:v>95.586103076784326</c:v>
                </c:pt>
                <c:pt idx="432">
                  <c:v>95.459741216111098</c:v>
                </c:pt>
                <c:pt idx="433">
                  <c:v>95.336203124505047</c:v>
                </c:pt>
                <c:pt idx="434">
                  <c:v>95.215427993906445</c:v>
                </c:pt>
                <c:pt idx="435">
                  <c:v>95.097356173260465</c:v>
                </c:pt>
                <c:pt idx="436">
                  <c:v>94.981929156872965</c:v>
                </c:pt>
                <c:pt idx="437">
                  <c:v>94.869089572101757</c:v>
                </c:pt>
                <c:pt idx="438">
                  <c:v>94.758781166453161</c:v>
                </c:pt>
                <c:pt idx="439">
                  <c:v>94.650948794152427</c:v>
                </c:pt>
                <c:pt idx="440">
                  <c:v>94.545538402250699</c:v>
                </c:pt>
                <c:pt idx="441">
                  <c:v>94.442497016324637</c:v>
                </c:pt>
                <c:pt idx="442">
                  <c:v>94.341772725825564</c:v>
                </c:pt>
                <c:pt idx="443">
                  <c:v>94.243314669126178</c:v>
                </c:pt>
                <c:pt idx="444">
                  <c:v>94.147073018312113</c:v>
                </c:pt>
                <c:pt idx="445">
                  <c:v>94.052998963761823</c:v>
                </c:pt>
                <c:pt idx="446">
                  <c:v>93.961044698553977</c:v>
                </c:pt>
                <c:pt idx="447">
                  <c:v>93.871163402740137</c:v>
                </c:pt>
                <c:pt idx="448">
                  <c:v>93.783309227515332</c:v>
                </c:pt>
                <c:pt idx="449">
                  <c:v>93.697437279319956</c:v>
                </c:pt>
                <c:pt idx="450">
                  <c:v>93.613503603900327</c:v>
                </c:pt>
                <c:pt idx="451">
                  <c:v>93.531465170354494</c:v>
                </c:pt>
                <c:pt idx="452">
                  <c:v>93.451279855189142</c:v>
                </c:pt>
                <c:pt idx="453">
                  <c:v>93.372906426407923</c:v>
                </c:pt>
                <c:pt idx="454">
                  <c:v>93.296304527653533</c:v>
                </c:pt>
                <c:pt idx="455">
                  <c:v>93.221434662420592</c:v>
                </c:pt>
                <c:pt idx="456">
                  <c:v>93.148258178357679</c:v>
                </c:pt>
                <c:pt idx="457">
                  <c:v>93.076737251672839</c:v>
                </c:pt>
                <c:pt idx="458">
                  <c:v>93.006834871657333</c:v>
                </c:pt>
                <c:pt idx="459">
                  <c:v>92.938514825339794</c:v>
                </c:pt>
                <c:pt idx="460">
                  <c:v>92.871741682282334</c:v>
                </c:pt>
                <c:pt idx="461">
                  <c:v>92.806480779529039</c:v>
                </c:pt>
                <c:pt idx="462">
                  <c:v>92.742698206715488</c:v>
                </c:pt>
                <c:pt idx="463">
                  <c:v>92.680360791347667</c:v>
                </c:pt>
                <c:pt idx="464">
                  <c:v>92.6194360842577</c:v>
                </c:pt>
                <c:pt idx="465">
                  <c:v>92.559892345242332</c:v>
                </c:pt>
                <c:pt idx="466">
                  <c:v>92.501698528889648</c:v>
                </c:pt>
                <c:pt idx="467">
                  <c:v>92.444824270599185</c:v>
                </c:pt>
                <c:pt idx="468">
                  <c:v>92.389239872799095</c:v>
                </c:pt>
                <c:pt idx="469">
                  <c:v>92.334916291363967</c:v>
                </c:pt>
                <c:pt idx="470">
                  <c:v>92.281825122236157</c:v>
                </c:pt>
                <c:pt idx="471">
                  <c:v>92.229938588252892</c:v>
                </c:pt>
                <c:pt idx="472">
                  <c:v>92.179229526180819</c:v>
                </c:pt>
                <c:pt idx="473">
                  <c:v>92.129671373959738</c:v>
                </c:pt>
                <c:pt idx="474">
                  <c:v>92.081238158155628</c:v>
                </c:pt>
                <c:pt idx="475">
                  <c:v>92.033904481624646</c:v>
                </c:pt>
                <c:pt idx="476">
                  <c:v>91.987645511387072</c:v>
                </c:pt>
                <c:pt idx="477">
                  <c:v>91.942436966711895</c:v>
                </c:pt>
                <c:pt idx="478">
                  <c:v>91.898255107411131</c:v>
                </c:pt>
                <c:pt idx="479">
                  <c:v>91.855076722343284</c:v>
                </c:pt>
                <c:pt idx="480">
                  <c:v>91.812879118125096</c:v>
                </c:pt>
                <c:pt idx="481">
                  <c:v>91.771640108050022</c:v>
                </c:pt>
                <c:pt idx="482">
                  <c:v>91.731338001212436</c:v>
                </c:pt>
                <c:pt idx="483">
                  <c:v>91.691951591835689</c:v>
                </c:pt>
                <c:pt idx="484">
                  <c:v>91.653460148802395</c:v>
                </c:pt>
                <c:pt idx="485">
                  <c:v>91.615843405384894</c:v>
                </c:pt>
                <c:pt idx="486">
                  <c:v>91.579081549174191</c:v>
                </c:pt>
                <c:pt idx="487">
                  <c:v>91.54315521220461</c:v>
                </c:pt>
                <c:pt idx="488">
                  <c:v>91.508045461272559</c:v>
                </c:pt>
                <c:pt idx="489">
                  <c:v>91.473733788446694</c:v>
                </c:pt>
                <c:pt idx="490">
                  <c:v>91.440202101766843</c:v>
                </c:pt>
                <c:pt idx="491">
                  <c:v>91.407432716129776</c:v>
                </c:pt>
                <c:pt idx="492">
                  <c:v>91.37540834435859</c:v>
                </c:pt>
                <c:pt idx="493">
                  <c:v>91.344112088453642</c:v>
                </c:pt>
                <c:pt idx="494">
                  <c:v>91.313527431021896</c:v>
                </c:pt>
                <c:pt idx="495">
                  <c:v>91.283638226882275</c:v>
                </c:pt>
                <c:pt idx="496">
                  <c:v>91.254428694844236</c:v>
                </c:pt>
                <c:pt idx="497">
                  <c:v>91.225883409656831</c:v>
                </c:pt>
                <c:pt idx="498">
                  <c:v>91.19798729412517</c:v>
                </c:pt>
                <c:pt idx="499">
                  <c:v>91.170725611392115</c:v>
                </c:pt>
                <c:pt idx="500">
                  <c:v>91.144083957381824</c:v>
                </c:pt>
                <c:pt idx="501">
                  <c:v>91.118048253402691</c:v>
                </c:pt>
                <c:pt idx="502">
                  <c:v>91.092604738906886</c:v>
                </c:pt>
                <c:pt idx="503">
                  <c:v>91.067739964403515</c:v>
                </c:pt>
                <c:pt idx="504">
                  <c:v>91.043440784522815</c:v>
                </c:pt>
                <c:pt idx="505">
                  <c:v>91.019694351228694</c:v>
                </c:pt>
                <c:pt idx="506">
                  <c:v>90.996488107176589</c:v>
                </c:pt>
                <c:pt idx="507">
                  <c:v>90.973809779214264</c:v>
                </c:pt>
                <c:pt idx="508">
                  <c:v>90.951647372022663</c:v>
                </c:pt>
                <c:pt idx="509">
                  <c:v>90.929989161894184</c:v>
                </c:pt>
                <c:pt idx="510">
                  <c:v>90.908823690645718</c:v>
                </c:pt>
                <c:pt idx="511">
                  <c:v>90.888139759663957</c:v>
                </c:pt>
                <c:pt idx="512">
                  <c:v>90.867926424080252</c:v>
                </c:pt>
                <c:pt idx="513">
                  <c:v>90.848172987072388</c:v>
                </c:pt>
                <c:pt idx="514">
                  <c:v>90.828868994291099</c:v>
                </c:pt>
                <c:pt idx="515">
                  <c:v>90.810004228408459</c:v>
                </c:pt>
                <c:pt idx="516">
                  <c:v>90.791568703785913</c:v>
                </c:pt>
                <c:pt idx="517">
                  <c:v>90.773552661259373</c:v>
                </c:pt>
                <c:pt idx="518">
                  <c:v>90.755946563039245</c:v>
                </c:pt>
                <c:pt idx="519">
                  <c:v>90.738741087722715</c:v>
                </c:pt>
                <c:pt idx="520">
                  <c:v>90.721927125416173</c:v>
                </c:pt>
                <c:pt idx="521">
                  <c:v>90.70549577296552</c:v>
                </c:pt>
                <c:pt idx="522">
                  <c:v>90.689438329292088</c:v>
                </c:pt>
                <c:pt idx="523">
                  <c:v>90.67374629083173</c:v>
                </c:pt>
                <c:pt idx="524">
                  <c:v>90.658411347075415</c:v>
                </c:pt>
                <c:pt idx="525">
                  <c:v>90.643425376208668</c:v>
                </c:pt>
                <c:pt idx="526">
                  <c:v>90.628780440848146</c:v>
                </c:pt>
                <c:pt idx="527">
                  <c:v>90.614468783873065</c:v>
                </c:pt>
                <c:pt idx="528">
                  <c:v>90.600482824349555</c:v>
                </c:pt>
                <c:pt idx="529">
                  <c:v>90.586815153546013</c:v>
                </c:pt>
                <c:pt idx="530">
                  <c:v>90.573458531037289</c:v>
                </c:pt>
                <c:pt idx="531">
                  <c:v>90.560405880896113</c:v>
                </c:pt>
                <c:pt idx="532">
                  <c:v>90.547650287969617</c:v>
                </c:pt>
                <c:pt idx="533">
                  <c:v>90.535184994239216</c:v>
                </c:pt>
                <c:pt idx="534">
                  <c:v>90.52300339526208</c:v>
                </c:pt>
                <c:pt idx="535">
                  <c:v>90.511099036692386</c:v>
                </c:pt>
                <c:pt idx="536">
                  <c:v>90.499465610880577</c:v>
                </c:pt>
                <c:pt idx="537">
                  <c:v>90.488096953549032</c:v>
                </c:pt>
                <c:pt idx="538">
                  <c:v>90.47698704054234</c:v>
                </c:pt>
                <c:pt idx="539">
                  <c:v>90.466129984650721</c:v>
                </c:pt>
                <c:pt idx="540">
                  <c:v>90.455520032504751</c:v>
                </c:pt>
                <c:pt idx="541">
                  <c:v>90.445151561540172</c:v>
                </c:pt>
              </c:numCache>
            </c:numRef>
          </c:yVal>
          <c:smooth val="1"/>
          <c:extLst>
            <c:ext xmlns:c16="http://schemas.microsoft.com/office/drawing/2014/chart" uri="{C3380CC4-5D6E-409C-BE32-E72D297353CC}">
              <c16:uniqueId val="{00000001-4F4B-43C9-BE46-3F56EC7D1C25}"/>
            </c:ext>
          </c:extLst>
        </c:ser>
        <c:dLbls>
          <c:showLegendKey val="0"/>
          <c:showVal val="0"/>
          <c:showCatName val="0"/>
          <c:showSerName val="0"/>
          <c:showPercent val="0"/>
          <c:showBubbleSize val="0"/>
        </c:dLbls>
        <c:axId val="384260736"/>
        <c:axId val="384259200"/>
      </c:scatterChart>
      <c:valAx>
        <c:axId val="384242816"/>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384244736"/>
        <c:crosses val="autoZero"/>
        <c:crossBetween val="midCat"/>
      </c:valAx>
      <c:valAx>
        <c:axId val="384244736"/>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384242816"/>
        <c:crosses val="autoZero"/>
        <c:crossBetween val="midCat"/>
        <c:majorUnit val="20"/>
        <c:minorUnit val="10"/>
      </c:valAx>
      <c:valAx>
        <c:axId val="384259200"/>
        <c:scaling>
          <c:orientation val="minMax"/>
          <c:max val="180"/>
          <c:min val="-180"/>
        </c:scaling>
        <c:delete val="0"/>
        <c:axPos val="r"/>
        <c:numFmt formatCode="General" sourceLinked="1"/>
        <c:majorTickMark val="out"/>
        <c:minorTickMark val="none"/>
        <c:tickLblPos val="nextTo"/>
        <c:crossAx val="384260736"/>
        <c:crosses val="max"/>
        <c:crossBetween val="midCat"/>
        <c:majorUnit val="90"/>
        <c:minorUnit val="45"/>
      </c:valAx>
      <c:valAx>
        <c:axId val="384260736"/>
        <c:scaling>
          <c:logBase val="10"/>
          <c:orientation val="minMax"/>
        </c:scaling>
        <c:delete val="1"/>
        <c:axPos val="b"/>
        <c:numFmt formatCode="0.00" sourceLinked="1"/>
        <c:majorTickMark val="out"/>
        <c:minorTickMark val="none"/>
        <c:tickLblPos val="nextTo"/>
        <c:crossAx val="384259200"/>
        <c:crosses val="autoZero"/>
        <c:crossBetween val="midCat"/>
      </c:valAx>
    </c:plotArea>
    <c:legend>
      <c:legendPos val="r"/>
      <c:layout>
        <c:manualLayout>
          <c:xMode val="edge"/>
          <c:yMode val="edge"/>
          <c:x val="0.79880558209512509"/>
          <c:y val="0.14321997959862004"/>
          <c:w val="0.13485048155591431"/>
          <c:h val="0.10528624969913696"/>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Control Loop Transfer Function</a:t>
            </a:r>
          </a:p>
        </c:rich>
      </c:tx>
      <c:overlay val="0"/>
    </c:title>
    <c:autoTitleDeleted val="0"/>
    <c:plotArea>
      <c:layout/>
      <c:scatterChart>
        <c:scatterStyle val="smoothMarker"/>
        <c:varyColors val="0"/>
        <c:ser>
          <c:idx val="0"/>
          <c:order val="0"/>
          <c:tx>
            <c:v>Gain (dB)</c:v>
          </c:tx>
          <c:spPr>
            <a:ln w="38100">
              <a:solidFill>
                <a:srgbClr val="FF0000"/>
              </a:solidFill>
            </a:ln>
          </c:spPr>
          <c:marker>
            <c:symbol val="none"/>
          </c:marker>
          <c:xVal>
            <c:numRef>
              <c:f>CCM_Loop_Modeling_non_isolated!$O$19:$O$560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CCM_Loop_Modeling_non_isolated!$AT$19:$AT$560</c:f>
              <c:numCache>
                <c:formatCode>0.000</c:formatCode>
                <c:ptCount val="542"/>
                <c:pt idx="0">
                  <c:v>77.357582100329225</c:v>
                </c:pt>
                <c:pt idx="1">
                  <c:v>77.020967552722169</c:v>
                </c:pt>
                <c:pt idx="2">
                  <c:v>76.682445604807768</c:v>
                </c:pt>
                <c:pt idx="3">
                  <c:v>76.342054035913947</c:v>
                </c:pt>
                <c:pt idx="4">
                  <c:v>75.999831763471946</c:v>
                </c:pt>
                <c:pt idx="5">
                  <c:v>75.655818733446665</c:v>
                </c:pt>
                <c:pt idx="6">
                  <c:v>75.310055811902856</c:v>
                </c:pt>
                <c:pt idx="7">
                  <c:v>74.962584678325825</c:v>
                </c:pt>
                <c:pt idx="8">
                  <c:v>74.613447721267249</c:v>
                </c:pt>
                <c:pt idx="9">
                  <c:v>74.262687936838546</c:v>
                </c:pt>
                <c:pt idx="10">
                  <c:v>73.910348830524853</c:v>
                </c:pt>
                <c:pt idx="11">
                  <c:v>73.55647432273588</c:v>
                </c:pt>
                <c:pt idx="12">
                  <c:v>73.201108658461536</c:v>
                </c:pt>
                <c:pt idx="13">
                  <c:v>72.844296321344956</c:v>
                </c:pt>
                <c:pt idx="14">
                  <c:v>72.486081952433793</c:v>
                </c:pt>
                <c:pt idx="15">
                  <c:v>72.126510273821395</c:v>
                </c:pt>
                <c:pt idx="16">
                  <c:v>71.765626017339684</c:v>
                </c:pt>
                <c:pt idx="17">
                  <c:v>71.403473858421691</c:v>
                </c:pt>
                <c:pt idx="18">
                  <c:v>71.040098355204847</c:v>
                </c:pt>
                <c:pt idx="19">
                  <c:v>70.675543892909914</c:v>
                </c:pt>
                <c:pt idx="20">
                  <c:v>70.309854633491369</c:v>
                </c:pt>
                <c:pt idx="21">
                  <c:v>69.94307447051996</c:v>
                </c:pt>
                <c:pt idx="22">
                  <c:v>69.575246989230834</c:v>
                </c:pt>
                <c:pt idx="23">
                  <c:v>69.206415431641446</c:v>
                </c:pt>
                <c:pt idx="24">
                  <c:v>68.836622666619689</c:v>
                </c:pt>
                <c:pt idx="25">
                  <c:v>68.465911164763611</c:v>
                </c:pt>
                <c:pt idx="26">
                  <c:v>68.094322977935377</c:v>
                </c:pt>
                <c:pt idx="27">
                  <c:v>67.721899723278227</c:v>
                </c:pt>
                <c:pt idx="28">
                  <c:v>67.348682571532265</c:v>
                </c:pt>
                <c:pt idx="29">
                  <c:v>66.974712239458697</c:v>
                </c:pt>
                <c:pt idx="30">
                  <c:v>66.600028986170841</c:v>
                </c:pt>
                <c:pt idx="31">
                  <c:v>66.224672613169261</c:v>
                </c:pt>
                <c:pt idx="32">
                  <c:v>65.848682467873545</c:v>
                </c:pt>
                <c:pt idx="33">
                  <c:v>65.472097450442291</c:v>
                </c:pt>
                <c:pt idx="34">
                  <c:v>65.094956023672708</c:v>
                </c:pt>
                <c:pt idx="35">
                  <c:v>64.717296225773907</c:v>
                </c:pt>
                <c:pt idx="36">
                  <c:v>64.33915568580835</c:v>
                </c:pt>
                <c:pt idx="37">
                  <c:v>63.960571641600829</c:v>
                </c:pt>
                <c:pt idx="38">
                  <c:v>63.581580959917481</c:v>
                </c:pt>
                <c:pt idx="39">
                  <c:v>63.202220158720735</c:v>
                </c:pt>
                <c:pt idx="40">
                  <c:v>62.822525431313608</c:v>
                </c:pt>
                <c:pt idx="41">
                  <c:v>62.44253267218614</c:v>
                </c:pt>
                <c:pt idx="42">
                  <c:v>62.062277504388263</c:v>
                </c:pt>
                <c:pt idx="43">
                  <c:v>61.681795308253058</c:v>
                </c:pt>
                <c:pt idx="44">
                  <c:v>61.301121251298753</c:v>
                </c:pt>
                <c:pt idx="45">
                  <c:v>60.920290319146481</c:v>
                </c:pt>
                <c:pt idx="46">
                  <c:v>60.539337347289035</c:v>
                </c:pt>
                <c:pt idx="47">
                  <c:v>60.158297053553795</c:v>
                </c:pt>
                <c:pt idx="48">
                  <c:v>59.777204071100698</c:v>
                </c:pt>
                <c:pt idx="49">
                  <c:v>59.39609298180482</c:v>
                </c:pt>
                <c:pt idx="50">
                  <c:v>59.014998349867923</c:v>
                </c:pt>
                <c:pt idx="51">
                  <c:v>58.633954755509848</c:v>
                </c:pt>
                <c:pt idx="52">
                  <c:v>58.25299682858742</c:v>
                </c:pt>
                <c:pt idx="53">
                  <c:v>57.872159281989994</c:v>
                </c:pt>
                <c:pt idx="54">
                  <c:v>57.491476944658821</c:v>
                </c:pt>
                <c:pt idx="55">
                  <c:v>57.110984794077019</c:v>
                </c:pt>
                <c:pt idx="56">
                  <c:v>56.7307179880737</c:v>
                </c:pt>
                <c:pt idx="57">
                  <c:v>56.350711895782915</c:v>
                </c:pt>
                <c:pt idx="58">
                  <c:v>55.97100212759598</c:v>
                </c:pt>
                <c:pt idx="59">
                  <c:v>55.59162456394192</c:v>
                </c:pt>
                <c:pt idx="60">
                  <c:v>55.212615382723989</c:v>
                </c:pt>
                <c:pt idx="61">
                  <c:v>54.834011085240455</c:v>
                </c:pt>
                <c:pt idx="62">
                  <c:v>54.455848520409361</c:v>
                </c:pt>
                <c:pt idx="63">
                  <c:v>54.078164907113006</c:v>
                </c:pt>
                <c:pt idx="64">
                  <c:v>53.700997854475432</c:v>
                </c:pt>
                <c:pt idx="65">
                  <c:v>53.324385379878301</c:v>
                </c:pt>
                <c:pt idx="66">
                  <c:v>52.948365924518754</c:v>
                </c:pt>
                <c:pt idx="67">
                  <c:v>52.572978366307638</c:v>
                </c:pt>
                <c:pt idx="68">
                  <c:v>52.198262029904221</c:v>
                </c:pt>
                <c:pt idx="69">
                  <c:v>51.82425669368007</c:v>
                </c:pt>
                <c:pt idx="70">
                  <c:v>51.45100259340397</c:v>
                </c:pt>
                <c:pt idx="71">
                  <c:v>51.078540422440639</c:v>
                </c:pt>
                <c:pt idx="72">
                  <c:v>50.706911328253589</c:v>
                </c:pt>
                <c:pt idx="73">
                  <c:v>50.336156905010455</c:v>
                </c:pt>
                <c:pt idx="74">
                  <c:v>49.966319182089521</c:v>
                </c:pt>
                <c:pt idx="75">
                  <c:v>49.597440608294995</c:v>
                </c:pt>
                <c:pt idx="76">
                  <c:v>49.229564031597455</c:v>
                </c:pt>
                <c:pt idx="77">
                  <c:v>48.862732674227551</c:v>
                </c:pt>
                <c:pt idx="78">
                  <c:v>48.496990102964887</c:v>
                </c:pt>
                <c:pt idx="79">
                  <c:v>48.132380194481797</c:v>
                </c:pt>
                <c:pt idx="80">
                  <c:v>47.768947095622529</c:v>
                </c:pt>
                <c:pt idx="81">
                  <c:v>47.40673517852025</c:v>
                </c:pt>
                <c:pt idx="82">
                  <c:v>47.04578899048375</c:v>
                </c:pt>
                <c:pt idx="83">
                  <c:v>46.686153198613034</c:v>
                </c:pt>
                <c:pt idx="84">
                  <c:v>46.327872529139597</c:v>
                </c:pt>
                <c:pt idx="85">
                  <c:v>45.970991701521058</c:v>
                </c:pt>
                <c:pt idx="86">
                  <c:v>45.615555357363249</c:v>
                </c:pt>
                <c:pt idx="87">
                  <c:v>45.261607984282193</c:v>
                </c:pt>
                <c:pt idx="88">
                  <c:v>44.909193834867736</c:v>
                </c:pt>
                <c:pt idx="89">
                  <c:v>44.558356840957892</c:v>
                </c:pt>
                <c:pt idx="90">
                  <c:v>44.20914052348067</c:v>
                </c:pt>
                <c:pt idx="91">
                  <c:v>43.861587898176268</c:v>
                </c:pt>
                <c:pt idx="92">
                  <c:v>43.515741377562271</c:v>
                </c:pt>
                <c:pt idx="93">
                  <c:v>43.171642669557826</c:v>
                </c:pt>
                <c:pt idx="94">
                  <c:v>42.829332673236244</c:v>
                </c:pt>
                <c:pt idx="95">
                  <c:v>42.488851372226073</c:v>
                </c:pt>
                <c:pt idx="96">
                  <c:v>42.150237726329919</c:v>
                </c:pt>
                <c:pt idx="97">
                  <c:v>41.813529561976424</c:v>
                </c:pt>
                <c:pt idx="98">
                  <c:v>41.478763462163393</c:v>
                </c:pt>
                <c:pt idx="99">
                  <c:v>41.145974656587597</c:v>
                </c:pt>
                <c:pt idx="100">
                  <c:v>40.815196912687746</c:v>
                </c:pt>
                <c:pt idx="101">
                  <c:v>40.486462428354614</c:v>
                </c:pt>
                <c:pt idx="102">
                  <c:v>40.159801727077294</c:v>
                </c:pt>
                <c:pt idx="103">
                  <c:v>39.835243556307809</c:v>
                </c:pt>
                <c:pt idx="104">
                  <c:v>39.512814789825079</c:v>
                </c:pt>
                <c:pt idx="105">
                  <c:v>39.192540334872959</c:v>
                </c:pt>
                <c:pt idx="106">
                  <c:v>38.874443044830414</c:v>
                </c:pt>
                <c:pt idx="107">
                  <c:v>38.558543638142368</c:v>
                </c:pt>
                <c:pt idx="108">
                  <c:v>38.244860624208819</c:v>
                </c:pt>
                <c:pt idx="109">
                  <c:v>37.93341023687772</c:v>
                </c:pt>
                <c:pt idx="110">
                  <c:v>37.624206376137181</c:v>
                </c:pt>
                <c:pt idx="111">
                  <c:v>37.317260558539353</c:v>
                </c:pt>
                <c:pt idx="112">
                  <c:v>37.012581876813123</c:v>
                </c:pt>
                <c:pt idx="113">
                  <c:v>36.710176969052057</c:v>
                </c:pt>
                <c:pt idx="114">
                  <c:v>36.41004999777428</c:v>
                </c:pt>
                <c:pt idx="115">
                  <c:v>36.112202639068663</c:v>
                </c:pt>
                <c:pt idx="116">
                  <c:v>35.816634081947626</c:v>
                </c:pt>
                <c:pt idx="117">
                  <c:v>35.52334103793433</c:v>
                </c:pt>
                <c:pt idx="118">
                  <c:v>35.232317760822667</c:v>
                </c:pt>
                <c:pt idx="119">
                  <c:v>34.943556076450619</c:v>
                </c:pt>
                <c:pt idx="120">
                  <c:v>34.657045422244188</c:v>
                </c:pt>
                <c:pt idx="121">
                  <c:v>34.37277289619761</c:v>
                </c:pt>
                <c:pt idx="122">
                  <c:v>34.090723314881586</c:v>
                </c:pt>
                <c:pt idx="123">
                  <c:v>33.810879279988924</c:v>
                </c:pt>
                <c:pt idx="124">
                  <c:v>33.533221252868302</c:v>
                </c:pt>
                <c:pt idx="125">
                  <c:v>33.257727636429919</c:v>
                </c:pt>
                <c:pt idx="126">
                  <c:v>32.984374863761751</c:v>
                </c:pt>
                <c:pt idx="127">
                  <c:v>32.713137492752281</c:v>
                </c:pt>
                <c:pt idx="128">
                  <c:v>32.443988305982415</c:v>
                </c:pt>
                <c:pt idx="129">
                  <c:v>32.176898415129145</c:v>
                </c:pt>
                <c:pt idx="130">
                  <c:v>31.911837369109893</c:v>
                </c:pt>
                <c:pt idx="131">
                  <c:v>31.648773265194148</c:v>
                </c:pt>
                <c:pt idx="132">
                  <c:v>31.387672862312428</c:v>
                </c:pt>
                <c:pt idx="133">
                  <c:v>31.128501695809383</c:v>
                </c:pt>
                <c:pt idx="134">
                  <c:v>30.871224192906986</c:v>
                </c:pt>
                <c:pt idx="135">
                  <c:v>30.615803788174503</c:v>
                </c:pt>
                <c:pt idx="136">
                  <c:v>30.362203038334677</c:v>
                </c:pt>
                <c:pt idx="137">
                  <c:v>30.11038373577636</c:v>
                </c:pt>
                <c:pt idx="138">
                  <c:v>29.860307020189477</c:v>
                </c:pt>
                <c:pt idx="139">
                  <c:v>29.611933487782714</c:v>
                </c:pt>
                <c:pt idx="140">
                  <c:v>29.365223297598462</c:v>
                </c:pt>
                <c:pt idx="141">
                  <c:v>29.120136274488129</c:v>
                </c:pt>
                <c:pt idx="142">
                  <c:v>28.876632008366553</c:v>
                </c:pt>
                <c:pt idx="143">
                  <c:v>28.634669949415045</c:v>
                </c:pt>
                <c:pt idx="144">
                  <c:v>28.394209498956116</c:v>
                </c:pt>
                <c:pt idx="145">
                  <c:v>28.155210095774208</c:v>
                </c:pt>
                <c:pt idx="146">
                  <c:v>27.917631297704922</c:v>
                </c:pt>
                <c:pt idx="147">
                  <c:v>27.681432858364158</c:v>
                </c:pt>
                <c:pt idx="148">
                  <c:v>27.446574798930435</c:v>
                </c:pt>
                <c:pt idx="149">
                  <c:v>27.213017474939051</c:v>
                </c:pt>
                <c:pt idx="150">
                  <c:v>26.980721638081224</c:v>
                </c:pt>
                <c:pt idx="151">
                  <c:v>26.749648493038571</c:v>
                </c:pt>
                <c:pt idx="152">
                  <c:v>26.519759749415968</c:v>
                </c:pt>
                <c:pt idx="153">
                  <c:v>26.291017668861173</c:v>
                </c:pt>
                <c:pt idx="154">
                  <c:v>26.063385107486905</c:v>
                </c:pt>
                <c:pt idx="155">
                  <c:v>25.836825553732858</c:v>
                </c:pt>
                <c:pt idx="156">
                  <c:v>25.61130316182069</c:v>
                </c:pt>
                <c:pt idx="157">
                  <c:v>25.386782780973061</c:v>
                </c:pt>
                <c:pt idx="158">
                  <c:v>25.163229980579594</c:v>
                </c:pt>
                <c:pt idx="159">
                  <c:v>24.940611071500726</c:v>
                </c:pt>
                <c:pt idx="160">
                  <c:v>24.71889312370859</c:v>
                </c:pt>
                <c:pt idx="161">
                  <c:v>24.498043980468886</c:v>
                </c:pt>
                <c:pt idx="162">
                  <c:v>24.278032269269737</c:v>
                </c:pt>
                <c:pt idx="163">
                  <c:v>24.058827409703625</c:v>
                </c:pt>
                <c:pt idx="164">
                  <c:v>23.840399618509519</c:v>
                </c:pt>
                <c:pt idx="165">
                  <c:v>23.622719911976581</c:v>
                </c:pt>
                <c:pt idx="166">
                  <c:v>23.405760105910083</c:v>
                </c:pt>
                <c:pt idx="167">
                  <c:v>23.189492813353727</c:v>
                </c:pt>
                <c:pt idx="168">
                  <c:v>22.973891440255393</c:v>
                </c:pt>
                <c:pt idx="169">
                  <c:v>22.758930179260037</c:v>
                </c:pt>
                <c:pt idx="170">
                  <c:v>22.54458400180285</c:v>
                </c:pt>
                <c:pt idx="171">
                  <c:v>22.330828648670394</c:v>
                </c:pt>
                <c:pt idx="172">
                  <c:v>22.11764061918689</c:v>
                </c:pt>
                <c:pt idx="173">
                  <c:v>21.90499715917791</c:v>
                </c:pt>
                <c:pt idx="174">
                  <c:v>21.692876247851416</c:v>
                </c:pt>
                <c:pt idx="175">
                  <c:v>21.481256583731266</c:v>
                </c:pt>
                <c:pt idx="176">
                  <c:v>21.270117569766363</c:v>
                </c:pt>
                <c:pt idx="177">
                  <c:v>21.059439297733071</c:v>
                </c:pt>
                <c:pt idx="178">
                  <c:v>20.849202532038873</c:v>
                </c:pt>
                <c:pt idx="179">
                  <c:v>20.639388693026884</c:v>
                </c:pt>
                <c:pt idx="180">
                  <c:v>20.429979839874477</c:v>
                </c:pt>
                <c:pt idx="181">
                  <c:v>20.220958653170371</c:v>
                </c:pt>
                <c:pt idx="182">
                  <c:v>20.012308417248427</c:v>
                </c:pt>
                <c:pt idx="183">
                  <c:v>19.804013002347652</c:v>
                </c:pt>
                <c:pt idx="184">
                  <c:v>19.596056846664474</c:v>
                </c:pt>
                <c:pt idx="185">
                  <c:v>19.388424938353356</c:v>
                </c:pt>
                <c:pt idx="186">
                  <c:v>19.181102797529576</c:v>
                </c:pt>
                <c:pt idx="187">
                  <c:v>18.974076458318685</c:v>
                </c:pt>
                <c:pt idx="188">
                  <c:v>18.767332450995418</c:v>
                </c:pt>
                <c:pt idx="189">
                  <c:v>18.560857784248562</c:v>
                </c:pt>
                <c:pt idx="190">
                  <c:v>18.354639927600825</c:v>
                </c:pt>
                <c:pt idx="191">
                  <c:v>18.148666794015234</c:v>
                </c:pt>
                <c:pt idx="192">
                  <c:v>17.94292672270851</c:v>
                </c:pt>
                <c:pt idx="193">
                  <c:v>17.737408462191226</c:v>
                </c:pt>
                <c:pt idx="194">
                  <c:v>17.532101153554283</c:v>
                </c:pt>
                <c:pt idx="195">
                  <c:v>17.326994314010321</c:v>
                </c:pt>
                <c:pt idx="196">
                  <c:v>17.122077820704359</c:v>
                </c:pt>
                <c:pt idx="197">
                  <c:v>16.917341894799186</c:v>
                </c:pt>
                <c:pt idx="198">
                  <c:v>16.712777085841616</c:v>
                </c:pt>
                <c:pt idx="199">
                  <c:v>16.508374256411926</c:v>
                </c:pt>
                <c:pt idx="200">
                  <c:v>16.304124567058608</c:v>
                </c:pt>
                <c:pt idx="201">
                  <c:v>16.100019461516617</c:v>
                </c:pt>
                <c:pt idx="202">
                  <c:v>15.896050652206714</c:v>
                </c:pt>
                <c:pt idx="203">
                  <c:v>15.692210106011956</c:v>
                </c:pt>
                <c:pt idx="204">
                  <c:v>15.488490030326819</c:v>
                </c:pt>
                <c:pt idx="205">
                  <c:v>15.284882859370324</c:v>
                </c:pt>
                <c:pt idx="206">
                  <c:v>15.08138124075739</c:v>
                </c:pt>
                <c:pt idx="207">
                  <c:v>14.877978022318024</c:v>
                </c:pt>
                <c:pt idx="208">
                  <c:v>14.674666239156416</c:v>
                </c:pt>
                <c:pt idx="209">
                  <c:v>14.471439100937181</c:v>
                </c:pt>
                <c:pt idx="210">
                  <c:v>14.268289979390122</c:v>
                </c:pt>
                <c:pt idx="211">
                  <c:v>14.065212396019378</c:v>
                </c:pt>
                <c:pt idx="212">
                  <c:v>13.862200010006148</c:v>
                </c:pt>
                <c:pt idx="213">
                  <c:v>13.659246606291822</c:v>
                </c:pt>
                <c:pt idx="214">
                  <c:v>13.456346083827116</c:v>
                </c:pt>
                <c:pt idx="215">
                  <c:v>13.253492443975203</c:v>
                </c:pt>
                <c:pt idx="216">
                  <c:v>13.050679779053949</c:v>
                </c:pt>
                <c:pt idx="217">
                  <c:v>12.847902261002426</c:v>
                </c:pt>
                <c:pt idx="218">
                  <c:v>12.645154130158963</c:v>
                </c:pt>
                <c:pt idx="219">
                  <c:v>12.442429684133156</c:v>
                </c:pt>
                <c:pt idx="220">
                  <c:v>12.239723266760784</c:v>
                </c:pt>
                <c:pt idx="221">
                  <c:v>12.037029257122384</c:v>
                </c:pt>
                <c:pt idx="222">
                  <c:v>11.834342058614286</c:v>
                </c:pt>
                <c:pt idx="223">
                  <c:v>11.631656088053617</c:v>
                </c:pt>
                <c:pt idx="224">
                  <c:v>11.42896576480436</c:v>
                </c:pt>
                <c:pt idx="225">
                  <c:v>11.226265499908134</c:v>
                </c:pt>
                <c:pt idx="226">
                  <c:v>11.023549685204529</c:v>
                </c:pt>
                <c:pt idx="227">
                  <c:v>10.820812682426146</c:v>
                </c:pt>
                <c:pt idx="228">
                  <c:v>10.618048812252617</c:v>
                </c:pt>
                <c:pt idx="229">
                  <c:v>10.415252343309216</c:v>
                </c:pt>
                <c:pt idx="230">
                  <c:v>10.212417481094022</c:v>
                </c:pt>
                <c:pt idx="231">
                  <c:v>10.009538356820846</c:v>
                </c:pt>
                <c:pt idx="232">
                  <c:v>9.8066090161603263</c:v>
                </c:pt>
                <c:pt idx="233">
                  <c:v>9.6036234078680689</c:v>
                </c:pt>
                <c:pt idx="234">
                  <c:v>9.4005753722823364</c:v>
                </c:pt>
                <c:pt idx="235">
                  <c:v>9.1974586296804102</c:v>
                </c:pt>
                <c:pt idx="236">
                  <c:v>8.9942667684785569</c:v>
                </c:pt>
                <c:pt idx="237">
                  <c:v>8.7909932332618546</c:v>
                </c:pt>
                <c:pt idx="238">
                  <c:v>8.5876313126328672</c:v>
                </c:pt>
                <c:pt idx="239">
                  <c:v>8.3841741268656182</c:v>
                </c:pt>
                <c:pt idx="240">
                  <c:v>8.180614615353976</c:v>
                </c:pt>
                <c:pt idx="241">
                  <c:v>7.9769455238429057</c:v>
                </c:pt>
                <c:pt idx="242">
                  <c:v>7.7731593914328379</c:v>
                </c:pt>
                <c:pt idx="243">
                  <c:v>7.5692485373474661</c:v>
                </c:pt>
                <c:pt idx="244">
                  <c:v>7.3652050474560316</c:v>
                </c:pt>
                <c:pt idx="245">
                  <c:v>7.1610207605435665</c:v>
                </c:pt>
                <c:pt idx="246">
                  <c:v>6.9566872543216238</c:v>
                </c:pt>
                <c:pt idx="247">
                  <c:v>6.7521958311752206</c:v>
                </c:pt>
                <c:pt idx="248">
                  <c:v>6.5475375036410144</c:v>
                </c:pt>
                <c:pt idx="249">
                  <c:v>6.3427029796161563</c:v>
                </c:pt>
                <c:pt idx="250">
                  <c:v>6.1376826472953683</c:v>
                </c:pt>
                <c:pt idx="251">
                  <c:v>5.9324665598395772</c:v>
                </c:pt>
                <c:pt idx="252">
                  <c:v>5.7270444197769921</c:v>
                </c:pt>
                <c:pt idx="253">
                  <c:v>5.5214055631450689</c:v>
                </c:pt>
                <c:pt idx="254">
                  <c:v>5.3155389433783355</c:v>
                </c:pt>
                <c:pt idx="255">
                  <c:v>5.1094331149547276</c:v>
                </c:pt>
                <c:pt idx="256">
                  <c:v>4.9030762168142843</c:v>
                </c:pt>
                <c:pt idx="257">
                  <c:v>4.6964559555645256</c:v>
                </c:pt>
                <c:pt idx="258">
                  <c:v>4.489559588495343</c:v>
                </c:pt>
                <c:pt idx="259">
                  <c:v>4.2823739064256285</c:v>
                </c:pt>
                <c:pt idx="260">
                  <c:v>4.0748852164092124</c:v>
                </c:pt>
                <c:pt idx="261">
                  <c:v>3.8670793243338113</c:v>
                </c:pt>
                <c:pt idx="262">
                  <c:v>3.6589415174473032</c:v>
                </c:pt>
                <c:pt idx="263">
                  <c:v>3.4504565468546526</c:v>
                </c:pt>
                <c:pt idx="264">
                  <c:v>3.2416086100312258</c:v>
                </c:pt>
                <c:pt idx="265">
                  <c:v>3.0323813334057292</c:v>
                </c:pt>
                <c:pt idx="266">
                  <c:v>2.8227577550692775</c:v>
                </c:pt>
                <c:pt idx="267">
                  <c:v>2.6127203076776544</c:v>
                </c:pt>
                <c:pt idx="268">
                  <c:v>2.402250801614934</c:v>
                </c:pt>
                <c:pt idx="269">
                  <c:v>2.1913304084986098</c:v>
                </c:pt>
                <c:pt idx="270">
                  <c:v>1.9799396451102169</c:v>
                </c:pt>
                <c:pt idx="271">
                  <c:v>1.7680583578449895</c:v>
                </c:pt>
                <c:pt idx="272">
                  <c:v>1.5556657077793044</c:v>
                </c:pt>
                <c:pt idx="273">
                  <c:v>1.3427401564671972</c:v>
                </c:pt>
                <c:pt idx="274">
                  <c:v>1.1292594525797433</c:v>
                </c:pt>
                <c:pt idx="275">
                  <c:v>0.91520061951440745</c:v>
                </c:pt>
                <c:pt idx="276">
                  <c:v>0.70053994410716047</c:v>
                </c:pt>
                <c:pt idx="277">
                  <c:v>0.48525296658968758</c:v>
                </c:pt>
                <c:pt idx="278">
                  <c:v>0.2693144719427038</c:v>
                </c:pt>
                <c:pt idx="279">
                  <c:v>5.2698482803205514E-2</c:v>
                </c:pt>
                <c:pt idx="280">
                  <c:v>-0.1646217459056479</c:v>
                </c:pt>
                <c:pt idx="281">
                  <c:v>-0.38267373044762748</c:v>
                </c:pt>
                <c:pt idx="282">
                  <c:v>-0.6014857596683747</c:v>
                </c:pt>
                <c:pt idx="283">
                  <c:v>-0.82108689412119662</c:v>
                </c:pt>
                <c:pt idx="284">
                  <c:v>-1.0415069627302889</c:v>
                </c:pt>
                <c:pt idx="285">
                  <c:v>-1.2627765567904179</c:v>
                </c:pt>
                <c:pt idx="286">
                  <c:v>-1.4849270210999368</c:v>
                </c:pt>
                <c:pt idx="287">
                  <c:v>-1.707990442019397</c:v>
                </c:pt>
                <c:pt idx="288">
                  <c:v>-1.9319996322491635</c:v>
                </c:pt>
                <c:pt idx="289">
                  <c:v>-2.1569881121172396</c:v>
                </c:pt>
                <c:pt idx="290">
                  <c:v>-2.382990087173618</c:v>
                </c:pt>
                <c:pt idx="291">
                  <c:v>-2.6100404218902611</c:v>
                </c:pt>
                <c:pt idx="292">
                  <c:v>-2.8381746092722993</c:v>
                </c:pt>
                <c:pt idx="293">
                  <c:v>-3.0674287361977646</c:v>
                </c:pt>
                <c:pt idx="294">
                  <c:v>-3.2978394443124213</c:v>
                </c:pt>
                <c:pt idx="295">
                  <c:v>-3.5294438863227144</c:v>
                </c:pt>
                <c:pt idx="296">
                  <c:v>-3.7622796775490364</c:v>
                </c:pt>
                <c:pt idx="297">
                  <c:v>-3.9963848426205901</c:v>
                </c:pt>
                <c:pt idx="298">
                  <c:v>-4.2317977572192031</c:v>
                </c:pt>
                <c:pt idx="299">
                  <c:v>-4.4685570848081069</c:v>
                </c:pt>
                <c:pt idx="300">
                  <c:v>-4.7067017083122256</c:v>
                </c:pt>
                <c:pt idx="301">
                  <c:v>-4.9462706567521737</c:v>
                </c:pt>
                <c:pt idx="302">
                  <c:v>-5.1873030268723808</c:v>
                </c:pt>
                <c:pt idx="303">
                  <c:v>-5.4298378998462349</c:v>
                </c:pt>
                <c:pt idx="304">
                  <c:v>-5.6739142531832689</c:v>
                </c:pt>
                <c:pt idx="305">
                  <c:v>-5.9195708680147909</c:v>
                </c:pt>
                <c:pt idx="306">
                  <c:v>-6.1668462319806068</c:v>
                </c:pt>
                <c:pt idx="307">
                  <c:v>-6.4157784379911575</c:v>
                </c:pt>
                <c:pt idx="308">
                  <c:v>-6.6664050791950666</c:v>
                </c:pt>
                <c:pt idx="309">
                  <c:v>-6.9187631405329597</c:v>
                </c:pt>
                <c:pt idx="310">
                  <c:v>-7.1728888873122774</c:v>
                </c:pt>
                <c:pt idx="311">
                  <c:v>-7.4288177512923523</c:v>
                </c:pt>
                <c:pt idx="312">
                  <c:v>-7.6865842148192947</c:v>
                </c:pt>
                <c:pt idx="313">
                  <c:v>-7.9462216935981376</c:v>
                </c:pt>
                <c:pt idx="314">
                  <c:v>-8.207762418738735</c:v>
                </c:pt>
                <c:pt idx="315">
                  <c:v>-8.4712373187491838</c:v>
                </c:pt>
                <c:pt idx="316">
                  <c:v>-8.7366759021911502</c:v>
                </c:pt>
                <c:pt idx="317">
                  <c:v>-9.0041061417383421</c:v>
                </c:pt>
                <c:pt idx="318">
                  <c:v>-9.2735543604070099</c:v>
                </c:pt>
                <c:pt idx="319">
                  <c:v>-9.5450451207395055</c:v>
                </c:pt>
                <c:pt idx="320">
                  <c:v>-9.8186011177340511</c:v>
                </c:pt>
                <c:pt idx="321">
                  <c:v>-10.094243076309652</c:v>
                </c:pt>
                <c:pt idx="322">
                  <c:v>-10.371989654087539</c:v>
                </c:pt>
                <c:pt idx="323">
                  <c:v>-10.651857350252502</c:v>
                </c:pt>
                <c:pt idx="324">
                  <c:v>-10.933860421223265</c:v>
                </c:pt>
                <c:pt idx="325">
                  <c:v>-11.218010803832033</c:v>
                </c:pt>
                <c:pt idx="326">
                  <c:v>-11.504318046654948</c:v>
                </c:pt>
                <c:pt idx="327">
                  <c:v>-11.792789250091651</c:v>
                </c:pt>
                <c:pt idx="328">
                  <c:v>-12.083429015716661</c:v>
                </c:pt>
                <c:pt idx="329">
                  <c:v>-12.376239405364336</c:v>
                </c:pt>
                <c:pt idx="330">
                  <c:v>-12.671219910322929</c:v>
                </c:pt>
                <c:pt idx="331">
                  <c:v>-12.968367430938347</c:v>
                </c:pt>
                <c:pt idx="332">
                  <c:v>-13.267676266837341</c:v>
                </c:pt>
                <c:pt idx="333">
                  <c:v>-13.569138117893683</c:v>
                </c:pt>
                <c:pt idx="334">
                  <c:v>-13.872742095968151</c:v>
                </c:pt>
                <c:pt idx="335">
                  <c:v>-14.178474747367623</c:v>
                </c:pt>
                <c:pt idx="336">
                  <c:v>-14.486320085875144</c:v>
                </c:pt>
                <c:pt idx="337">
                  <c:v>-14.796259636123747</c:v>
                </c:pt>
                <c:pt idx="338">
                  <c:v>-15.108272487001367</c:v>
                </c:pt>
                <c:pt idx="339">
                  <c:v>-15.422335354699797</c:v>
                </c:pt>
                <c:pt idx="340">
                  <c:v>-15.738422654953879</c:v>
                </c:pt>
                <c:pt idx="341">
                  <c:v>-16.056506583953329</c:v>
                </c:pt>
                <c:pt idx="342">
                  <c:v>-16.376557207356729</c:v>
                </c:pt>
                <c:pt idx="343">
                  <c:v>-16.698542556791498</c:v>
                </c:pt>
                <c:pt idx="344">
                  <c:v>-17.022428733190505</c:v>
                </c:pt>
                <c:pt idx="345">
                  <c:v>-17.348180016284616</c:v>
                </c:pt>
                <c:pt idx="346">
                  <c:v>-17.67575897955572</c:v>
                </c:pt>
                <c:pt idx="347">
                  <c:v>-18.005126609943851</c:v>
                </c:pt>
                <c:pt idx="348">
                  <c:v>-18.336242431602606</c:v>
                </c:pt>
                <c:pt idx="349">
                  <c:v>-18.669064633001156</c:v>
                </c:pt>
                <c:pt idx="350">
                  <c:v>-19.003550196687709</c:v>
                </c:pt>
                <c:pt idx="351">
                  <c:v>-19.339655031047908</c:v>
                </c:pt>
                <c:pt idx="352">
                  <c:v>-19.677334103416733</c:v>
                </c:pt>
                <c:pt idx="353">
                  <c:v>-20.016541573933573</c:v>
                </c:pt>
                <c:pt idx="354">
                  <c:v>-20.357230929562753</c:v>
                </c:pt>
                <c:pt idx="355">
                  <c:v>-20.699355117737156</c:v>
                </c:pt>
                <c:pt idx="356">
                  <c:v>-21.042866679119236</c:v>
                </c:pt>
                <c:pt idx="357">
                  <c:v>-21.387717879013671</c:v>
                </c:pt>
                <c:pt idx="358">
                  <c:v>-21.733860836999611</c:v>
                </c:pt>
                <c:pt idx="359">
                  <c:v>-22.081247654388648</c:v>
                </c:pt>
                <c:pt idx="360">
                  <c:v>-22.429830539148806</c:v>
                </c:pt>
                <c:pt idx="361">
                  <c:v>-22.779561927963222</c:v>
                </c:pt>
                <c:pt idx="362">
                  <c:v>-23.130394605123431</c:v>
                </c:pt>
                <c:pt idx="363">
                  <c:v>-23.482281817980851</c:v>
                </c:pt>
                <c:pt idx="364">
                  <c:v>-23.835177388697957</c:v>
                </c:pt>
                <c:pt idx="365">
                  <c:v>-24.189035822061363</c:v>
                </c:pt>
                <c:pt idx="366">
                  <c:v>-24.54381240912879</c:v>
                </c:pt>
                <c:pt idx="367">
                  <c:v>-24.899463326490153</c:v>
                </c:pt>
                <c:pt idx="368">
                  <c:v>-25.25594573093074</c:v>
                </c:pt>
                <c:pt idx="369">
                  <c:v>-25.613217849281771</c:v>
                </c:pt>
                <c:pt idx="370">
                  <c:v>-25.971239063245637</c:v>
                </c:pt>
                <c:pt idx="371">
                  <c:v>-26.329969988977862</c:v>
                </c:pt>
                <c:pt idx="372">
                  <c:v>-26.689372551201764</c:v>
                </c:pt>
                <c:pt idx="373">
                  <c:v>-27.049410051625632</c:v>
                </c:pt>
                <c:pt idx="374">
                  <c:v>-27.410047231427249</c:v>
                </c:pt>
                <c:pt idx="375">
                  <c:v>-27.771250327561066</c:v>
                </c:pt>
                <c:pt idx="376">
                  <c:v>-28.132987122641811</c:v>
                </c:pt>
                <c:pt idx="377">
                  <c:v>-28.495226988154712</c:v>
                </c:pt>
                <c:pt idx="378">
                  <c:v>-28.857940920743033</c:v>
                </c:pt>
                <c:pt idx="379">
                  <c:v>-29.221101571330635</c:v>
                </c:pt>
                <c:pt idx="380">
                  <c:v>-29.584683266843616</c:v>
                </c:pt>
                <c:pt idx="381">
                  <c:v>-29.948662024312583</c:v>
                </c:pt>
                <c:pt idx="382">
                  <c:v>-30.313015557157787</c:v>
                </c:pt>
                <c:pt idx="383">
                  <c:v>-30.677723273484641</c:v>
                </c:pt>
                <c:pt idx="384">
                  <c:v>-31.04276626625245</c:v>
                </c:pt>
                <c:pt idx="385">
                  <c:v>-31.408127295217291</c:v>
                </c:pt>
                <c:pt idx="386">
                  <c:v>-31.773790760598651</c:v>
                </c:pt>
                <c:pt idx="387">
                  <c:v>-32.139742668469971</c:v>
                </c:pt>
                <c:pt idx="388">
                  <c:v>-32.505970587931181</c:v>
                </c:pt>
                <c:pt idx="389">
                  <c:v>-32.872463600185156</c:v>
                </c:pt>
                <c:pt idx="390">
                  <c:v>-33.239212239705786</c:v>
                </c:pt>
                <c:pt idx="391">
                  <c:v>-33.60620842775549</c:v>
                </c:pt>
                <c:pt idx="392">
                  <c:v>-33.973445398578782</c:v>
                </c:pt>
                <c:pt idx="393">
                  <c:v>-34.340917618674759</c:v>
                </c:pt>
                <c:pt idx="394">
                  <c:v>-34.708620699615771</c:v>
                </c:pt>
                <c:pt idx="395">
                  <c:v>-35.076551304952226</c:v>
                </c:pt>
                <c:pt idx="396">
                  <c:v>-35.444707051804265</c:v>
                </c:pt>
                <c:pt idx="397">
                  <c:v>-35.813086407800029</c:v>
                </c:pt>
                <c:pt idx="398">
                  <c:v>-36.181688584073314</c:v>
                </c:pt>
                <c:pt idx="399">
                  <c:v>-36.550513425073859</c:v>
                </c:pt>
                <c:pt idx="400">
                  <c:v>-36.919561295980841</c:v>
                </c:pt>
                <c:pt idx="401">
                  <c:v>-37.28883296853202</c:v>
                </c:pt>
                <c:pt idx="402">
                  <c:v>-37.658329506097047</c:v>
                </c:pt>
                <c:pt idx="403">
                  <c:v>-38.028052148823761</c:v>
                </c:pt>
                <c:pt idx="404">
                  <c:v>-38.398002199679063</c:v>
                </c:pt>
                <c:pt idx="405">
                  <c:v>-38.768180912186075</c:v>
                </c:pt>
                <c:pt idx="406">
                  <c:v>-39.138589380629043</c:v>
                </c:pt>
                <c:pt idx="407">
                  <c:v>-39.509228433454091</c:v>
                </c:pt>
                <c:pt idx="408">
                  <c:v>-39.880098530549986</c:v>
                </c:pt>
                <c:pt idx="409">
                  <c:v>-40.251199665027109</c:v>
                </c:pt>
                <c:pt idx="410">
                  <c:v>-40.622531270053628</c:v>
                </c:pt>
                <c:pt idx="411">
                  <c:v>-40.994092131234311</c:v>
                </c:pt>
                <c:pt idx="412">
                  <c:v>-41.365880304942635</c:v>
                </c:pt>
                <c:pt idx="413">
                  <c:v>-41.737893042938722</c:v>
                </c:pt>
                <c:pt idx="414">
                  <c:v>-42.110126723526179</c:v>
                </c:pt>
                <c:pt idx="415">
                  <c:v>-42.482576789424257</c:v>
                </c:pt>
                <c:pt idx="416">
                  <c:v>-42.85523769245053</c:v>
                </c:pt>
                <c:pt idx="417">
                  <c:v>-43.228102845040262</c:v>
                </c:pt>
                <c:pt idx="418">
                  <c:v>-43.601164578553401</c:v>
                </c:pt>
                <c:pt idx="419">
                  <c:v>-43.974414108260675</c:v>
                </c:pt>
                <c:pt idx="420">
                  <c:v>-44.34784150483793</c:v>
                </c:pt>
                <c:pt idx="421">
                  <c:v>-44.721435672148921</c:v>
                </c:pt>
                <c:pt idx="422">
                  <c:v>-45.095184331050255</c:v>
                </c:pt>
                <c:pt idx="423">
                  <c:v>-45.469074008919591</c:v>
                </c:pt>
                <c:pt idx="424">
                  <c:v>-45.843090034573599</c:v>
                </c:pt>
                <c:pt idx="425">
                  <c:v>-46.217216538229863</c:v>
                </c:pt>
                <c:pt idx="426">
                  <c:v>-46.591436456145836</c:v>
                </c:pt>
                <c:pt idx="427">
                  <c:v>-46.965731539567443</c:v>
                </c:pt>
                <c:pt idx="428">
                  <c:v>-47.340082367620667</c:v>
                </c:pt>
                <c:pt idx="429">
                  <c:v>-47.714468363787852</c:v>
                </c:pt>
                <c:pt idx="430">
                  <c:v>-48.088867815620773</c:v>
                </c:pt>
                <c:pt idx="431">
                  <c:v>-48.463257897369907</c:v>
                </c:pt>
                <c:pt idx="432">
                  <c:v>-48.837614695223202</c:v>
                </c:pt>
                <c:pt idx="433">
                  <c:v>-49.211913234885586</c:v>
                </c:pt>
                <c:pt idx="434">
                  <c:v>-49.586127511251952</c:v>
                </c:pt>
                <c:pt idx="435">
                  <c:v>-49.960230519968491</c:v>
                </c:pt>
                <c:pt idx="436">
                  <c:v>-50.334194290705042</c:v>
                </c:pt>
                <c:pt idx="437">
                  <c:v>-50.707989922004153</c:v>
                </c:pt>
                <c:pt idx="438">
                  <c:v>-51.081587617603013</c:v>
                </c:pt>
                <c:pt idx="439">
                  <c:v>-51.454956724167516</c:v>
                </c:pt>
                <c:pt idx="440">
                  <c:v>-51.828065770407015</c:v>
                </c:pt>
                <c:pt idx="441">
                  <c:v>-52.200882507581511</c:v>
                </c:pt>
                <c:pt idx="442">
                  <c:v>-52.573373951436572</c:v>
                </c:pt>
                <c:pt idx="443">
                  <c:v>-52.945506425642364</c:v>
                </c:pt>
                <c:pt idx="444">
                  <c:v>-53.317245606833609</c:v>
                </c:pt>
                <c:pt idx="445">
                  <c:v>-53.688556571380339</c:v>
                </c:pt>
                <c:pt idx="446">
                  <c:v>-54.0594038440357</c:v>
                </c:pt>
                <c:pt idx="447">
                  <c:v>-54.429751448632942</c:v>
                </c:pt>
                <c:pt idx="448">
                  <c:v>-54.799562961014828</c:v>
                </c:pt>
                <c:pt idx="449">
                  <c:v>-55.168801564393874</c:v>
                </c:pt>
                <c:pt idx="450">
                  <c:v>-55.537430107348094</c:v>
                </c:pt>
                <c:pt idx="451">
                  <c:v>-55.90541116466224</c:v>
                </c:pt>
                <c:pt idx="452">
                  <c:v>-56.272707101222387</c:v>
                </c:pt>
                <c:pt idx="453">
                  <c:v>-56.639280139169401</c:v>
                </c:pt>
                <c:pt idx="454">
                  <c:v>-57.00509242850358</c:v>
                </c:pt>
                <c:pt idx="455">
                  <c:v>-57.370106121322912</c:v>
                </c:pt>
                <c:pt idx="456">
                  <c:v>-57.734283449852754</c:v>
                </c:pt>
                <c:pt idx="457">
                  <c:v>-58.09758680840843</c:v>
                </c:pt>
                <c:pt idx="458">
                  <c:v>-58.459978839396847</c:v>
                </c:pt>
                <c:pt idx="459">
                  <c:v>-58.821422523433576</c:v>
                </c:pt>
                <c:pt idx="460">
                  <c:v>-59.181881273616106</c:v>
                </c:pt>
                <c:pt idx="461">
                  <c:v>-59.541319033947985</c:v>
                </c:pt>
                <c:pt idx="462">
                  <c:v>-59.899700381865735</c:v>
                </c:pt>
                <c:pt idx="463">
                  <c:v>-60.256990634771618</c:v>
                </c:pt>
                <c:pt idx="464">
                  <c:v>-60.613155960418339</c:v>
                </c:pt>
                <c:pt idx="465">
                  <c:v>-60.968163490941734</c:v>
                </c:pt>
                <c:pt idx="466">
                  <c:v>-61.32198144027528</c:v>
                </c:pt>
                <c:pt idx="467">
                  <c:v>-61.674579224621304</c:v>
                </c:pt>
                <c:pt idx="468">
                  <c:v>-62.025927585594786</c:v>
                </c:pt>
                <c:pt idx="469">
                  <c:v>-62.375998715592338</c:v>
                </c:pt>
                <c:pt idx="470">
                  <c:v>-62.724766384880077</c:v>
                </c:pt>
                <c:pt idx="471">
                  <c:v>-63.072206069833697</c:v>
                </c:pt>
                <c:pt idx="472">
                  <c:v>-63.418295081707967</c:v>
                </c:pt>
                <c:pt idx="473">
                  <c:v>-63.763012695259292</c:v>
                </c:pt>
                <c:pt idx="474">
                  <c:v>-64.106340276495345</c:v>
                </c:pt>
                <c:pt idx="475">
                  <c:v>-64.448261408782002</c:v>
                </c:pt>
                <c:pt idx="476">
                  <c:v>-64.788762016499476</c:v>
                </c:pt>
                <c:pt idx="477">
                  <c:v>-65.127830485406378</c:v>
                </c:pt>
                <c:pt idx="478">
                  <c:v>-65.465457778852468</c:v>
                </c:pt>
                <c:pt idx="479">
                  <c:v>-65.801637548957871</c:v>
                </c:pt>
                <c:pt idx="480">
                  <c:v>-66.13636624187771</c:v>
                </c:pt>
                <c:pt idx="481">
                  <c:v>-66.469643196269587</c:v>
                </c:pt>
                <c:pt idx="482">
                  <c:v>-66.801470734096668</c:v>
                </c:pt>
                <c:pt idx="483">
                  <c:v>-67.131854242921364</c:v>
                </c:pt>
                <c:pt idx="484">
                  <c:v>-67.460802248878181</c:v>
                </c:pt>
                <c:pt idx="485">
                  <c:v>-67.788326479555266</c:v>
                </c:pt>
                <c:pt idx="486">
                  <c:v>-68.114441916067136</c:v>
                </c:pt>
                <c:pt idx="487">
                  <c:v>-68.439166833662924</c:v>
                </c:pt>
                <c:pt idx="488">
                  <c:v>-68.762522830277945</c:v>
                </c:pt>
                <c:pt idx="489">
                  <c:v>-69.084534842518636</c:v>
                </c:pt>
                <c:pt idx="490">
                  <c:v>-69.405231148648141</c:v>
                </c:pt>
                <c:pt idx="491">
                  <c:v>-69.724643358227397</c:v>
                </c:pt>
                <c:pt idx="492">
                  <c:v>-70.042806388159079</c:v>
                </c:pt>
                <c:pt idx="493">
                  <c:v>-70.35975842497362</c:v>
                </c:pt>
                <c:pt idx="494">
                  <c:v>-70.675540873292007</c:v>
                </c:pt>
                <c:pt idx="495">
                  <c:v>-70.990198290495357</c:v>
                </c:pt>
                <c:pt idx="496">
                  <c:v>-71.303778307725665</c:v>
                </c:pt>
                <c:pt idx="497">
                  <c:v>-71.616331537435002</c:v>
                </c:pt>
                <c:pt idx="498">
                  <c:v>-71.927911467788775</c:v>
                </c:pt>
                <c:pt idx="499">
                  <c:v>-72.238574344314529</c:v>
                </c:pt>
                <c:pt idx="500">
                  <c:v>-72.548379039271893</c:v>
                </c:pt>
                <c:pt idx="501">
                  <c:v>-72.857386909288238</c:v>
                </c:pt>
                <c:pt idx="502">
                  <c:v>-73.16566164188302</c:v>
                </c:pt>
                <c:pt idx="503">
                  <c:v>-73.473269091562202</c:v>
                </c:pt>
                <c:pt idx="504">
                  <c:v>-73.780277106224204</c:v>
                </c:pt>
                <c:pt idx="505">
                  <c:v>-74.086755344671943</c:v>
                </c:pt>
                <c:pt idx="506">
                  <c:v>-74.392775086068895</c:v>
                </c:pt>
                <c:pt idx="507">
                  <c:v>-74.698409032219587</c:v>
                </c:pt>
                <c:pt idx="508">
                  <c:v>-75.003731103587711</c:v>
                </c:pt>
                <c:pt idx="509">
                  <c:v>-75.30881622999371</c:v>
                </c:pt>
                <c:pt idx="510">
                  <c:v>-75.613740136957929</c:v>
                </c:pt>
                <c:pt idx="511">
                  <c:v>-75.918579128674097</c:v>
                </c:pt>
                <c:pt idx="512">
                  <c:v>-76.223409868611938</c:v>
                </c:pt>
                <c:pt idx="513">
                  <c:v>-76.528309158757551</c:v>
                </c:pt>
                <c:pt idx="514">
                  <c:v>-76.833353718505691</c:v>
                </c:pt>
                <c:pt idx="515">
                  <c:v>-77.138619964220084</c:v>
                </c:pt>
                <c:pt idx="516">
                  <c:v>-77.444183790476316</c:v>
                </c:pt>
                <c:pt idx="517">
                  <c:v>-77.750120353991704</c:v>
                </c:pt>
                <c:pt idx="518">
                  <c:v>-78.05650386124239</c:v>
                </c:pt>
                <c:pt idx="519">
                  <c:v>-78.363407360746422</c:v>
                </c:pt>
                <c:pt idx="520">
                  <c:v>-78.670902540973756</c:v>
                </c:pt>
                <c:pt idx="521">
                  <c:v>-78.979059534824273</c:v>
                </c:pt>
                <c:pt idx="522">
                  <c:v>-79.287946731576056</c:v>
                </c:pt>
                <c:pt idx="523">
                  <c:v>-79.59763059717956</c:v>
                </c:pt>
                <c:pt idx="524">
                  <c:v>-79.908175503726895</c:v>
                </c:pt>
                <c:pt idx="525">
                  <c:v>-80.219643568880358</c:v>
                </c:pt>
                <c:pt idx="526">
                  <c:v>-80.532094505989974</c:v>
                </c:pt>
                <c:pt idx="527">
                  <c:v>-80.845585485571831</c:v>
                </c:pt>
                <c:pt idx="528">
                  <c:v>-81.160171008752116</c:v>
                </c:pt>
                <c:pt idx="529">
                  <c:v>-81.475902793211091</c:v>
                </c:pt>
                <c:pt idx="530">
                  <c:v>-81.792829672081695</c:v>
                </c:pt>
                <c:pt idx="531">
                  <c:v>-82.110997506180112</c:v>
                </c:pt>
                <c:pt idx="532">
                  <c:v>-82.43044910985239</c:v>
                </c:pt>
                <c:pt idx="533">
                  <c:v>-82.751224190636037</c:v>
                </c:pt>
                <c:pt idx="534">
                  <c:v>-83.073359302839705</c:v>
                </c:pt>
                <c:pt idx="535">
                  <c:v>-83.396887815047847</c:v>
                </c:pt>
                <c:pt idx="536">
                  <c:v>-83.72183989146221</c:v>
                </c:pt>
                <c:pt idx="537">
                  <c:v>-84.048242486898715</c:v>
                </c:pt>
                <c:pt idx="538">
                  <c:v>-84.376119355159304</c:v>
                </c:pt>
                <c:pt idx="539">
                  <c:v>-84.705491070411085</c:v>
                </c:pt>
                <c:pt idx="540">
                  <c:v>-85.036375061115606</c:v>
                </c:pt>
                <c:pt idx="541">
                  <c:v>-85.368785655972346</c:v>
                </c:pt>
              </c:numCache>
            </c:numRef>
          </c:yVal>
          <c:smooth val="1"/>
          <c:extLst>
            <c:ext xmlns:c16="http://schemas.microsoft.com/office/drawing/2014/chart" uri="{C3380CC4-5D6E-409C-BE32-E72D297353CC}">
              <c16:uniqueId val="{00000000-83C7-483B-9FAA-73F41D4B5EAC}"/>
            </c:ext>
          </c:extLst>
        </c:ser>
        <c:dLbls>
          <c:showLegendKey val="0"/>
          <c:showVal val="0"/>
          <c:showCatName val="0"/>
          <c:showSerName val="0"/>
          <c:showPercent val="0"/>
          <c:showBubbleSize val="0"/>
        </c:dLbls>
        <c:axId val="377549184"/>
        <c:axId val="377551104"/>
      </c:scatterChart>
      <c:scatterChart>
        <c:scatterStyle val="smoothMarker"/>
        <c:varyColors val="0"/>
        <c:ser>
          <c:idx val="1"/>
          <c:order val="1"/>
          <c:tx>
            <c:v>Phase (deg)</c:v>
          </c:tx>
          <c:spPr>
            <a:ln w="38100">
              <a:solidFill>
                <a:schemeClr val="tx1">
                  <a:lumMod val="95000"/>
                  <a:lumOff val="5000"/>
                </a:schemeClr>
              </a:solidFill>
              <a:prstDash val="sysDash"/>
            </a:ln>
          </c:spPr>
          <c:marker>
            <c:symbol val="none"/>
          </c:marker>
          <c:xVal>
            <c:numRef>
              <c:f>CCM_Loop_Modeling_non_isolated!$O$19:$O$560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CCM_Loop_Modeling_non_isolated!$AU$19:$AU$560</c:f>
              <c:numCache>
                <c:formatCode>General</c:formatCode>
                <c:ptCount val="542"/>
                <c:pt idx="0">
                  <c:v>38.359528720799709</c:v>
                </c:pt>
                <c:pt idx="1">
                  <c:v>37.84431313040642</c:v>
                </c:pt>
                <c:pt idx="2">
                  <c:v>37.336719464540145</c:v>
                </c:pt>
                <c:pt idx="3">
                  <c:v>36.837017372180412</c:v>
                </c:pt>
                <c:pt idx="4">
                  <c:v>36.34546555402661</c:v>
                </c:pt>
                <c:pt idx="5">
                  <c:v>35.862311629420248</c:v>
                </c:pt>
                <c:pt idx="6">
                  <c:v>35.387792056128156</c:v>
                </c:pt>
                <c:pt idx="7">
                  <c:v>34.922132101022591</c:v>
                </c:pt>
                <c:pt idx="8">
                  <c:v>34.46554585938518</c:v>
                </c:pt>
                <c:pt idx="9">
                  <c:v>34.018236320296218</c:v>
                </c:pt>
                <c:pt idx="10">
                  <c:v>33.580395475352788</c:v>
                </c:pt>
                <c:pt idx="11">
                  <c:v>33.152204467768797</c:v>
                </c:pt>
                <c:pt idx="12">
                  <c:v>32.73383377879049</c:v>
                </c:pt>
                <c:pt idx="13">
                  <c:v>32.325443448243604</c:v>
                </c:pt>
                <c:pt idx="14">
                  <c:v>31.927183325983069</c:v>
                </c:pt>
                <c:pt idx="15">
                  <c:v>31.539193350984462</c:v>
                </c:pt>
                <c:pt idx="16">
                  <c:v>31.161603854830631</c:v>
                </c:pt>
                <c:pt idx="17">
                  <c:v>30.79453588637417</c:v>
                </c:pt>
                <c:pt idx="18">
                  <c:v>30.438101554433402</c:v>
                </c:pt>
                <c:pt idx="19">
                  <c:v>30.092404385454369</c:v>
                </c:pt>
                <c:pt idx="20">
                  <c:v>29.757539693181712</c:v>
                </c:pt>
                <c:pt idx="21">
                  <c:v>29.43359495750521</c:v>
                </c:pt>
                <c:pt idx="22">
                  <c:v>29.120650209777086</c:v>
                </c:pt>
                <c:pt idx="23">
                  <c:v>28.818778422045188</c:v>
                </c:pt>
                <c:pt idx="24">
                  <c:v>28.52804589780127</c:v>
                </c:pt>
                <c:pt idx="25">
                  <c:v>28.248512661985856</c:v>
                </c:pt>
                <c:pt idx="26">
                  <c:v>27.980232848171738</c:v>
                </c:pt>
                <c:pt idx="27">
                  <c:v>27.723255080985137</c:v>
                </c:pt>
                <c:pt idx="28">
                  <c:v>27.477622851996507</c:v>
                </c:pt>
                <c:pt idx="29">
                  <c:v>27.24337488745428</c:v>
                </c:pt>
                <c:pt idx="30">
                  <c:v>27.020545506394999</c:v>
                </c:pt>
                <c:pt idx="31">
                  <c:v>26.809164967793642</c:v>
                </c:pt>
                <c:pt idx="32">
                  <c:v>26.609259805565632</c:v>
                </c:pt>
                <c:pt idx="33">
                  <c:v>26.42085315035105</c:v>
                </c:pt>
                <c:pt idx="34">
                  <c:v>26.243965037138061</c:v>
                </c:pt>
                <c:pt idx="35">
                  <c:v>26.078612697889579</c:v>
                </c:pt>
                <c:pt idx="36">
                  <c:v>25.924810838446227</c:v>
                </c:pt>
                <c:pt idx="37">
                  <c:v>25.782571899066177</c:v>
                </c:pt>
                <c:pt idx="38">
                  <c:v>25.651906298055259</c:v>
                </c:pt>
                <c:pt idx="39">
                  <c:v>25.532822658014886</c:v>
                </c:pt>
                <c:pt idx="40">
                  <c:v>25.425328014303926</c:v>
                </c:pt>
                <c:pt idx="41">
                  <c:v>25.329428005379867</c:v>
                </c:pt>
                <c:pt idx="42">
                  <c:v>25.245127044727617</c:v>
                </c:pt>
                <c:pt idx="43">
                  <c:v>25.172428474145367</c:v>
                </c:pt>
                <c:pt idx="44">
                  <c:v>25.111334698190138</c:v>
                </c:pt>
                <c:pt idx="45">
                  <c:v>25.061847299626173</c:v>
                </c:pt>
                <c:pt idx="46">
                  <c:v>25.023967135749736</c:v>
                </c:pt>
                <c:pt idx="47">
                  <c:v>24.997694415490535</c:v>
                </c:pt>
                <c:pt idx="48">
                  <c:v>24.983028757218953</c:v>
                </c:pt>
                <c:pt idx="49">
                  <c:v>24.97996922720116</c:v>
                </c:pt>
                <c:pt idx="50">
                  <c:v>24.988514358668198</c:v>
                </c:pt>
                <c:pt idx="51">
                  <c:v>25.008662151483925</c:v>
                </c:pt>
                <c:pt idx="52">
                  <c:v>25.040410052408159</c:v>
                </c:pt>
                <c:pt idx="53">
                  <c:v>25.083754915972801</c:v>
                </c:pt>
                <c:pt idx="54">
                  <c:v>25.138692946002248</c:v>
                </c:pt>
                <c:pt idx="55">
                  <c:v>25.205219617832608</c:v>
                </c:pt>
                <c:pt idx="56">
                  <c:v>25.283329581300048</c:v>
                </c:pt>
                <c:pt idx="57">
                  <c:v>25.373016544596418</c:v>
                </c:pt>
                <c:pt idx="58">
                  <c:v>25.474273139115237</c:v>
                </c:pt>
                <c:pt idx="59">
                  <c:v>25.587090765444188</c:v>
                </c:pt>
                <c:pt idx="60">
                  <c:v>25.71145942069495</c:v>
                </c:pt>
                <c:pt idx="61">
                  <c:v>25.847367507404307</c:v>
                </c:pt>
                <c:pt idx="62">
                  <c:v>25.994801624288261</c:v>
                </c:pt>
                <c:pt idx="63">
                  <c:v>26.153746339184988</c:v>
                </c:pt>
                <c:pt idx="64">
                  <c:v>26.32418394458502</c:v>
                </c:pt>
                <c:pt idx="65">
                  <c:v>26.506094196215091</c:v>
                </c:pt>
                <c:pt idx="66">
                  <c:v>26.69945403522193</c:v>
                </c:pt>
                <c:pt idx="67">
                  <c:v>26.90423729458465</c:v>
                </c:pt>
                <c:pt idx="68">
                  <c:v>27.120414390482289</c:v>
                </c:pt>
                <c:pt idx="69">
                  <c:v>27.34795199944346</c:v>
                </c:pt>
                <c:pt idx="70">
                  <c:v>27.586812722217111</c:v>
                </c:pt>
                <c:pt idx="71">
                  <c:v>27.836954735422761</c:v>
                </c:pt>
                <c:pt idx="72">
                  <c:v>28.098331432169825</c:v>
                </c:pt>
                <c:pt idx="73">
                  <c:v>28.370891052964527</c:v>
                </c:pt>
                <c:pt idx="74">
                  <c:v>28.654576308372391</c:v>
                </c:pt>
                <c:pt idx="75">
                  <c:v>28.949323995048314</c:v>
                </c:pt>
                <c:pt idx="76">
                  <c:v>29.255064606901133</c:v>
                </c:pt>
                <c:pt idx="77">
                  <c:v>29.571721943313676</c:v>
                </c:pt>
                <c:pt idx="78">
                  <c:v>29.899212716504735</c:v>
                </c:pt>
                <c:pt idx="79">
                  <c:v>30.237446160265744</c:v>
                </c:pt>
                <c:pt idx="80">
                  <c:v>30.586323642476316</c:v>
                </c:pt>
                <c:pt idx="81">
                  <c:v>30.9457382839433</c:v>
                </c:pt>
                <c:pt idx="82">
                  <c:v>31.315574586254829</c:v>
                </c:pt>
                <c:pt idx="83">
                  <c:v>31.695708071485086</c:v>
                </c:pt>
                <c:pt idx="84">
                  <c:v>32.086004936692945</c:v>
                </c:pt>
                <c:pt idx="85">
                  <c:v>32.486321726278085</c:v>
                </c:pt>
                <c:pt idx="86">
                  <c:v>32.896505025335848</c:v>
                </c:pt>
                <c:pt idx="87">
                  <c:v>33.31639117722257</c:v>
                </c:pt>
                <c:pt idx="88">
                  <c:v>33.745806028575295</c:v>
                </c:pt>
                <c:pt idx="89">
                  <c:v>34.184564705051947</c:v>
                </c:pt>
                <c:pt idx="90">
                  <c:v>34.632471421014287</c:v>
                </c:pt>
                <c:pt idx="91">
                  <c:v>35.089319326342867</c:v>
                </c:pt>
                <c:pt idx="92">
                  <c:v>35.554890393458123</c:v>
                </c:pt>
                <c:pt idx="93">
                  <c:v>36.028955347492726</c:v>
                </c:pt>
                <c:pt idx="94">
                  <c:v>36.51127364238971</c:v>
                </c:pt>
                <c:pt idx="95">
                  <c:v>37.001593485464973</c:v>
                </c:pt>
                <c:pt idx="96">
                  <c:v>37.499651912725966</c:v>
                </c:pt>
                <c:pt idx="97">
                  <c:v>38.005174916923472</c:v>
                </c:pt>
                <c:pt idx="98">
                  <c:v>38.517877629963337</c:v>
                </c:pt>
                <c:pt idx="99">
                  <c:v>39.037464560926217</c:v>
                </c:pt>
                <c:pt idx="100">
                  <c:v>39.563629890509553</c:v>
                </c:pt>
                <c:pt idx="101">
                  <c:v>40.096057822254998</c:v>
                </c:pt>
                <c:pt idx="102">
                  <c:v>40.634422990436732</c:v>
                </c:pt>
                <c:pt idx="103">
                  <c:v>41.178390923977446</c:v>
                </c:pt>
                <c:pt idx="104">
                  <c:v>41.727618565233151</c:v>
                </c:pt>
                <c:pt idx="105">
                  <c:v>42.281754841958609</c:v>
                </c:pt>
                <c:pt idx="106">
                  <c:v>42.840441290224597</c:v>
                </c:pt>
                <c:pt idx="107">
                  <c:v>43.403312725531705</c:v>
                </c:pt>
                <c:pt idx="108">
                  <c:v>43.969997958850151</c:v>
                </c:pt>
                <c:pt idx="109">
                  <c:v>44.540120553827677</c:v>
                </c:pt>
                <c:pt idx="110">
                  <c:v>45.113299620941781</c:v>
                </c:pt>
                <c:pt idx="111">
                  <c:v>45.689150643958918</c:v>
                </c:pt>
                <c:pt idx="112">
                  <c:v>46.2672863336864</c:v>
                </c:pt>
                <c:pt idx="113">
                  <c:v>46.847317503687144</c:v>
                </c:pt>
                <c:pt idx="114">
                  <c:v>47.428853962362531</c:v>
                </c:pt>
                <c:pt idx="115">
                  <c:v>48.011505415623141</c:v>
                </c:pt>
                <c:pt idx="116">
                  <c:v>48.594882374228639</c:v>
                </c:pt>
                <c:pt idx="117">
                  <c:v>49.178597059833628</c:v>
                </c:pt>
                <c:pt idx="118">
                  <c:v>49.762264303784896</c:v>
                </c:pt>
                <c:pt idx="119">
                  <c:v>50.345502432806079</c:v>
                </c:pt>
                <c:pt idx="120">
                  <c:v>50.927934135858045</c:v>
                </c:pt>
                <c:pt idx="121">
                  <c:v>51.50918730669661</c:v>
                </c:pt>
                <c:pt idx="122">
                  <c:v>52.088895856923152</c:v>
                </c:pt>
                <c:pt idx="123">
                  <c:v>52.666700494671289</c:v>
                </c:pt>
                <c:pt idx="124">
                  <c:v>53.24224946447638</c:v>
                </c:pt>
                <c:pt idx="125">
                  <c:v>53.815199244288905</c:v>
                </c:pt>
                <c:pt idx="126">
                  <c:v>54.385215196094563</c:v>
                </c:pt>
                <c:pt idx="127">
                  <c:v>54.951972167076804</c:v>
                </c:pt>
                <c:pt idx="128">
                  <c:v>55.515155038797353</c:v>
                </c:pt>
                <c:pt idx="129">
                  <c:v>56.074459222393038</c:v>
                </c:pt>
                <c:pt idx="130">
                  <c:v>56.629591098318123</c:v>
                </c:pt>
                <c:pt idx="131">
                  <c:v>57.180268399695251</c:v>
                </c:pt>
                <c:pt idx="132">
                  <c:v>57.726220538847436</c:v>
                </c:pt>
                <c:pt idx="133">
                  <c:v>58.267188877082468</c:v>
                </c:pt>
                <c:pt idx="134">
                  <c:v>58.80292693827348</c:v>
                </c:pt>
                <c:pt idx="135">
                  <c:v>59.33320056720823</c:v>
                </c:pt>
                <c:pt idx="136">
                  <c:v>59.857788034101219</c:v>
                </c:pt>
                <c:pt idx="137">
                  <c:v>60.376480087008382</c:v>
                </c:pt>
                <c:pt idx="138">
                  <c:v>60.889079954228237</c:v>
                </c:pt>
                <c:pt idx="139">
                  <c:v>61.395403299040687</c:v>
                </c:pt>
                <c:pt idx="140">
                  <c:v>61.895278129383598</c:v>
                </c:pt>
                <c:pt idx="141">
                  <c:v>62.388544665257072</c:v>
                </c:pt>
                <c:pt idx="142">
                  <c:v>62.875055166802746</c:v>
                </c:pt>
                <c:pt idx="143">
                  <c:v>63.354673726110988</c:v>
                </c:pt>
                <c:pt idx="144">
                  <c:v>63.827276025892083</c:v>
                </c:pt>
                <c:pt idx="145">
                  <c:v>64.292749068172753</c:v>
                </c:pt>
                <c:pt idx="146">
                  <c:v>64.750990876184616</c:v>
                </c:pt>
                <c:pt idx="147">
                  <c:v>65.201910172587745</c:v>
                </c:pt>
                <c:pt idx="148">
                  <c:v>65.645426037100705</c:v>
                </c:pt>
                <c:pt idx="149">
                  <c:v>66.081467546544459</c:v>
                </c:pt>
                <c:pt idx="150">
                  <c:v>66.50997340018786</c:v>
                </c:pt>
                <c:pt idx="151">
                  <c:v>66.930891533170779</c:v>
                </c:pt>
                <c:pt idx="152">
                  <c:v>67.344178720640116</c:v>
                </c:pt>
                <c:pt idx="153">
                  <c:v>67.749800175089646</c:v>
                </c:pt>
                <c:pt idx="154">
                  <c:v>68.14772913923079</c:v>
                </c:pt>
                <c:pt idx="155">
                  <c:v>68.537946476569203</c:v>
                </c:pt>
                <c:pt idx="156">
                  <c:v>68.920440261682359</c:v>
                </c:pt>
                <c:pt idx="157">
                  <c:v>69.295205372036023</c:v>
                </c:pt>
                <c:pt idx="158">
                  <c:v>69.662243083006317</c:v>
                </c:pt>
                <c:pt idx="159">
                  <c:v>70.021560667603751</c:v>
                </c:pt>
                <c:pt idx="160">
                  <c:v>70.37317100224557</c:v>
                </c:pt>
                <c:pt idx="161">
                  <c:v>70.717092179751759</c:v>
                </c:pt>
                <c:pt idx="162">
                  <c:v>71.05334713060607</c:v>
                </c:pt>
                <c:pt idx="163">
                  <c:v>71.381963253363722</c:v>
                </c:pt>
                <c:pt idx="164">
                  <c:v>71.702972054968981</c:v>
                </c:pt>
                <c:pt idx="165">
                  <c:v>72.016408801601216</c:v>
                </c:pt>
                <c:pt idx="166">
                  <c:v>72.322312180563884</c:v>
                </c:pt>
                <c:pt idx="167">
                  <c:v>72.620723973611646</c:v>
                </c:pt>
                <c:pt idx="168">
                  <c:v>72.911688742010455</c:v>
                </c:pt>
                <c:pt idx="169">
                  <c:v>73.195253523536593</c:v>
                </c:pt>
                <c:pt idx="170">
                  <c:v>73.471467541529975</c:v>
                </c:pt>
                <c:pt idx="171">
                  <c:v>73.740381926044719</c:v>
                </c:pt>
                <c:pt idx="172">
                  <c:v>74.002049447069339</c:v>
                </c:pt>
                <c:pt idx="173">
                  <c:v>74.25652425972855</c:v>
                </c:pt>
                <c:pt idx="174">
                  <c:v>74.503861661323867</c:v>
                </c:pt>
                <c:pt idx="175">
                  <c:v>74.744117860025824</c:v>
                </c:pt>
                <c:pt idx="176">
                  <c:v>74.977349754984786</c:v>
                </c:pt>
                <c:pt idx="177">
                  <c:v>75.203614727597454</c:v>
                </c:pt>
                <c:pt idx="178">
                  <c:v>75.422970443634711</c:v>
                </c:pt>
                <c:pt idx="179">
                  <c:v>75.635474665910635</c:v>
                </c:pt>
                <c:pt idx="180">
                  <c:v>75.841185077156155</c:v>
                </c:pt>
                <c:pt idx="181">
                  <c:v>76.04015911274287</c:v>
                </c:pt>
                <c:pt idx="182">
                  <c:v>76.232453802891399</c:v>
                </c:pt>
                <c:pt idx="183">
                  <c:v>76.418125623990306</c:v>
                </c:pt>
                <c:pt idx="184">
                  <c:v>76.59723035864836</c:v>
                </c:pt>
                <c:pt idx="185">
                  <c:v>76.769822964097429</c:v>
                </c:pt>
                <c:pt idx="186">
                  <c:v>76.935957448565787</c:v>
                </c:pt>
                <c:pt idx="187">
                  <c:v>77.09568675524325</c:v>
                </c:pt>
                <c:pt idx="188">
                  <c:v>77.249062653462474</c:v>
                </c:pt>
                <c:pt idx="189">
                  <c:v>77.396135636729056</c:v>
                </c:pt>
                <c:pt idx="190">
                  <c:v>77.536954827236073</c:v>
                </c:pt>
                <c:pt idx="191">
                  <c:v>77.671567886512136</c:v>
                </c:pt>
                <c:pt idx="192">
                  <c:v>77.800020931855784</c:v>
                </c:pt>
                <c:pt idx="193">
                  <c:v>77.922358458222533</c:v>
                </c:pt>
                <c:pt idx="194">
                  <c:v>78.038623265242961</c:v>
                </c:pt>
                <c:pt idx="195">
                  <c:v>78.148856389053805</c:v>
                </c:pt>
                <c:pt idx="196">
                  <c:v>78.253097038647084</c:v>
                </c:pt>
                <c:pt idx="197">
                  <c:v>78.351382536442046</c:v>
                </c:pt>
                <c:pt idx="198">
                  <c:v>78.443748262807119</c:v>
                </c:pt>
                <c:pt idx="199">
                  <c:v>78.53022760426272</c:v>
                </c:pt>
                <c:pt idx="200">
                  <c:v>78.610851905114643</c:v>
                </c:pt>
                <c:pt idx="201">
                  <c:v>78.685650422274648</c:v>
                </c:pt>
                <c:pt idx="202">
                  <c:v>78.754650283039794</c:v>
                </c:pt>
                <c:pt idx="203">
                  <c:v>78.817876445612967</c:v>
                </c:pt>
                <c:pt idx="204">
                  <c:v>78.875351662159161</c:v>
                </c:pt>
                <c:pt idx="205">
                  <c:v>78.927096444202519</c:v>
                </c:pt>
                <c:pt idx="206">
                  <c:v>78.973129030181155</c:v>
                </c:pt>
                <c:pt idx="207">
                  <c:v>79.013465354989094</c:v>
                </c:pt>
                <c:pt idx="208">
                  <c:v>79.048119021341563</c:v>
                </c:pt>
                <c:pt idx="209">
                  <c:v>79.077101272815042</c:v>
                </c:pt>
                <c:pt idx="210">
                  <c:v>79.100420968420778</c:v>
                </c:pt>
                <c:pt idx="211">
                  <c:v>79.118084558581856</c:v>
                </c:pt>
                <c:pt idx="212">
                  <c:v>79.130096062391644</c:v>
                </c:pt>
                <c:pt idx="213">
                  <c:v>79.136457046044669</c:v>
                </c:pt>
                <c:pt idx="214">
                  <c:v>79.137166602336649</c:v>
                </c:pt>
                <c:pt idx="215">
                  <c:v>79.132221331141437</c:v>
                </c:pt>
                <c:pt idx="216">
                  <c:v>79.121615320780862</c:v>
                </c:pt>
                <c:pt idx="217">
                  <c:v>79.105340130212795</c:v>
                </c:pt>
                <c:pt idx="218">
                  <c:v>79.083384771970373</c:v>
                </c:pt>
                <c:pt idx="219">
                  <c:v>79.05573569579424</c:v>
                </c:pt>
                <c:pt idx="220">
                  <c:v>79.022376772908331</c:v>
                </c:pt>
                <c:pt idx="221">
                  <c:v>78.983289280896273</c:v>
                </c:pt>
                <c:pt idx="222">
                  <c:v>78.938451889146435</c:v>
                </c:pt>
                <c:pt idx="223">
                  <c:v>78.887840644837013</c:v>
                </c:pt>
                <c:pt idx="224">
                  <c:v>78.831428959446384</c:v>
                </c:pt>
                <c:pt idx="225">
                  <c:v>78.769187595775776</c:v>
                </c:pt>
                <c:pt idx="226">
                  <c:v>78.701084655484152</c:v>
                </c:pt>
                <c:pt idx="227">
                  <c:v>78.627085567139702</c:v>
                </c:pt>
                <c:pt idx="228">
                  <c:v>78.547153074801969</c:v>
                </c:pt>
                <c:pt idx="229">
                  <c:v>78.461247227156022</c:v>
                </c:pt>
                <c:pt idx="230">
                  <c:v>78.369325367228583</c:v>
                </c:pt>
                <c:pt idx="231">
                  <c:v>78.271342122723283</c:v>
                </c:pt>
                <c:pt idx="232">
                  <c:v>78.16724939702145</c:v>
                </c:pt>
                <c:pt idx="233">
                  <c:v>78.056996360902602</c:v>
                </c:pt>
                <c:pt idx="234">
                  <c:v>77.940529445047559</c:v>
                </c:pt>
                <c:pt idx="235">
                  <c:v>77.817792333396284</c:v>
                </c:pt>
                <c:pt idx="236">
                  <c:v>77.688725957440624</c:v>
                </c:pt>
                <c:pt idx="237">
                  <c:v>77.553268491541573</c:v>
                </c:pt>
                <c:pt idx="238">
                  <c:v>77.411355349371021</c:v>
                </c:pt>
                <c:pt idx="239">
                  <c:v>77.262919181585602</c:v>
                </c:pt>
                <c:pt idx="240">
                  <c:v>77.107889874852717</c:v>
                </c:pt>
                <c:pt idx="241">
                  <c:v>76.946194552355479</c:v>
                </c:pt>
                <c:pt idx="242">
                  <c:v>76.777757575918059</c:v>
                </c:pt>
                <c:pt idx="243">
                  <c:v>76.602500549899318</c:v>
                </c:pt>
                <c:pt idx="244">
                  <c:v>76.420342327015746</c:v>
                </c:pt>
                <c:pt idx="245">
                  <c:v>76.231199016266814</c:v>
                </c:pt>
                <c:pt idx="246">
                  <c:v>76.034983993144351</c:v>
                </c:pt>
                <c:pt idx="247">
                  <c:v>75.831607912322141</c:v>
                </c:pt>
                <c:pt idx="248">
                  <c:v>75.620978723031911</c:v>
                </c:pt>
                <c:pt idx="249">
                  <c:v>75.403001687344741</c:v>
                </c:pt>
                <c:pt idx="250">
                  <c:v>75.177579401589085</c:v>
                </c:pt>
                <c:pt idx="251">
                  <c:v>74.94461182114992</c:v>
                </c:pt>
                <c:pt idx="252">
                  <c:v>74.703996288903028</c:v>
                </c:pt>
                <c:pt idx="253">
                  <c:v>74.45562756755416</c:v>
                </c:pt>
                <c:pt idx="254">
                  <c:v>74.199397876164412</c:v>
                </c:pt>
                <c:pt idx="255">
                  <c:v>73.935196931153143</c:v>
                </c:pt>
                <c:pt idx="256">
                  <c:v>73.662911992085526</c:v>
                </c:pt>
                <c:pt idx="257">
                  <c:v>73.382427912559905</c:v>
                </c:pt>
                <c:pt idx="258">
                  <c:v>73.093627196525162</c:v>
                </c:pt>
                <c:pt idx="259">
                  <c:v>72.796390060363905</c:v>
                </c:pt>
                <c:pt idx="260">
                  <c:v>72.49059450109317</c:v>
                </c:pt>
                <c:pt idx="261">
                  <c:v>72.176116371039498</c:v>
                </c:pt>
                <c:pt idx="262">
                  <c:v>71.8528294593536</c:v>
                </c:pt>
                <c:pt idx="263">
                  <c:v>71.520605580737566</c:v>
                </c:pt>
                <c:pt idx="264">
                  <c:v>71.179314671762484</c:v>
                </c:pt>
                <c:pt idx="265">
                  <c:v>70.828824895158462</c:v>
                </c:pt>
                <c:pt idx="266">
                  <c:v>70.469002752457087</c:v>
                </c:pt>
                <c:pt idx="267">
                  <c:v>70.099713205371202</c:v>
                </c:pt>
                <c:pt idx="268">
                  <c:v>69.720819806287324</c:v>
                </c:pt>
                <c:pt idx="269">
                  <c:v>69.332184838244373</c:v>
                </c:pt>
                <c:pt idx="270">
                  <c:v>68.933669464759078</c:v>
                </c:pt>
                <c:pt idx="271">
                  <c:v>68.525133889847964</c:v>
                </c:pt>
                <c:pt idx="272">
                  <c:v>68.106437528575015</c:v>
                </c:pt>
                <c:pt idx="273">
                  <c:v>67.677439188435869</c:v>
                </c:pt>
                <c:pt idx="274">
                  <c:v>67.237997261859462</c:v>
                </c:pt>
                <c:pt idx="275">
                  <c:v>66.787969930076486</c:v>
                </c:pt>
                <c:pt idx="276">
                  <c:v>66.327215378569548</c:v>
                </c:pt>
                <c:pt idx="277">
                  <c:v>65.855592024268432</c:v>
                </c:pt>
                <c:pt idx="278">
                  <c:v>65.372958754614118</c:v>
                </c:pt>
                <c:pt idx="279">
                  <c:v>64.879175178545296</c:v>
                </c:pt>
                <c:pt idx="280">
                  <c:v>64.374101889407612</c:v>
                </c:pt>
                <c:pt idx="281">
                  <c:v>63.857600739706157</c:v>
                </c:pt>
                <c:pt idx="282">
                  <c:v>63.329535127543068</c:v>
                </c:pt>
                <c:pt idx="283">
                  <c:v>62.789770294496307</c:v>
                </c:pt>
                <c:pt idx="284">
                  <c:v>62.238173634594141</c:v>
                </c:pt>
                <c:pt idx="285">
                  <c:v>61.67461501393943</c:v>
                </c:pt>
                <c:pt idx="286">
                  <c:v>61.098967100420204</c:v>
                </c:pt>
                <c:pt idx="287">
                  <c:v>60.511105702823791</c:v>
                </c:pt>
                <c:pt idx="288">
                  <c:v>59.910910118542532</c:v>
                </c:pt>
                <c:pt idx="289">
                  <c:v>59.298263488919943</c:v>
                </c:pt>
                <c:pt idx="290">
                  <c:v>58.673053161143677</c:v>
                </c:pt>
                <c:pt idx="291">
                  <c:v>58.035171055446384</c:v>
                </c:pt>
                <c:pt idx="292">
                  <c:v>57.384514036212565</c:v>
                </c:pt>
                <c:pt idx="293">
                  <c:v>56.720984285438206</c:v>
                </c:pt>
                <c:pt idx="294">
                  <c:v>56.044489676832072</c:v>
                </c:pt>
                <c:pt idx="295">
                  <c:v>55.354944148677845</c:v>
                </c:pt>
                <c:pt idx="296">
                  <c:v>54.652268073428893</c:v>
                </c:pt>
                <c:pt idx="297">
                  <c:v>53.936388621846405</c:v>
                </c:pt>
                <c:pt idx="298">
                  <c:v>53.207240119340121</c:v>
                </c:pt>
                <c:pt idx="299">
                  <c:v>52.464764392047002</c:v>
                </c:pt>
                <c:pt idx="300">
                  <c:v>51.708911100033049</c:v>
                </c:pt>
                <c:pt idx="301">
                  <c:v>50.939638054913274</c:v>
                </c:pt>
                <c:pt idx="302">
                  <c:v>50.156911519077333</c:v>
                </c:pt>
                <c:pt idx="303">
                  <c:v>49.360706483641735</c:v>
                </c:pt>
                <c:pt idx="304">
                  <c:v>48.551006922200571</c:v>
                </c:pt>
                <c:pt idx="305">
                  <c:v>47.727806017429359</c:v>
                </c:pt>
                <c:pt idx="306">
                  <c:v>46.891106357605338</c:v>
                </c:pt>
                <c:pt idx="307">
                  <c:v>46.04092010016273</c:v>
                </c:pt>
                <c:pt idx="308">
                  <c:v>45.177269099474245</c:v>
                </c:pt>
                <c:pt idx="309">
                  <c:v>44.300184996185067</c:v>
                </c:pt>
                <c:pt idx="310">
                  <c:v>43.409709265583423</c:v>
                </c:pt>
                <c:pt idx="311">
                  <c:v>42.505893222708863</c:v>
                </c:pt>
                <c:pt idx="312">
                  <c:v>41.588797982141173</c:v>
                </c:pt>
                <c:pt idx="313">
                  <c:v>40.658494370719588</c:v>
                </c:pt>
                <c:pt idx="314">
                  <c:v>39.715062791780518</c:v>
                </c:pt>
                <c:pt idx="315">
                  <c:v>38.758593039876075</c:v>
                </c:pt>
                <c:pt idx="316">
                  <c:v>37.789184065366825</c:v>
                </c:pt>
                <c:pt idx="317">
                  <c:v>36.806943688732289</c:v>
                </c:pt>
                <c:pt idx="318">
                  <c:v>35.811988264935067</c:v>
                </c:pt>
                <c:pt idx="319">
                  <c:v>34.804442298687675</c:v>
                </c:pt>
                <c:pt idx="320">
                  <c:v>33.784438012004181</c:v>
                </c:pt>
                <c:pt idx="321">
                  <c:v>32.752114865974697</c:v>
                </c:pt>
                <c:pt idx="322">
                  <c:v>31.707619039246957</c:v>
                </c:pt>
                <c:pt idx="323">
                  <c:v>30.651102866258451</c:v>
                </c:pt>
                <c:pt idx="324">
                  <c:v>29.582724238799599</c:v>
                </c:pt>
                <c:pt idx="325">
                  <c:v>28.502645975022631</c:v>
                </c:pt>
                <c:pt idx="326">
                  <c:v>27.411035160493075</c:v>
                </c:pt>
                <c:pt idx="327">
                  <c:v>26.30806246634619</c:v>
                </c:pt>
                <c:pt idx="328">
                  <c:v>25.193901450041825</c:v>
                </c:pt>
                <c:pt idx="329">
                  <c:v>24.068727844535189</c:v>
                </c:pt>
                <c:pt idx="330">
                  <c:v>22.93271884204599</c:v>
                </c:pt>
                <c:pt idx="331">
                  <c:v>21.786052378787822</c:v>
                </c:pt>
                <c:pt idx="332">
                  <c:v>20.628906427237702</c:v>
                </c:pt>
                <c:pt idx="333">
                  <c:v>19.461458302602828</c:v>
                </c:pt>
                <c:pt idx="334">
                  <c:v>18.283883990172523</c:v>
                </c:pt>
                <c:pt idx="335">
                  <c:v>17.096357500186762</c:v>
                </c:pt>
                <c:pt idx="336">
                  <c:v>15.899050256742294</c:v>
                </c:pt>
                <c:pt idx="337">
                  <c:v>14.692130527021071</c:v>
                </c:pt>
                <c:pt idx="338">
                  <c:v>13.47576289689647</c:v>
                </c:pt>
                <c:pt idx="339">
                  <c:v>12.250107798598087</c:v>
                </c:pt>
                <c:pt idx="340">
                  <c:v>11.015321095731876</c:v>
                </c:pt>
                <c:pt idx="341">
                  <c:v>9.7715537304897904</c:v>
                </c:pt>
                <c:pt idx="342">
                  <c:v>8.5189514373727739</c:v>
                </c:pt>
                <c:pt idx="343">
                  <c:v>7.257654527210236</c:v>
                </c:pt>
                <c:pt idx="344">
                  <c:v>5.987797744662914</c:v>
                </c:pt>
                <c:pt idx="345">
                  <c:v>4.7095102017950934</c:v>
                </c:pt>
                <c:pt idx="346">
                  <c:v>3.4229153896634021</c:v>
                </c:pt>
                <c:pt idx="347">
                  <c:v>2.12813126924042</c:v>
                </c:pt>
                <c:pt idx="348">
                  <c:v>0.82527044231949664</c:v>
                </c:pt>
                <c:pt idx="349">
                  <c:v>-0.48555959757320666</c:v>
                </c:pt>
                <c:pt idx="350">
                  <c:v>-1.8042561348828765</c:v>
                </c:pt>
                <c:pt idx="351">
                  <c:v>-3.1307208236032622</c:v>
                </c:pt>
                <c:pt idx="352">
                  <c:v>-4.4648592025748179</c:v>
                </c:pt>
                <c:pt idx="353">
                  <c:v>-5.8065801369513919</c:v>
                </c:pt>
                <c:pt idx="354">
                  <c:v>-7.1557951888480265</c:v>
                </c:pt>
                <c:pt idx="355">
                  <c:v>-8.5124179206970947</c:v>
                </c:pt>
                <c:pt idx="356">
                  <c:v>-9.8763631353787957</c:v>
                </c:pt>
                <c:pt idx="357">
                  <c:v>-11.247546057642632</c:v>
                </c:pt>
                <c:pt idx="358">
                  <c:v>-12.625881461793739</c:v>
                </c:pt>
                <c:pt idx="359">
                  <c:v>-14.011282751038804</c:v>
                </c:pt>
                <c:pt idx="360">
                  <c:v>-15.403660994260177</c:v>
                </c:pt>
                <c:pt idx="361">
                  <c:v>-16.802923926345038</c:v>
                </c:pt>
                <c:pt idx="362">
                  <c:v>-18.208974918518891</c:v>
                </c:pt>
                <c:pt idx="363">
                  <c:v>-19.6217119254237</c:v>
                </c:pt>
                <c:pt idx="364">
                  <c:v>-21.041026415932194</c:v>
                </c:pt>
                <c:pt idx="365">
                  <c:v>-22.46680229492333</c:v>
                </c:pt>
                <c:pt idx="366">
                  <c:v>-23.898914823441348</c:v>
                </c:pt>
                <c:pt idx="367">
                  <c:v>-25.337229544798632</c:v>
                </c:pt>
                <c:pt idx="368">
                  <c:v>-26.781601224334377</c:v>
                </c:pt>
                <c:pt idx="369">
                  <c:v>-28.231872810603829</c:v>
                </c:pt>
                <c:pt idx="370">
                  <c:v>-29.687874425822013</c:v>
                </c:pt>
                <c:pt idx="371">
                  <c:v>-31.149422393399846</c:v>
                </c:pt>
                <c:pt idx="372">
                  <c:v>-32.616318310349783</c:v>
                </c:pt>
                <c:pt idx="373">
                  <c:v>-34.088348172253809</c:v>
                </c:pt>
                <c:pt idx="374">
                  <c:v>-35.565281558346058</c:v>
                </c:pt>
                <c:pt idx="375">
                  <c:v>-37.046870884049547</c:v>
                </c:pt>
                <c:pt idx="376">
                  <c:v>-38.532850728062691</c:v>
                </c:pt>
                <c:pt idx="377">
                  <c:v>-40.022937240762296</c:v>
                </c:pt>
                <c:pt idx="378">
                  <c:v>-41.516827640312108</c:v>
                </c:pt>
                <c:pt idx="379">
                  <c:v>-43.014199802419476</c:v>
                </c:pt>
                <c:pt idx="380">
                  <c:v>-44.514711949170952</c:v>
                </c:pt>
                <c:pt idx="381">
                  <c:v>-46.018002441800853</c:v>
                </c:pt>
                <c:pt idx="382">
                  <c:v>-47.523689681606037</c:v>
                </c:pt>
                <c:pt idx="383">
                  <c:v>-49.031372122522264</c:v>
                </c:pt>
                <c:pt idx="384">
                  <c:v>-50.54062839810716</c:v>
                </c:pt>
                <c:pt idx="385">
                  <c:v>-52.051017564872623</c:v>
                </c:pt>
                <c:pt idx="386">
                  <c:v>-53.562079463039225</c:v>
                </c:pt>
                <c:pt idx="387">
                  <c:v>-55.073335194895336</c:v>
                </c:pt>
                <c:pt idx="388">
                  <c:v>-56.584287719992503</c:v>
                </c:pt>
                <c:pt idx="389">
                  <c:v>-58.094422565476151</c:v>
                </c:pt>
                <c:pt idx="390">
                  <c:v>-59.603208648868289</c:v>
                </c:pt>
                <c:pt idx="391">
                  <c:v>-61.110099209666757</c:v>
                </c:pt>
                <c:pt idx="392">
                  <c:v>-62.614532845162316</c:v>
                </c:pt>
                <c:pt idx="393">
                  <c:v>-64.115934644960021</c:v>
                </c:pt>
                <c:pt idx="394">
                  <c:v>-65.61371741779412</c:v>
                </c:pt>
                <c:pt idx="395">
                  <c:v>-67.107283003398265</c:v>
                </c:pt>
                <c:pt idx="396">
                  <c:v>-68.596023661407671</c:v>
                </c:pt>
                <c:pt idx="397">
                  <c:v>-70.079323528590166</c:v>
                </c:pt>
                <c:pt idx="398">
                  <c:v>-71.556560135073084</c:v>
                </c:pt>
                <c:pt idx="399">
                  <c:v>-73.027105969730712</c:v>
                </c:pt>
                <c:pt idx="400">
                  <c:v>-74.490330084483858</c:v>
                </c:pt>
                <c:pt idx="401">
                  <c:v>-75.945599726958932</c:v>
                </c:pt>
                <c:pt idx="402">
                  <c:v>-77.392281990776752</c:v>
                </c:pt>
                <c:pt idx="403">
                  <c:v>-78.829745472670709</c:v>
                </c:pt>
                <c:pt idx="404">
                  <c:v>-80.257361925695605</c:v>
                </c:pt>
                <c:pt idx="405">
                  <c:v>-81.674507897954683</c:v>
                </c:pt>
                <c:pt idx="406">
                  <c:v>-83.080566346570464</c:v>
                </c:pt>
                <c:pt idx="407">
                  <c:v>-84.474928217018544</c:v>
                </c:pt>
                <c:pt idx="408">
                  <c:v>-85.856993978455719</c:v>
                </c:pt>
                <c:pt idx="409">
                  <c:v>-87.226175106267519</c:v>
                </c:pt>
                <c:pt idx="410">
                  <c:v>-88.581895503748939</c:v>
                </c:pt>
                <c:pt idx="411">
                  <c:v>-89.923592855593952</c:v>
                </c:pt>
                <c:pt idx="412">
                  <c:v>-91.250719906692254</c:v>
                </c:pt>
                <c:pt idx="413">
                  <c:v>-92.562745660596363</c:v>
                </c:pt>
                <c:pt idx="414">
                  <c:v>-93.859156492940997</c:v>
                </c:pt>
                <c:pt idx="415">
                  <c:v>-95.139457176017856</c:v>
                </c:pt>
                <c:pt idx="416">
                  <c:v>-96.403171811653763</c:v>
                </c:pt>
                <c:pt idx="417">
                  <c:v>-97.64984467047087</c:v>
                </c:pt>
                <c:pt idx="418">
                  <c:v>-98.87904093652962</c:v>
                </c:pt>
                <c:pt idx="419">
                  <c:v>-100.09034735724282</c:v>
                </c:pt>
                <c:pt idx="420">
                  <c:v>-101.28337279930862</c:v>
                </c:pt>
                <c:pt idx="421">
                  <c:v>-102.45774871220506</c:v>
                </c:pt>
                <c:pt idx="422">
                  <c:v>-103.61312950154128</c:v>
                </c:pt>
                <c:pt idx="423">
                  <c:v>-104.74919281525321</c:v>
                </c:pt>
                <c:pt idx="424">
                  <c:v>-105.86563974623316</c:v>
                </c:pt>
                <c:pt idx="425">
                  <c:v>-106.96219495554561</c:v>
                </c:pt>
                <c:pt idx="426">
                  <c:v>-108.0386067208411</c:v>
                </c:pt>
                <c:pt idx="427">
                  <c:v>-109.09464691497061</c:v>
                </c:pt>
                <c:pt idx="428">
                  <c:v>-110.13011092013032</c:v>
                </c:pt>
                <c:pt idx="429">
                  <c:v>-111.14481748310875</c:v>
                </c:pt>
                <c:pt idx="430">
                  <c:v>-112.13860851735174</c:v>
                </c:pt>
                <c:pt idx="431">
                  <c:v>-113.11134885769809</c:v>
                </c:pt>
                <c:pt idx="432">
                  <c:v>-114.06292597362402</c:v>
                </c:pt>
                <c:pt idx="433">
                  <c:v>-114.99324964683944</c:v>
                </c:pt>
                <c:pt idx="434">
                  <c:v>-115.90225161894722</c:v>
                </c:pt>
                <c:pt idx="435">
                  <c:v>-116.78988521475989</c:v>
                </c:pt>
                <c:pt idx="436">
                  <c:v>-117.65612494665363</c:v>
                </c:pt>
                <c:pt idx="437">
                  <c:v>-118.50096610509745</c:v>
                </c:pt>
                <c:pt idx="438">
                  <c:v>-119.32442434022332</c:v>
                </c:pt>
                <c:pt idx="439">
                  <c:v>-120.12653523897812</c:v>
                </c:pt>
                <c:pt idx="440">
                  <c:v>-120.90735390205977</c:v>
                </c:pt>
                <c:pt idx="441">
                  <c:v>-121.66695452447009</c:v>
                </c:pt>
                <c:pt idx="442">
                  <c:v>-122.40542998312323</c:v>
                </c:pt>
                <c:pt idx="443">
                  <c:v>-123.1228914345495</c:v>
                </c:pt>
                <c:pt idx="444">
                  <c:v>-123.81946792531177</c:v>
                </c:pt>
                <c:pt idx="445">
                  <c:v>-124.49530601733044</c:v>
                </c:pt>
                <c:pt idx="446">
                  <c:v>-125.15056942987317</c:v>
                </c:pt>
                <c:pt idx="447">
                  <c:v>-125.78543869954183</c:v>
                </c:pt>
                <c:pt idx="448">
                  <c:v>-126.40011085915036</c:v>
                </c:pt>
                <c:pt idx="449">
                  <c:v>-126.99479913595195</c:v>
                </c:pt>
                <c:pt idx="450">
                  <c:v>-127.56973266926487</c:v>
                </c:pt>
                <c:pt idx="451">
                  <c:v>-128.12515624710846</c:v>
                </c:pt>
                <c:pt idx="452">
                  <c:v>-128.66133006107347</c:v>
                </c:pt>
                <c:pt idx="453">
                  <c:v>-129.17852947824574</c:v>
                </c:pt>
                <c:pt idx="454">
                  <c:v>-129.67704482862266</c:v>
                </c:pt>
                <c:pt idx="455">
                  <c:v>-130.15718120610615</c:v>
                </c:pt>
                <c:pt idx="456">
                  <c:v>-130.61925828080575</c:v>
                </c:pt>
                <c:pt idx="457">
                  <c:v>-131.0636101200665</c:v>
                </c:pt>
                <c:pt idx="458">
                  <c:v>-131.49058501533443</c:v>
                </c:pt>
                <c:pt idx="459">
                  <c:v>-131.90054531170858</c:v>
                </c:pt>
                <c:pt idx="460">
                  <c:v>-132.29386723677845</c:v>
                </c:pt>
                <c:pt idx="461">
                  <c:v>-132.6709407251372</c:v>
                </c:pt>
                <c:pt idx="462">
                  <c:v>-133.03216923479167</c:v>
                </c:pt>
                <c:pt idx="463">
                  <c:v>-133.37796955154028</c:v>
                </c:pt>
                <c:pt idx="464">
                  <c:v>-133.70877157730382</c:v>
                </c:pt>
                <c:pt idx="465">
                  <c:v>-134.02501809832935</c:v>
                </c:pt>
                <c:pt idx="466">
                  <c:v>-134.32716452918683</c:v>
                </c:pt>
                <c:pt idx="467">
                  <c:v>-134.61567862850009</c:v>
                </c:pt>
                <c:pt idx="468">
                  <c:v>-134.89104018245936</c:v>
                </c:pt>
                <c:pt idx="469">
                  <c:v>-135.15374065228346</c:v>
                </c:pt>
                <c:pt idx="470">
                  <c:v>-135.40428278199622</c:v>
                </c:pt>
                <c:pt idx="471">
                  <c:v>-135.64318016311489</c:v>
                </c:pt>
                <c:pt idx="472">
                  <c:v>-135.87095675315058</c:v>
                </c:pt>
                <c:pt idx="473">
                  <c:v>-136.08814634514636</c:v>
                </c:pt>
                <c:pt idx="474">
                  <c:v>-136.29529198588403</c:v>
                </c:pt>
                <c:pt idx="475">
                  <c:v>-136.49294534081127</c:v>
                </c:pt>
                <c:pt idx="476">
                  <c:v>-136.68166600422879</c:v>
                </c:pt>
                <c:pt idx="477">
                  <c:v>-136.86202075378654</c:v>
                </c:pt>
                <c:pt idx="478">
                  <c:v>-137.0345827488797</c:v>
                </c:pt>
                <c:pt idx="479">
                  <c:v>-137.19993067311827</c:v>
                </c:pt>
                <c:pt idx="480">
                  <c:v>-137.35864782162528</c:v>
                </c:pt>
                <c:pt idx="481">
                  <c:v>-137.51132113452809</c:v>
                </c:pt>
                <c:pt idx="482">
                  <c:v>-137.65854017861167</c:v>
                </c:pt>
                <c:pt idx="483">
                  <c:v>-137.8008960797091</c:v>
                </c:pt>
                <c:pt idx="484">
                  <c:v>-137.9389804089935</c:v>
                </c:pt>
                <c:pt idx="485">
                  <c:v>-138.07338402690584</c:v>
                </c:pt>
                <c:pt idx="486">
                  <c:v>-138.204695888998</c:v>
                </c:pt>
                <c:pt idx="487">
                  <c:v>-138.33350181847553</c:v>
                </c:pt>
                <c:pt idx="488">
                  <c:v>-138.46038325068113</c:v>
                </c:pt>
                <c:pt idx="489">
                  <c:v>-138.58591595518843</c:v>
                </c:pt>
                <c:pt idx="490">
                  <c:v>-138.71066874151128</c:v>
                </c:pt>
                <c:pt idx="491">
                  <c:v>-138.83520215475903</c:v>
                </c:pt>
                <c:pt idx="492">
                  <c:v>-138.96006716777677</c:v>
                </c:pt>
                <c:pt idx="493">
                  <c:v>-139.08580387650943</c:v>
                </c:pt>
                <c:pt idx="494">
                  <c:v>-139.21294020541032</c:v>
                </c:pt>
                <c:pt idx="495">
                  <c:v>-139.34199062977328</c:v>
                </c:pt>
                <c:pt idx="496">
                  <c:v>-139.47345492183547</c:v>
                </c:pt>
                <c:pt idx="497">
                  <c:v>-139.60781692741472</c:v>
                </c:pt>
                <c:pt idx="498">
                  <c:v>-139.74554337971111</c:v>
                </c:pt>
                <c:pt idx="499">
                  <c:v>-139.8870827566937</c:v>
                </c:pt>
                <c:pt idx="500">
                  <c:v>-140.03286418825877</c:v>
                </c:pt>
                <c:pt idx="501">
                  <c:v>-140.18329641905703</c:v>
                </c:pt>
                <c:pt idx="502">
                  <c:v>-140.33876683255153</c:v>
                </c:pt>
                <c:pt idx="503">
                  <c:v>-140.49964054152045</c:v>
                </c:pt>
                <c:pt idx="504">
                  <c:v>-140.66625954982783</c:v>
                </c:pt>
                <c:pt idx="505">
                  <c:v>-140.83894198986542</c:v>
                </c:pt>
                <c:pt idx="506">
                  <c:v>-141.01798143967034</c:v>
                </c:pt>
                <c:pt idx="507">
                  <c:v>-141.20364632324967</c:v>
                </c:pt>
                <c:pt idx="508">
                  <c:v>-141.39617939722822</c:v>
                </c:pt>
                <c:pt idx="509">
                  <c:v>-141.59579732645003</c:v>
                </c:pt>
                <c:pt idx="510">
                  <c:v>-141.80269035073476</c:v>
                </c:pt>
                <c:pt idx="511">
                  <c:v>-142.01702204450842</c:v>
                </c:pt>
                <c:pt idx="512">
                  <c:v>-142.2389291705712</c:v>
                </c:pt>
                <c:pt idx="513">
                  <c:v>-142.46852162881413</c:v>
                </c:pt>
                <c:pt idx="514">
                  <c:v>-142.705882500211</c:v>
                </c:pt>
                <c:pt idx="515">
                  <c:v>-142.95106818597637</c:v>
                </c:pt>
                <c:pt idx="516">
                  <c:v>-143.20410864129317</c:v>
                </c:pt>
                <c:pt idx="517">
                  <c:v>-143.4650077025652</c:v>
                </c:pt>
                <c:pt idx="518">
                  <c:v>-143.73374350667987</c:v>
                </c:pt>
                <c:pt idx="519">
                  <c:v>-144.01026900029768</c:v>
                </c:pt>
                <c:pt idx="520">
                  <c:v>-144.29451253673233</c:v>
                </c:pt>
                <c:pt idx="521">
                  <c:v>-144.58637855750985</c:v>
                </c:pt>
                <c:pt idx="522">
                  <c:v>-144.88574835524474</c:v>
                </c:pt>
                <c:pt idx="523">
                  <c:v>-145.19248091401496</c:v>
                </c:pt>
                <c:pt idx="524">
                  <c:v>-145.50641382297357</c:v>
                </c:pt>
                <c:pt idx="525">
                  <c:v>-145.8273642585032</c:v>
                </c:pt>
                <c:pt idx="526">
                  <c:v>-146.15513002981021</c:v>
                </c:pt>
                <c:pt idx="527">
                  <c:v>-146.48949068245483</c:v>
                </c:pt>
                <c:pt idx="528">
                  <c:v>-146.83020865395594</c:v>
                </c:pt>
                <c:pt idx="529">
                  <c:v>-147.1770304752809</c:v>
                </c:pt>
                <c:pt idx="530">
                  <c:v>-147.52968801172148</c:v>
                </c:pt>
                <c:pt idx="531">
                  <c:v>-147.88789973642787</c:v>
                </c:pt>
                <c:pt idx="532">
                  <c:v>-148.25137202965576</c:v>
                </c:pt>
                <c:pt idx="533">
                  <c:v>-148.61980049664635</c:v>
                </c:pt>
                <c:pt idx="534">
                  <c:v>-148.99287129695935</c:v>
                </c:pt>
                <c:pt idx="535">
                  <c:v>-149.37026247805846</c:v>
                </c:pt>
                <c:pt idx="536">
                  <c:v>-149.75164530598485</c:v>
                </c:pt>
                <c:pt idx="537">
                  <c:v>-150.13668558604402</c:v>
                </c:pt>
                <c:pt idx="538">
                  <c:v>-150.5250449666099</c:v>
                </c:pt>
                <c:pt idx="539">
                  <c:v>-150.91638221936893</c:v>
                </c:pt>
                <c:pt idx="540">
                  <c:v>-151.31035448961634</c:v>
                </c:pt>
                <c:pt idx="541">
                  <c:v>-151.70661851057287</c:v>
                </c:pt>
              </c:numCache>
            </c:numRef>
          </c:yVal>
          <c:smooth val="1"/>
          <c:extLst>
            <c:ext xmlns:c16="http://schemas.microsoft.com/office/drawing/2014/chart" uri="{C3380CC4-5D6E-409C-BE32-E72D297353CC}">
              <c16:uniqueId val="{00000001-83C7-483B-9FAA-73F41D4B5EAC}"/>
            </c:ext>
          </c:extLst>
        </c:ser>
        <c:dLbls>
          <c:showLegendKey val="0"/>
          <c:showVal val="0"/>
          <c:showCatName val="0"/>
          <c:showSerName val="0"/>
          <c:showPercent val="0"/>
          <c:showBubbleSize val="0"/>
        </c:dLbls>
        <c:axId val="384296832"/>
        <c:axId val="384295296"/>
      </c:scatterChart>
      <c:valAx>
        <c:axId val="377549184"/>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377551104"/>
        <c:crosses val="autoZero"/>
        <c:crossBetween val="midCat"/>
      </c:valAx>
      <c:valAx>
        <c:axId val="377551104"/>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fr-FR"/>
          </a:p>
        </c:txPr>
        <c:crossAx val="377549184"/>
        <c:crosses val="autoZero"/>
        <c:crossBetween val="midCat"/>
        <c:majorUnit val="20"/>
        <c:minorUnit val="10"/>
      </c:valAx>
      <c:valAx>
        <c:axId val="384295296"/>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fr-FR"/>
          </a:p>
        </c:txPr>
        <c:crossAx val="384296832"/>
        <c:crosses val="max"/>
        <c:crossBetween val="midCat"/>
        <c:majorUnit val="90"/>
        <c:minorUnit val="45"/>
      </c:valAx>
      <c:valAx>
        <c:axId val="384296832"/>
        <c:scaling>
          <c:logBase val="10"/>
          <c:orientation val="minMax"/>
        </c:scaling>
        <c:delete val="1"/>
        <c:axPos val="b"/>
        <c:numFmt formatCode="0.00" sourceLinked="1"/>
        <c:majorTickMark val="out"/>
        <c:minorTickMark val="none"/>
        <c:tickLblPos val="nextTo"/>
        <c:crossAx val="384295296"/>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Eff_vs_IOUT!$BZ$7:$BZ$157</c:f>
              <c:numCache>
                <c:formatCode>General</c:formatCode>
                <c:ptCount val="151"/>
                <c:pt idx="0">
                  <c:v>0</c:v>
                </c:pt>
                <c:pt idx="1">
                  <c:v>10.899254978714383</c:v>
                </c:pt>
                <c:pt idx="2">
                  <c:v>19.441150108439537</c:v>
                </c:pt>
                <c:pt idx="3">
                  <c:v>26.353383851720828</c:v>
                </c:pt>
                <c:pt idx="4">
                  <c:v>32.072755098680396</c:v>
                </c:pt>
                <c:pt idx="5">
                  <c:v>36.888877277750787</c:v>
                </c:pt>
                <c:pt idx="6">
                  <c:v>41.003140217307433</c:v>
                </c:pt>
                <c:pt idx="7">
                  <c:v>44.560492826501367</c:v>
                </c:pt>
                <c:pt idx="8">
                  <c:v>47.668153183287401</c:v>
                </c:pt>
                <c:pt idx="9">
                  <c:v>50.40724619300213</c:v>
                </c:pt>
                <c:pt idx="10">
                  <c:v>52.840344763069361</c:v>
                </c:pt>
                <c:pt idx="11">
                  <c:v>55.016519707648904</c:v>
                </c:pt>
                <c:pt idx="12">
                  <c:v>56.974815497025318</c:v>
                </c:pt>
                <c:pt idx="13">
                  <c:v>58.746699436603002</c:v>
                </c:pt>
                <c:pt idx="14">
                  <c:v>60.357823156448845</c:v>
                </c:pt>
                <c:pt idx="15">
                  <c:v>61.829312568280024</c:v>
                </c:pt>
                <c:pt idx="16">
                  <c:v>63.178727810125388</c:v>
                </c:pt>
                <c:pt idx="17">
                  <c:v>64.420787977469487</c:v>
                </c:pt>
                <c:pt idx="18">
                  <c:v>65.532474639671605</c:v>
                </c:pt>
                <c:pt idx="19">
                  <c:v>66.546739035199934</c:v>
                </c:pt>
                <c:pt idx="20">
                  <c:v>67.486630042115436</c:v>
                </c:pt>
                <c:pt idx="21">
                  <c:v>68.360015013227553</c:v>
                </c:pt>
                <c:pt idx="22">
                  <c:v>69.173689467421923</c:v>
                </c:pt>
                <c:pt idx="23">
                  <c:v>69.9335536084062</c:v>
                </c:pt>
                <c:pt idx="24">
                  <c:v>70.644755071105834</c:v>
                </c:pt>
                <c:pt idx="25">
                  <c:v>71.311805201146811</c:v>
                </c:pt>
                <c:pt idx="26">
                  <c:v>71.938674420977179</c:v>
                </c:pt>
                <c:pt idx="27">
                  <c:v>72.528870943164847</c:v>
                </c:pt>
                <c:pt idx="28">
                  <c:v>73.08550612749616</c:v>
                </c:pt>
                <c:pt idx="29">
                  <c:v>73.611349053176212</c:v>
                </c:pt>
                <c:pt idx="30">
                  <c:v>74.108872326837627</c:v>
                </c:pt>
                <c:pt idx="31">
                  <c:v>74.580290725648467</c:v>
                </c:pt>
                <c:pt idx="32">
                  <c:v>75.027593949753765</c:v>
                </c:pt>
                <c:pt idx="33">
                  <c:v>75.452574505713528</c:v>
                </c:pt>
                <c:pt idx="34">
                  <c:v>75.85685154498816</c:v>
                </c:pt>
                <c:pt idx="35">
                  <c:v>76.241891325895111</c:v>
                </c:pt>
                <c:pt idx="36">
                  <c:v>76.609024844136485</c:v>
                </c:pt>
                <c:pt idx="37">
                  <c:v>76.959463078692764</c:v>
                </c:pt>
                <c:pt idx="38">
                  <c:v>77.2943102210794</c:v>
                </c:pt>
                <c:pt idx="39">
                  <c:v>77.614575192460194</c:v>
                </c:pt>
                <c:pt idx="40">
                  <c:v>77.921181701677568</c:v>
                </c:pt>
                <c:pt idx="41">
                  <c:v>78.214977055396943</c:v>
                </c:pt>
                <c:pt idx="42">
                  <c:v>78.496739897333597</c:v>
                </c:pt>
                <c:pt idx="43">
                  <c:v>78.7671870254174</c:v>
                </c:pt>
                <c:pt idx="44">
                  <c:v>79.02697941256497</c:v>
                </c:pt>
                <c:pt idx="45">
                  <c:v>79.27672753752843</c:v>
                </c:pt>
                <c:pt idx="46">
                  <c:v>79.516996116327292</c:v>
                </c:pt>
                <c:pt idx="47">
                  <c:v>79.748308311450344</c:v>
                </c:pt>
                <c:pt idx="48">
                  <c:v>79.971149484860931</c:v>
                </c:pt>
                <c:pt idx="49">
                  <c:v>80.185970551465289</c:v>
                </c:pt>
                <c:pt idx="50">
                  <c:v>80.393190981801823</c:v>
                </c:pt>
                <c:pt idx="51">
                  <c:v>80.593201496025273</c:v>
                </c:pt>
                <c:pt idx="52">
                  <c:v>80.786366485589468</c:v>
                </c:pt>
                <c:pt idx="53">
                  <c:v>80.973026194207549</c:v>
                </c:pt>
                <c:pt idx="54">
                  <c:v>81.153498685551213</c:v>
                </c:pt>
                <c:pt idx="55">
                  <c:v>81.328081621627859</c:v>
                </c:pt>
                <c:pt idx="56">
                  <c:v>81.497053872751778</c:v>
                </c:pt>
                <c:pt idx="57">
                  <c:v>81.66067697742541</c:v>
                </c:pt>
                <c:pt idx="58">
                  <c:v>81.819196468205462</c:v>
                </c:pt>
                <c:pt idx="59">
                  <c:v>81.972843077690158</c:v>
                </c:pt>
                <c:pt idx="60">
                  <c:v>82.121833837085418</c:v>
                </c:pt>
                <c:pt idx="61">
                  <c:v>82.266373078349559</c:v>
                </c:pt>
                <c:pt idx="62">
                  <c:v>82.406653349647996</c:v>
                </c:pt>
                <c:pt idx="63">
                  <c:v>82.542856252741814</c:v>
                </c:pt>
                <c:pt idx="64">
                  <c:v>82.675153209968869</c:v>
                </c:pt>
                <c:pt idx="65">
                  <c:v>82.803706167627851</c:v>
                </c:pt>
                <c:pt idx="66">
                  <c:v>82.928668241834032</c:v>
                </c:pt>
                <c:pt idx="67">
                  <c:v>83.050184312261919</c:v>
                </c:pt>
                <c:pt idx="68">
                  <c:v>83.168391568615974</c:v>
                </c:pt>
                <c:pt idx="69">
                  <c:v>83.283420014162047</c:v>
                </c:pt>
                <c:pt idx="70">
                  <c:v>83.39539293020573</c:v>
                </c:pt>
                <c:pt idx="71">
                  <c:v>83.504427305005677</c:v>
                </c:pt>
                <c:pt idx="72">
                  <c:v>83.610634230259322</c:v>
                </c:pt>
                <c:pt idx="73">
                  <c:v>83.714119267985282</c:v>
                </c:pt>
                <c:pt idx="74">
                  <c:v>83.814982790349873</c:v>
                </c:pt>
                <c:pt idx="75">
                  <c:v>83.913320294736977</c:v>
                </c:pt>
                <c:pt idx="76">
                  <c:v>84.009222696140128</c:v>
                </c:pt>
                <c:pt idx="77">
                  <c:v>84.102776598758823</c:v>
                </c:pt>
                <c:pt idx="78">
                  <c:v>84.194064548504215</c:v>
                </c:pt>
                <c:pt idx="79">
                  <c:v>84.283165267961508</c:v>
                </c:pt>
                <c:pt idx="80">
                  <c:v>84.370153875215081</c:v>
                </c:pt>
                <c:pt idx="81">
                  <c:v>84.455102087814453</c:v>
                </c:pt>
                <c:pt idx="82">
                  <c:v>84.538078413045127</c:v>
                </c:pt>
                <c:pt idx="83">
                  <c:v>84.619148325565504</c:v>
                </c:pt>
                <c:pt idx="84">
                  <c:v>84.698374433377381</c:v>
                </c:pt>
                <c:pt idx="85">
                  <c:v>84.775816633014813</c:v>
                </c:pt>
                <c:pt idx="86">
                  <c:v>84.851532254759121</c:v>
                </c:pt>
                <c:pt idx="87">
                  <c:v>84.925576198620618</c:v>
                </c:pt>
                <c:pt idx="88">
                  <c:v>84.998001061764143</c:v>
                </c:pt>
                <c:pt idx="89">
                  <c:v>85.068857258000392</c:v>
                </c:pt>
                <c:pt idx="90">
                  <c:v>85.138193129913518</c:v>
                </c:pt>
                <c:pt idx="91">
                  <c:v>85.206055054148749</c:v>
                </c:pt>
                <c:pt idx="92">
                  <c:v>85.272487540342112</c:v>
                </c:pt>
                <c:pt idx="93">
                  <c:v>85.337533324135805</c:v>
                </c:pt>
                <c:pt idx="94">
                  <c:v>85.401233454687357</c:v>
                </c:pt>
                <c:pt idx="95">
                  <c:v>85.463627377049562</c:v>
                </c:pt>
                <c:pt idx="96">
                  <c:v>85.524753009767977</c:v>
                </c:pt>
                <c:pt idx="97">
                  <c:v>85.58464681801749</c:v>
                </c:pt>
                <c:pt idx="98">
                  <c:v>85.643343882573561</c:v>
                </c:pt>
                <c:pt idx="99">
                  <c:v>85.700877964893024</c:v>
                </c:pt>
                <c:pt idx="100">
                  <c:v>85.757281568557403</c:v>
                </c:pt>
                <c:pt idx="101">
                  <c:v>85.812585997314301</c:v>
                </c:pt>
                <c:pt idx="102">
                  <c:v>85.866821409934374</c:v>
                </c:pt>
                <c:pt idx="103">
                  <c:v>85.92001687208564</c:v>
                </c:pt>
                <c:pt idx="104">
                  <c:v>85.972200405413162</c:v>
                </c:pt>
                <c:pt idx="105">
                  <c:v>86.023399033997634</c:v>
                </c:pt>
                <c:pt idx="106">
                  <c:v>86.073638828355172</c:v>
                </c:pt>
                <c:pt idx="107">
                  <c:v>86.122944947128474</c:v>
                </c:pt>
                <c:pt idx="108">
                  <c:v>86.171341676609671</c:v>
                </c:pt>
                <c:pt idx="109">
                  <c:v>86.218852468225265</c:v>
                </c:pt>
                <c:pt idx="110">
                  <c:v>86.265499974104443</c:v>
                </c:pt>
                <c:pt idx="111">
                  <c:v>86.311306080844687</c:v>
                </c:pt>
                <c:pt idx="112">
                  <c:v>86.356291941579713</c:v>
                </c:pt>
                <c:pt idx="113">
                  <c:v>86.400478006449106</c:v>
                </c:pt>
                <c:pt idx="114">
                  <c:v>86.443884051561241</c:v>
                </c:pt>
                <c:pt idx="115">
                  <c:v>86.486529206536318</c:v>
                </c:pt>
                <c:pt idx="116">
                  <c:v>86.528431980709541</c:v>
                </c:pt>
                <c:pt idx="117">
                  <c:v>86.569610288070081</c:v>
                </c:pt>
                <c:pt idx="118">
                  <c:v>86.610081471006609</c:v>
                </c:pt>
                <c:pt idx="119">
                  <c:v>86.649862322925003</c:v>
                </c:pt>
                <c:pt idx="120">
                  <c:v>86.688969109800794</c:v>
                </c:pt>
                <c:pt idx="121">
                  <c:v>86.727417590724102</c:v>
                </c:pt>
                <c:pt idx="122">
                  <c:v>86.765223037491523</c:v>
                </c:pt>
                <c:pt idx="123">
                  <c:v>86.802400253296511</c:v>
                </c:pt>
                <c:pt idx="124">
                  <c:v>86.838963590565783</c:v>
                </c:pt>
                <c:pt idx="125">
                  <c:v>86.874926967987463</c:v>
                </c:pt>
                <c:pt idx="126">
                  <c:v>86.910303886772951</c:v>
                </c:pt>
                <c:pt idx="127">
                  <c:v>86.945107446192566</c:v>
                </c:pt>
                <c:pt idx="128">
                  <c:v>86.979350358422678</c:v>
                </c:pt>
                <c:pt idx="129">
                  <c:v>87.013044962739556</c:v>
                </c:pt>
                <c:pt idx="130">
                  <c:v>87.046203239093046</c:v>
                </c:pt>
                <c:pt idx="131">
                  <c:v>87.07883682109177</c:v>
                </c:pt>
                <c:pt idx="132">
                  <c:v>87.11095700842931</c:v>
                </c:pt>
                <c:pt idx="133">
                  <c:v>87.142574778778993</c:v>
                </c:pt>
                <c:pt idx="134">
                  <c:v>87.17370079918409</c:v>
                </c:pt>
                <c:pt idx="135">
                  <c:v>87.204345436967657</c:v>
                </c:pt>
                <c:pt idx="136">
                  <c:v>87.234518770186057</c:v>
                </c:pt>
                <c:pt idx="137">
                  <c:v>87.264230597647796</c:v>
                </c:pt>
                <c:pt idx="138">
                  <c:v>87.293490448518895</c:v>
                </c:pt>
                <c:pt idx="139">
                  <c:v>87.322307591534482</c:v>
                </c:pt>
                <c:pt idx="140">
                  <c:v>87.350691043835397</c:v>
                </c:pt>
                <c:pt idx="141">
                  <c:v>87.378649579447213</c:v>
                </c:pt>
                <c:pt idx="142">
                  <c:v>87.406191737418936</c:v>
                </c:pt>
                <c:pt idx="143">
                  <c:v>87.433325829636701</c:v>
                </c:pt>
                <c:pt idx="144">
                  <c:v>87.460059948327824</c:v>
                </c:pt>
                <c:pt idx="145">
                  <c:v>87.486401973269324</c:v>
                </c:pt>
                <c:pt idx="146">
                  <c:v>87.512359578714481</c:v>
                </c:pt>
                <c:pt idx="147">
                  <c:v>87.537940240050048</c:v>
                </c:pt>
                <c:pt idx="148">
                  <c:v>87.563151240196461</c:v>
                </c:pt>
                <c:pt idx="149">
                  <c:v>87.587999675762362</c:v>
                </c:pt>
                <c:pt idx="150">
                  <c:v>87.612492462964596</c:v>
                </c:pt>
              </c:numCache>
            </c:numRef>
          </c:yVal>
          <c:smooth val="0"/>
          <c:extLst>
            <c:ext xmlns:c16="http://schemas.microsoft.com/office/drawing/2014/chart" uri="{C3380CC4-5D6E-409C-BE32-E72D297353CC}">
              <c16:uniqueId val="{00000000-9977-4FA8-9358-1BE425CE3F05}"/>
            </c:ext>
          </c:extLst>
        </c:ser>
        <c:dLbls>
          <c:showLegendKey val="0"/>
          <c:showVal val="0"/>
          <c:showCatName val="0"/>
          <c:showSerName val="0"/>
          <c:showPercent val="0"/>
          <c:showBubbleSize val="0"/>
        </c:dLbls>
        <c:axId val="583325184"/>
        <c:axId val="583326720"/>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Eff_vs_IOUT!$AJ$7:$AJ$157</c:f>
              <c:numCache>
                <c:formatCode>General</c:formatCode>
                <c:ptCount val="151"/>
                <c:pt idx="0">
                  <c:v>0</c:v>
                </c:pt>
                <c:pt idx="1">
                  <c:v>9.0474538071438404E-2</c:v>
                </c:pt>
                <c:pt idx="2">
                  <c:v>0.12795031879006907</c:v>
                </c:pt>
                <c:pt idx="3">
                  <c:v>0.15670649673105599</c:v>
                </c:pt>
                <c:pt idx="4">
                  <c:v>0.18094907614287681</c:v>
                </c:pt>
                <c:pt idx="5">
                  <c:v>0.20230721736062895</c:v>
                </c:pt>
                <c:pt idx="6">
                  <c:v>0.22161645298903454</c:v>
                </c:pt>
                <c:pt idx="7">
                  <c:v>0.23937312772047134</c:v>
                </c:pt>
                <c:pt idx="8">
                  <c:v>0.25590063758013815</c:v>
                </c:pt>
                <c:pt idx="9">
                  <c:v>0.27142361421431516</c:v>
                </c:pt>
                <c:pt idx="10">
                  <c:v>0.28610561055736311</c:v>
                </c:pt>
                <c:pt idx="11">
                  <c:v>0.30007009586368605</c:v>
                </c:pt>
                <c:pt idx="12">
                  <c:v>0.31341299346211199</c:v>
                </c:pt>
                <c:pt idx="13">
                  <c:v>0.32621058614048987</c:v>
                </c:pt>
                <c:pt idx="14">
                  <c:v>0.33852472368995773</c:v>
                </c:pt>
                <c:pt idx="15">
                  <c:v>0.35040637920648987</c:v>
                </c:pt>
                <c:pt idx="16">
                  <c:v>0.36189815228575362</c:v>
                </c:pt>
                <c:pt idx="17">
                  <c:v>0.37303607689750684</c:v>
                </c:pt>
                <c:pt idx="18">
                  <c:v>0.39176624182763992</c:v>
                </c:pt>
                <c:pt idx="19">
                  <c:v>0.4135310330402866</c:v>
                </c:pt>
                <c:pt idx="20">
                  <c:v>0.43529582425293323</c:v>
                </c:pt>
                <c:pt idx="21">
                  <c:v>0.45706061546557991</c:v>
                </c:pt>
                <c:pt idx="22">
                  <c:v>0.47882540667822654</c:v>
                </c:pt>
                <c:pt idx="23">
                  <c:v>0.50059019789087322</c:v>
                </c:pt>
                <c:pt idx="24">
                  <c:v>0.52235498910351996</c:v>
                </c:pt>
                <c:pt idx="25">
                  <c:v>0.5441197803161667</c:v>
                </c:pt>
                <c:pt idx="26">
                  <c:v>0.56588457152881322</c:v>
                </c:pt>
                <c:pt idx="27">
                  <c:v>0.58764936274145996</c:v>
                </c:pt>
                <c:pt idx="28">
                  <c:v>0.60941415395410659</c:v>
                </c:pt>
                <c:pt idx="29">
                  <c:v>0.63117894516675332</c:v>
                </c:pt>
                <c:pt idx="30">
                  <c:v>0.65294373637939995</c:v>
                </c:pt>
                <c:pt idx="31">
                  <c:v>0.67470852759204647</c:v>
                </c:pt>
                <c:pt idx="32">
                  <c:v>0.69647331880469332</c:v>
                </c:pt>
                <c:pt idx="33">
                  <c:v>0.71823811001733995</c:v>
                </c:pt>
                <c:pt idx="34">
                  <c:v>0.74000290122998647</c:v>
                </c:pt>
                <c:pt idx="35">
                  <c:v>0.76176769244263332</c:v>
                </c:pt>
                <c:pt idx="36">
                  <c:v>0.78353248365527983</c:v>
                </c:pt>
                <c:pt idx="37">
                  <c:v>0.80529727486792657</c:v>
                </c:pt>
                <c:pt idx="38">
                  <c:v>0.8270620660805732</c:v>
                </c:pt>
                <c:pt idx="39">
                  <c:v>0.84882685729321994</c:v>
                </c:pt>
                <c:pt idx="40">
                  <c:v>0.87059164850586646</c:v>
                </c:pt>
                <c:pt idx="41">
                  <c:v>0.89235643971851342</c:v>
                </c:pt>
                <c:pt idx="42">
                  <c:v>0.91412123093115982</c:v>
                </c:pt>
                <c:pt idx="43">
                  <c:v>0.93588602214380656</c:v>
                </c:pt>
                <c:pt idx="44">
                  <c:v>0.95765081335645308</c:v>
                </c:pt>
                <c:pt idx="45">
                  <c:v>0.97941560456909993</c:v>
                </c:pt>
                <c:pt idx="46">
                  <c:v>1.0011803957817464</c:v>
                </c:pt>
                <c:pt idx="47">
                  <c:v>1.0229451869943933</c:v>
                </c:pt>
                <c:pt idx="48">
                  <c:v>1.0447099782070399</c:v>
                </c:pt>
                <c:pt idx="49">
                  <c:v>1.0664747694196866</c:v>
                </c:pt>
                <c:pt idx="50">
                  <c:v>1.0882395606323334</c:v>
                </c:pt>
                <c:pt idx="51">
                  <c:v>1.1100043518449798</c:v>
                </c:pt>
                <c:pt idx="52">
                  <c:v>1.1317691430576264</c:v>
                </c:pt>
                <c:pt idx="53">
                  <c:v>1.1535339342702731</c:v>
                </c:pt>
                <c:pt idx="54">
                  <c:v>1.1752987254829199</c:v>
                </c:pt>
                <c:pt idx="55">
                  <c:v>1.1970635166955663</c:v>
                </c:pt>
                <c:pt idx="56">
                  <c:v>1.2188283079082132</c:v>
                </c:pt>
                <c:pt idx="57">
                  <c:v>1.2405930991208598</c:v>
                </c:pt>
                <c:pt idx="58">
                  <c:v>1.2623578903335066</c:v>
                </c:pt>
                <c:pt idx="59">
                  <c:v>1.2841226815461531</c:v>
                </c:pt>
                <c:pt idx="60">
                  <c:v>1.3058874727587999</c:v>
                </c:pt>
                <c:pt idx="61">
                  <c:v>1.3276522639714468</c:v>
                </c:pt>
                <c:pt idx="62">
                  <c:v>1.3494170551840929</c:v>
                </c:pt>
                <c:pt idx="63">
                  <c:v>1.3711818463967398</c:v>
                </c:pt>
                <c:pt idx="64">
                  <c:v>1.3929466376093866</c:v>
                </c:pt>
                <c:pt idx="65">
                  <c:v>1.4147114288220328</c:v>
                </c:pt>
                <c:pt idx="66">
                  <c:v>1.4364762200346799</c:v>
                </c:pt>
                <c:pt idx="67">
                  <c:v>1.4582410112473267</c:v>
                </c:pt>
                <c:pt idx="68">
                  <c:v>1.4800058024599729</c:v>
                </c:pt>
                <c:pt idx="69">
                  <c:v>1.5017705936726198</c:v>
                </c:pt>
                <c:pt idx="70">
                  <c:v>1.5235353848852666</c:v>
                </c:pt>
                <c:pt idx="71">
                  <c:v>1.545300176097913</c:v>
                </c:pt>
                <c:pt idx="72">
                  <c:v>1.5670649673105597</c:v>
                </c:pt>
                <c:pt idx="73">
                  <c:v>1.5888297585232063</c:v>
                </c:pt>
                <c:pt idx="74">
                  <c:v>1.6105945497358531</c:v>
                </c:pt>
                <c:pt idx="75">
                  <c:v>1.6323593409484998</c:v>
                </c:pt>
                <c:pt idx="76">
                  <c:v>1.6541241321611464</c:v>
                </c:pt>
                <c:pt idx="77">
                  <c:v>1.675888923373793</c:v>
                </c:pt>
                <c:pt idx="78">
                  <c:v>1.6976537145864399</c:v>
                </c:pt>
                <c:pt idx="79">
                  <c:v>1.7194185057990867</c:v>
                </c:pt>
                <c:pt idx="80">
                  <c:v>1.7411832970117329</c:v>
                </c:pt>
                <c:pt idx="81">
                  <c:v>1.76294808822438</c:v>
                </c:pt>
                <c:pt idx="82">
                  <c:v>1.7847128794370268</c:v>
                </c:pt>
                <c:pt idx="83">
                  <c:v>1.806477670649673</c:v>
                </c:pt>
                <c:pt idx="84">
                  <c:v>1.8282424618623196</c:v>
                </c:pt>
                <c:pt idx="85">
                  <c:v>1.8500072530749665</c:v>
                </c:pt>
                <c:pt idx="86">
                  <c:v>1.8717720442876131</c:v>
                </c:pt>
                <c:pt idx="87">
                  <c:v>1.8935368355002595</c:v>
                </c:pt>
                <c:pt idx="88">
                  <c:v>1.9153016267129062</c:v>
                </c:pt>
                <c:pt idx="89">
                  <c:v>1.937066417925553</c:v>
                </c:pt>
                <c:pt idx="90">
                  <c:v>1.9588312091381999</c:v>
                </c:pt>
                <c:pt idx="91">
                  <c:v>1.9805960003508463</c:v>
                </c:pt>
                <c:pt idx="92">
                  <c:v>2.0023607915634929</c:v>
                </c:pt>
                <c:pt idx="93">
                  <c:v>2.0241255827761395</c:v>
                </c:pt>
                <c:pt idx="94">
                  <c:v>2.0458903739887866</c:v>
                </c:pt>
                <c:pt idx="95">
                  <c:v>2.0676551652014332</c:v>
                </c:pt>
                <c:pt idx="96">
                  <c:v>2.0894199564140798</c:v>
                </c:pt>
                <c:pt idx="97">
                  <c:v>2.1111847476267265</c:v>
                </c:pt>
                <c:pt idx="98">
                  <c:v>2.1329495388393731</c:v>
                </c:pt>
                <c:pt idx="99">
                  <c:v>2.1547143300520197</c:v>
                </c:pt>
                <c:pt idx="100">
                  <c:v>2.1764791212646668</c:v>
                </c:pt>
                <c:pt idx="101">
                  <c:v>2.198243912477313</c:v>
                </c:pt>
                <c:pt idx="102">
                  <c:v>2.2200087036899596</c:v>
                </c:pt>
                <c:pt idx="103">
                  <c:v>2.2417734949026067</c:v>
                </c:pt>
                <c:pt idx="104">
                  <c:v>2.2635382861152529</c:v>
                </c:pt>
                <c:pt idx="105">
                  <c:v>2.2853030773278995</c:v>
                </c:pt>
                <c:pt idx="106">
                  <c:v>2.3070678685405461</c:v>
                </c:pt>
                <c:pt idx="107">
                  <c:v>2.3288326597531928</c:v>
                </c:pt>
                <c:pt idx="108">
                  <c:v>2.3505974509658398</c:v>
                </c:pt>
                <c:pt idx="109">
                  <c:v>2.3723622421784865</c:v>
                </c:pt>
                <c:pt idx="110">
                  <c:v>2.3941270333911326</c:v>
                </c:pt>
                <c:pt idx="111">
                  <c:v>2.4158918246037793</c:v>
                </c:pt>
                <c:pt idx="112">
                  <c:v>2.4376566158164263</c:v>
                </c:pt>
                <c:pt idx="113">
                  <c:v>2.459421407029073</c:v>
                </c:pt>
                <c:pt idx="114">
                  <c:v>2.4811861982417196</c:v>
                </c:pt>
                <c:pt idx="115">
                  <c:v>2.5029509894543667</c:v>
                </c:pt>
                <c:pt idx="116">
                  <c:v>2.5247157806670133</c:v>
                </c:pt>
                <c:pt idx="117">
                  <c:v>2.5464805718796595</c:v>
                </c:pt>
                <c:pt idx="118">
                  <c:v>2.5682453630923061</c:v>
                </c:pt>
                <c:pt idx="119">
                  <c:v>2.5900101543049536</c:v>
                </c:pt>
                <c:pt idx="120">
                  <c:v>2.6117749455175998</c:v>
                </c:pt>
                <c:pt idx="121">
                  <c:v>2.6335397367302464</c:v>
                </c:pt>
                <c:pt idx="122">
                  <c:v>2.6553045279428935</c:v>
                </c:pt>
                <c:pt idx="123">
                  <c:v>2.6770693191555393</c:v>
                </c:pt>
                <c:pt idx="124">
                  <c:v>2.6988341103681859</c:v>
                </c:pt>
                <c:pt idx="125">
                  <c:v>2.7205989015808334</c:v>
                </c:pt>
                <c:pt idx="126">
                  <c:v>2.7423636927934796</c:v>
                </c:pt>
                <c:pt idx="127">
                  <c:v>2.7641284840061262</c:v>
                </c:pt>
                <c:pt idx="128">
                  <c:v>2.7858932752187733</c:v>
                </c:pt>
                <c:pt idx="129">
                  <c:v>2.8076580664314199</c:v>
                </c:pt>
                <c:pt idx="130">
                  <c:v>2.8294228576440656</c:v>
                </c:pt>
                <c:pt idx="131">
                  <c:v>2.8511876488567127</c:v>
                </c:pt>
                <c:pt idx="132">
                  <c:v>2.8729524400693598</c:v>
                </c:pt>
                <c:pt idx="133">
                  <c:v>2.8947172312820064</c:v>
                </c:pt>
                <c:pt idx="134">
                  <c:v>2.9164820224946535</c:v>
                </c:pt>
                <c:pt idx="135">
                  <c:v>2.9382468137072997</c:v>
                </c:pt>
                <c:pt idx="136">
                  <c:v>2.9600116049199459</c:v>
                </c:pt>
                <c:pt idx="137">
                  <c:v>2.9817763961325934</c:v>
                </c:pt>
                <c:pt idx="138">
                  <c:v>3.0035411873452396</c:v>
                </c:pt>
                <c:pt idx="139">
                  <c:v>3.0253059785578857</c:v>
                </c:pt>
                <c:pt idx="140">
                  <c:v>3.0470707697705333</c:v>
                </c:pt>
                <c:pt idx="141">
                  <c:v>3.0688355609831794</c:v>
                </c:pt>
                <c:pt idx="142">
                  <c:v>3.0906003521958261</c:v>
                </c:pt>
                <c:pt idx="143">
                  <c:v>3.1123651434084731</c:v>
                </c:pt>
                <c:pt idx="144">
                  <c:v>3.1341299346211193</c:v>
                </c:pt>
                <c:pt idx="145">
                  <c:v>3.155894725833766</c:v>
                </c:pt>
                <c:pt idx="146">
                  <c:v>3.1776595170464126</c:v>
                </c:pt>
                <c:pt idx="147">
                  <c:v>3.1994243082590597</c:v>
                </c:pt>
                <c:pt idx="148">
                  <c:v>3.2211890994717063</c:v>
                </c:pt>
                <c:pt idx="149">
                  <c:v>3.2429538906843534</c:v>
                </c:pt>
                <c:pt idx="150">
                  <c:v>3.2647186818969995</c:v>
                </c:pt>
              </c:numCache>
            </c:numRef>
          </c:yVal>
          <c:smooth val="1"/>
          <c:extLst>
            <c:ext xmlns:c16="http://schemas.microsoft.com/office/drawing/2014/chart" uri="{C3380CC4-5D6E-409C-BE32-E72D297353CC}">
              <c16:uniqueId val="{00000001-9977-4FA8-9358-1BE425CE3F05}"/>
            </c:ext>
          </c:extLst>
        </c:ser>
        <c:ser>
          <c:idx val="3"/>
          <c:order val="2"/>
          <c:tx>
            <c:v>RS</c:v>
          </c:tx>
          <c:spPr>
            <a:ln>
              <a:solidFill>
                <a:schemeClr val="accent5">
                  <a:lumMod val="75000"/>
                </a:schemeClr>
              </a:solidFill>
              <a:prstDash val="lgDashDotDot"/>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Eff_vs_IOUT!$BU$7:$BU$157</c:f>
              <c:numCache>
                <c:formatCode>General</c:formatCode>
                <c:ptCount val="151"/>
                <c:pt idx="0">
                  <c:v>0</c:v>
                </c:pt>
                <c:pt idx="1">
                  <c:v>4.1056019142373404E-5</c:v>
                </c:pt>
                <c:pt idx="2">
                  <c:v>1.1612395817638769E-4</c:v>
                </c:pt>
                <c:pt idx="3">
                  <c:v>2.1333333333333333E-4</c:v>
                </c:pt>
                <c:pt idx="4">
                  <c:v>3.2844815313898723E-4</c:v>
                </c:pt>
                <c:pt idx="5">
                  <c:v>4.5902024843939751E-4</c:v>
                </c:pt>
                <c:pt idx="6">
                  <c:v>6.0339778661252055E-4</c:v>
                </c:pt>
                <c:pt idx="7">
                  <c:v>7.6036811531119113E-4</c:v>
                </c:pt>
                <c:pt idx="8">
                  <c:v>9.2899166541110154E-4</c:v>
                </c:pt>
                <c:pt idx="9">
                  <c:v>1.1085125168440813E-3</c:v>
                </c:pt>
                <c:pt idx="10">
                  <c:v>1.2983053214937271E-3</c:v>
                </c:pt>
                <c:pt idx="11">
                  <c:v>1.4978415196899156E-3</c:v>
                </c:pt>
                <c:pt idx="12">
                  <c:v>1.7066666666666667E-3</c:v>
                </c:pt>
                <c:pt idx="13">
                  <c:v>1.9243845683953585E-3</c:v>
                </c:pt>
                <c:pt idx="14">
                  <c:v>2.1506458021383116E-3</c:v>
                </c:pt>
                <c:pt idx="15">
                  <c:v>2.385139175999776E-3</c:v>
                </c:pt>
                <c:pt idx="16">
                  <c:v>2.6275852251118979E-3</c:v>
                </c:pt>
                <c:pt idx="17">
                  <c:v>2.877731159353563E-3</c:v>
                </c:pt>
                <c:pt idx="18">
                  <c:v>3.1372799999999979E-3</c:v>
                </c:pt>
                <c:pt idx="19">
                  <c:v>3.4113540740740725E-3</c:v>
                </c:pt>
                <c:pt idx="20">
                  <c:v>3.7002429629629636E-3</c:v>
                </c:pt>
                <c:pt idx="21">
                  <c:v>4.0039466666666676E-3</c:v>
                </c:pt>
                <c:pt idx="22">
                  <c:v>4.3224651851851833E-3</c:v>
                </c:pt>
                <c:pt idx="23">
                  <c:v>4.6557985185185198E-3</c:v>
                </c:pt>
                <c:pt idx="24">
                  <c:v>5.0039466666666659E-3</c:v>
                </c:pt>
                <c:pt idx="25">
                  <c:v>5.366909629629631E-3</c:v>
                </c:pt>
                <c:pt idx="26">
                  <c:v>5.7446874074074091E-3</c:v>
                </c:pt>
                <c:pt idx="27">
                  <c:v>6.1372799999999958E-3</c:v>
                </c:pt>
                <c:pt idx="28">
                  <c:v>6.5446874074074051E-3</c:v>
                </c:pt>
                <c:pt idx="29">
                  <c:v>6.9669096296296282E-3</c:v>
                </c:pt>
                <c:pt idx="30">
                  <c:v>7.4039466666666661E-3</c:v>
                </c:pt>
                <c:pt idx="31">
                  <c:v>7.8557985185185187E-3</c:v>
                </c:pt>
                <c:pt idx="32">
                  <c:v>8.3224651851851843E-3</c:v>
                </c:pt>
                <c:pt idx="33">
                  <c:v>8.8039466666666663E-3</c:v>
                </c:pt>
                <c:pt idx="34">
                  <c:v>9.3002429629629579E-3</c:v>
                </c:pt>
                <c:pt idx="35">
                  <c:v>9.8113540740740711E-3</c:v>
                </c:pt>
                <c:pt idx="36">
                  <c:v>1.0337279999999996E-2</c:v>
                </c:pt>
                <c:pt idx="37">
                  <c:v>1.0878020740740735E-2</c:v>
                </c:pt>
                <c:pt idx="38">
                  <c:v>1.1433576296296289E-2</c:v>
                </c:pt>
                <c:pt idx="39">
                  <c:v>1.2003946666666669E-2</c:v>
                </c:pt>
                <c:pt idx="40">
                  <c:v>1.2589131851851853E-2</c:v>
                </c:pt>
                <c:pt idx="41">
                  <c:v>1.3189131851851846E-2</c:v>
                </c:pt>
                <c:pt idx="42">
                  <c:v>1.3803946666666662E-2</c:v>
                </c:pt>
                <c:pt idx="43">
                  <c:v>1.4433576296296286E-2</c:v>
                </c:pt>
                <c:pt idx="44">
                  <c:v>1.5078020740740727E-2</c:v>
                </c:pt>
                <c:pt idx="45">
                  <c:v>1.5737280000000003E-2</c:v>
                </c:pt>
                <c:pt idx="46">
                  <c:v>1.6411354074074066E-2</c:v>
                </c:pt>
                <c:pt idx="47">
                  <c:v>1.7100242962962951E-2</c:v>
                </c:pt>
                <c:pt idx="48">
                  <c:v>1.7803946666666667E-2</c:v>
                </c:pt>
                <c:pt idx="49">
                  <c:v>1.8522465185185188E-2</c:v>
                </c:pt>
                <c:pt idx="50">
                  <c:v>1.925579851851851E-2</c:v>
                </c:pt>
                <c:pt idx="51">
                  <c:v>2.0003946666666661E-2</c:v>
                </c:pt>
                <c:pt idx="52">
                  <c:v>2.0766909629629623E-2</c:v>
                </c:pt>
                <c:pt idx="53">
                  <c:v>2.1544687407407396E-2</c:v>
                </c:pt>
                <c:pt idx="54">
                  <c:v>2.2337280000000001E-2</c:v>
                </c:pt>
                <c:pt idx="55">
                  <c:v>2.3144687407407407E-2</c:v>
                </c:pt>
                <c:pt idx="56">
                  <c:v>2.3966909629629624E-2</c:v>
                </c:pt>
                <c:pt idx="57">
                  <c:v>2.4803946666666653E-2</c:v>
                </c:pt>
                <c:pt idx="58">
                  <c:v>2.565579851851852E-2</c:v>
                </c:pt>
                <c:pt idx="59">
                  <c:v>2.6522465185185185E-2</c:v>
                </c:pt>
                <c:pt idx="60">
                  <c:v>2.7403946666666654E-2</c:v>
                </c:pt>
                <c:pt idx="61">
                  <c:v>2.8300242962962945E-2</c:v>
                </c:pt>
                <c:pt idx="62">
                  <c:v>2.9211354074074068E-2</c:v>
                </c:pt>
                <c:pt idx="63">
                  <c:v>3.0137279999999999E-2</c:v>
                </c:pt>
                <c:pt idx="64">
                  <c:v>3.1078020740740737E-2</c:v>
                </c:pt>
                <c:pt idx="65">
                  <c:v>3.203357629629628E-2</c:v>
                </c:pt>
                <c:pt idx="66">
                  <c:v>3.3003946666666679E-2</c:v>
                </c:pt>
                <c:pt idx="67">
                  <c:v>3.3989131851851852E-2</c:v>
                </c:pt>
                <c:pt idx="68">
                  <c:v>3.4989131851851846E-2</c:v>
                </c:pt>
                <c:pt idx="69">
                  <c:v>3.6003946666666647E-2</c:v>
                </c:pt>
                <c:pt idx="70">
                  <c:v>3.7033576296296285E-2</c:v>
                </c:pt>
                <c:pt idx="71">
                  <c:v>3.8078020740740716E-2</c:v>
                </c:pt>
                <c:pt idx="72">
                  <c:v>3.9137279999999976E-2</c:v>
                </c:pt>
                <c:pt idx="73">
                  <c:v>4.0211354074074057E-2</c:v>
                </c:pt>
                <c:pt idx="74">
                  <c:v>4.130024296296296E-2</c:v>
                </c:pt>
                <c:pt idx="75">
                  <c:v>4.240394666666665E-2</c:v>
                </c:pt>
                <c:pt idx="76">
                  <c:v>4.3522465185185176E-2</c:v>
                </c:pt>
                <c:pt idx="77">
                  <c:v>4.4655798518518496E-2</c:v>
                </c:pt>
                <c:pt idx="78">
                  <c:v>4.5803946666666651E-2</c:v>
                </c:pt>
                <c:pt idx="79">
                  <c:v>4.6966909629629607E-2</c:v>
                </c:pt>
                <c:pt idx="80">
                  <c:v>4.8144687407407384E-2</c:v>
                </c:pt>
                <c:pt idx="81">
                  <c:v>4.933727999999999E-2</c:v>
                </c:pt>
                <c:pt idx="82">
                  <c:v>5.0544687407407411E-2</c:v>
                </c:pt>
                <c:pt idx="83">
                  <c:v>5.1766909629629633E-2</c:v>
                </c:pt>
                <c:pt idx="84">
                  <c:v>5.3003946666666656E-2</c:v>
                </c:pt>
                <c:pt idx="85">
                  <c:v>5.42557985185185E-2</c:v>
                </c:pt>
                <c:pt idx="86">
                  <c:v>5.5522465185185152E-2</c:v>
                </c:pt>
                <c:pt idx="87">
                  <c:v>5.680394666666664E-2</c:v>
                </c:pt>
                <c:pt idx="88">
                  <c:v>5.8100242962962935E-2</c:v>
                </c:pt>
                <c:pt idx="89">
                  <c:v>5.9411354074074059E-2</c:v>
                </c:pt>
                <c:pt idx="90">
                  <c:v>6.073727999999997E-2</c:v>
                </c:pt>
                <c:pt idx="91">
                  <c:v>6.2078020740740703E-2</c:v>
                </c:pt>
                <c:pt idx="92">
                  <c:v>6.3433576296296243E-2</c:v>
                </c:pt>
                <c:pt idx="93">
                  <c:v>6.480394666666664E-2</c:v>
                </c:pt>
                <c:pt idx="94">
                  <c:v>6.6189131851851837E-2</c:v>
                </c:pt>
                <c:pt idx="95">
                  <c:v>6.7589131851851808E-2</c:v>
                </c:pt>
                <c:pt idx="96">
                  <c:v>6.9003946666666677E-2</c:v>
                </c:pt>
                <c:pt idx="97">
                  <c:v>7.0433576296296277E-2</c:v>
                </c:pt>
                <c:pt idx="98">
                  <c:v>7.1878020740740706E-2</c:v>
                </c:pt>
                <c:pt idx="99">
                  <c:v>7.3337279999999991E-2</c:v>
                </c:pt>
                <c:pt idx="100">
                  <c:v>7.4811354074074063E-2</c:v>
                </c:pt>
                <c:pt idx="101">
                  <c:v>7.6300242962962936E-2</c:v>
                </c:pt>
                <c:pt idx="102">
                  <c:v>7.7803946666666637E-2</c:v>
                </c:pt>
                <c:pt idx="103">
                  <c:v>7.9322465185185154E-2</c:v>
                </c:pt>
                <c:pt idx="104">
                  <c:v>8.0855798518518499E-2</c:v>
                </c:pt>
                <c:pt idx="105">
                  <c:v>8.240394666666663E-2</c:v>
                </c:pt>
                <c:pt idx="106">
                  <c:v>8.3966909629629577E-2</c:v>
                </c:pt>
                <c:pt idx="107">
                  <c:v>8.5544687407407366E-2</c:v>
                </c:pt>
                <c:pt idx="108">
                  <c:v>8.713727999999997E-2</c:v>
                </c:pt>
                <c:pt idx="109">
                  <c:v>8.8744687407407388E-2</c:v>
                </c:pt>
                <c:pt idx="110">
                  <c:v>9.0366909629629608E-2</c:v>
                </c:pt>
                <c:pt idx="111">
                  <c:v>9.2003946666666628E-2</c:v>
                </c:pt>
                <c:pt idx="112">
                  <c:v>9.365579851851849E-2</c:v>
                </c:pt>
                <c:pt idx="113">
                  <c:v>9.532246518518514E-2</c:v>
                </c:pt>
                <c:pt idx="114">
                  <c:v>9.7003946666666632E-2</c:v>
                </c:pt>
                <c:pt idx="115">
                  <c:v>9.8700242962962939E-2</c:v>
                </c:pt>
                <c:pt idx="116">
                  <c:v>0.10041135407407407</c:v>
                </c:pt>
                <c:pt idx="117">
                  <c:v>0.10213727999999998</c:v>
                </c:pt>
                <c:pt idx="118">
                  <c:v>0.10387802074074071</c:v>
                </c:pt>
                <c:pt idx="119">
                  <c:v>0.10563357629629624</c:v>
                </c:pt>
                <c:pt idx="120">
                  <c:v>0.10740394666666664</c:v>
                </c:pt>
                <c:pt idx="121">
                  <c:v>0.10918913185185182</c:v>
                </c:pt>
                <c:pt idx="122">
                  <c:v>0.11098913185185183</c:v>
                </c:pt>
                <c:pt idx="123">
                  <c:v>0.11280394666666661</c:v>
                </c:pt>
                <c:pt idx="124">
                  <c:v>0.11463357629629622</c:v>
                </c:pt>
                <c:pt idx="125">
                  <c:v>0.11647802074074071</c:v>
                </c:pt>
                <c:pt idx="126">
                  <c:v>0.11833728</c:v>
                </c:pt>
                <c:pt idx="127">
                  <c:v>0.12021135407407406</c:v>
                </c:pt>
                <c:pt idx="128">
                  <c:v>0.12210024296296293</c:v>
                </c:pt>
                <c:pt idx="129">
                  <c:v>0.12400394666666666</c:v>
                </c:pt>
                <c:pt idx="130">
                  <c:v>0.12592246518518516</c:v>
                </c:pt>
                <c:pt idx="131">
                  <c:v>0.1278557985185185</c:v>
                </c:pt>
                <c:pt idx="132">
                  <c:v>0.1298039466666667</c:v>
                </c:pt>
                <c:pt idx="133">
                  <c:v>0.13176690962962961</c:v>
                </c:pt>
                <c:pt idx="134">
                  <c:v>0.13374468740740739</c:v>
                </c:pt>
                <c:pt idx="135">
                  <c:v>0.13573727999999999</c:v>
                </c:pt>
                <c:pt idx="136">
                  <c:v>0.13774468740740739</c:v>
                </c:pt>
                <c:pt idx="137">
                  <c:v>0.13976690962962962</c:v>
                </c:pt>
                <c:pt idx="138">
                  <c:v>0.1418039466666666</c:v>
                </c:pt>
                <c:pt idx="139">
                  <c:v>0.14385579851851849</c:v>
                </c:pt>
                <c:pt idx="140">
                  <c:v>0.14592246518518517</c:v>
                </c:pt>
                <c:pt idx="141">
                  <c:v>0.14800394666666669</c:v>
                </c:pt>
                <c:pt idx="142">
                  <c:v>0.15010024296296298</c:v>
                </c:pt>
                <c:pt idx="143">
                  <c:v>0.15221135407407402</c:v>
                </c:pt>
                <c:pt idx="144">
                  <c:v>0.15433728000000002</c:v>
                </c:pt>
                <c:pt idx="145">
                  <c:v>0.15647802074074071</c:v>
                </c:pt>
                <c:pt idx="146">
                  <c:v>0.15863357629629626</c:v>
                </c:pt>
                <c:pt idx="147">
                  <c:v>0.16080394666666672</c:v>
                </c:pt>
                <c:pt idx="148">
                  <c:v>0.16298913185185185</c:v>
                </c:pt>
                <c:pt idx="149">
                  <c:v>0.16518913185185183</c:v>
                </c:pt>
                <c:pt idx="150">
                  <c:v>0.16740394666666669</c:v>
                </c:pt>
              </c:numCache>
            </c:numRef>
          </c:yVal>
          <c:smooth val="1"/>
          <c:extLst>
            <c:ext xmlns:c16="http://schemas.microsoft.com/office/drawing/2014/chart" uri="{C3380CC4-5D6E-409C-BE32-E72D297353CC}">
              <c16:uniqueId val="{00000002-9977-4FA8-9358-1BE425CE3F05}"/>
            </c:ext>
          </c:extLst>
        </c:ser>
        <c:ser>
          <c:idx val="2"/>
          <c:order val="3"/>
          <c:tx>
            <c:v>D1</c:v>
          </c:tx>
          <c:spPr>
            <a:ln>
              <a:solidFill>
                <a:schemeClr val="bg2">
                  <a:lumMod val="50000"/>
                </a:schemeClr>
              </a:solidFill>
              <a:prstDash val="sysDash"/>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Eff_vs_IOUT!$AY$8:$AY$157</c:f>
              <c:numCache>
                <c:formatCode>General</c:formatCode>
                <c:ptCount val="150"/>
                <c:pt idx="0">
                  <c:v>4.0010000000000003</c:v>
                </c:pt>
                <c:pt idx="1">
                  <c:v>4.0019999999999998</c:v>
                </c:pt>
                <c:pt idx="2">
                  <c:v>4.0030000000000001</c:v>
                </c:pt>
                <c:pt idx="3">
                  <c:v>4.0039999999999996</c:v>
                </c:pt>
                <c:pt idx="4">
                  <c:v>4.0049999999999999</c:v>
                </c:pt>
                <c:pt idx="5">
                  <c:v>4.0060000000000002</c:v>
                </c:pt>
                <c:pt idx="6">
                  <c:v>4.0069999999999997</c:v>
                </c:pt>
                <c:pt idx="7">
                  <c:v>4.008</c:v>
                </c:pt>
                <c:pt idx="8">
                  <c:v>4.0090000000000003</c:v>
                </c:pt>
                <c:pt idx="9">
                  <c:v>4.01</c:v>
                </c:pt>
                <c:pt idx="10">
                  <c:v>4.0110000000000001</c:v>
                </c:pt>
                <c:pt idx="11">
                  <c:v>4.0119999999999996</c:v>
                </c:pt>
                <c:pt idx="12">
                  <c:v>4.0129999999999999</c:v>
                </c:pt>
                <c:pt idx="13">
                  <c:v>4.0140000000000002</c:v>
                </c:pt>
                <c:pt idx="14">
                  <c:v>4.0149999999999997</c:v>
                </c:pt>
                <c:pt idx="15">
                  <c:v>4.016</c:v>
                </c:pt>
                <c:pt idx="16">
                  <c:v>4.0170000000000003</c:v>
                </c:pt>
                <c:pt idx="17">
                  <c:v>4.0179999999999998</c:v>
                </c:pt>
                <c:pt idx="18">
                  <c:v>4.0190000000000001</c:v>
                </c:pt>
                <c:pt idx="19">
                  <c:v>4.0199999999999996</c:v>
                </c:pt>
                <c:pt idx="20">
                  <c:v>4.0209999999999999</c:v>
                </c:pt>
                <c:pt idx="21">
                  <c:v>4.0220000000000002</c:v>
                </c:pt>
                <c:pt idx="22">
                  <c:v>4.0229999999999997</c:v>
                </c:pt>
                <c:pt idx="23">
                  <c:v>4.024</c:v>
                </c:pt>
                <c:pt idx="24">
                  <c:v>4.0250000000000004</c:v>
                </c:pt>
                <c:pt idx="25">
                  <c:v>4.0259999999999998</c:v>
                </c:pt>
                <c:pt idx="26">
                  <c:v>4.0270000000000001</c:v>
                </c:pt>
                <c:pt idx="27">
                  <c:v>4.0279999999999996</c:v>
                </c:pt>
                <c:pt idx="28">
                  <c:v>4.0289999999999999</c:v>
                </c:pt>
                <c:pt idx="29">
                  <c:v>4.03</c:v>
                </c:pt>
                <c:pt idx="30">
                  <c:v>4.0309999999999997</c:v>
                </c:pt>
                <c:pt idx="31">
                  <c:v>4.032</c:v>
                </c:pt>
                <c:pt idx="32">
                  <c:v>4.0330000000000004</c:v>
                </c:pt>
                <c:pt idx="33">
                  <c:v>4.0339999999999998</c:v>
                </c:pt>
                <c:pt idx="34">
                  <c:v>4.0350000000000001</c:v>
                </c:pt>
                <c:pt idx="35">
                  <c:v>4.0359999999999996</c:v>
                </c:pt>
                <c:pt idx="36">
                  <c:v>4.0369999999999999</c:v>
                </c:pt>
                <c:pt idx="37">
                  <c:v>4.0380000000000003</c:v>
                </c:pt>
                <c:pt idx="38">
                  <c:v>4.0389999999999997</c:v>
                </c:pt>
                <c:pt idx="39">
                  <c:v>4.04</c:v>
                </c:pt>
                <c:pt idx="40">
                  <c:v>4.0410000000000004</c:v>
                </c:pt>
                <c:pt idx="41">
                  <c:v>4.0419999999999998</c:v>
                </c:pt>
                <c:pt idx="42">
                  <c:v>4.0430000000000001</c:v>
                </c:pt>
                <c:pt idx="43">
                  <c:v>4.0439999999999996</c:v>
                </c:pt>
                <c:pt idx="44">
                  <c:v>4.0449999999999999</c:v>
                </c:pt>
                <c:pt idx="45">
                  <c:v>4.0460000000000003</c:v>
                </c:pt>
                <c:pt idx="46">
                  <c:v>4.0469999999999997</c:v>
                </c:pt>
                <c:pt idx="47">
                  <c:v>4.048</c:v>
                </c:pt>
                <c:pt idx="48">
                  <c:v>4.0490000000000004</c:v>
                </c:pt>
                <c:pt idx="49">
                  <c:v>4.05</c:v>
                </c:pt>
                <c:pt idx="50">
                  <c:v>4.0510000000000002</c:v>
                </c:pt>
                <c:pt idx="51">
                  <c:v>4.0519999999999996</c:v>
                </c:pt>
                <c:pt idx="52">
                  <c:v>4.0529999999999999</c:v>
                </c:pt>
                <c:pt idx="53">
                  <c:v>4.0540000000000003</c:v>
                </c:pt>
                <c:pt idx="54">
                  <c:v>4.0549999999999997</c:v>
                </c:pt>
                <c:pt idx="55">
                  <c:v>4.056</c:v>
                </c:pt>
                <c:pt idx="56">
                  <c:v>4.0570000000000004</c:v>
                </c:pt>
                <c:pt idx="57">
                  <c:v>4.0579999999999998</c:v>
                </c:pt>
                <c:pt idx="58">
                  <c:v>4.0590000000000002</c:v>
                </c:pt>
                <c:pt idx="59">
                  <c:v>4.0599999999999996</c:v>
                </c:pt>
                <c:pt idx="60">
                  <c:v>4.0609999999999999</c:v>
                </c:pt>
                <c:pt idx="61">
                  <c:v>4.0620000000000003</c:v>
                </c:pt>
                <c:pt idx="62">
                  <c:v>4.0629999999999997</c:v>
                </c:pt>
                <c:pt idx="63">
                  <c:v>4.0640000000000001</c:v>
                </c:pt>
                <c:pt idx="64">
                  <c:v>4.0650000000000004</c:v>
                </c:pt>
                <c:pt idx="65">
                  <c:v>4.0659999999999998</c:v>
                </c:pt>
                <c:pt idx="66">
                  <c:v>4.0670000000000002</c:v>
                </c:pt>
                <c:pt idx="67">
                  <c:v>4.0679999999999996</c:v>
                </c:pt>
                <c:pt idx="68">
                  <c:v>4.069</c:v>
                </c:pt>
                <c:pt idx="69">
                  <c:v>4.07</c:v>
                </c:pt>
                <c:pt idx="70">
                  <c:v>4.0709999999999997</c:v>
                </c:pt>
                <c:pt idx="71">
                  <c:v>4.0720000000000001</c:v>
                </c:pt>
                <c:pt idx="72">
                  <c:v>4.0730000000000004</c:v>
                </c:pt>
                <c:pt idx="73">
                  <c:v>4.0739999999999998</c:v>
                </c:pt>
                <c:pt idx="74">
                  <c:v>4.0750000000000002</c:v>
                </c:pt>
                <c:pt idx="75">
                  <c:v>4.0759999999999996</c:v>
                </c:pt>
                <c:pt idx="76">
                  <c:v>4.077</c:v>
                </c:pt>
                <c:pt idx="77">
                  <c:v>4.0780000000000003</c:v>
                </c:pt>
                <c:pt idx="78">
                  <c:v>4.0789999999999997</c:v>
                </c:pt>
                <c:pt idx="79">
                  <c:v>4.08</c:v>
                </c:pt>
                <c:pt idx="80">
                  <c:v>4.0810000000000004</c:v>
                </c:pt>
                <c:pt idx="81">
                  <c:v>4.0819999999999999</c:v>
                </c:pt>
                <c:pt idx="82">
                  <c:v>4.0830000000000002</c:v>
                </c:pt>
                <c:pt idx="83">
                  <c:v>4.0839999999999996</c:v>
                </c:pt>
                <c:pt idx="84">
                  <c:v>4.085</c:v>
                </c:pt>
                <c:pt idx="85">
                  <c:v>4.0860000000000003</c:v>
                </c:pt>
                <c:pt idx="86">
                  <c:v>4.0869999999999997</c:v>
                </c:pt>
                <c:pt idx="87">
                  <c:v>4.0880000000000001</c:v>
                </c:pt>
                <c:pt idx="88">
                  <c:v>4.0890000000000004</c:v>
                </c:pt>
                <c:pt idx="89">
                  <c:v>4.09</c:v>
                </c:pt>
                <c:pt idx="90">
                  <c:v>4.0910000000000002</c:v>
                </c:pt>
                <c:pt idx="91">
                  <c:v>4.0919999999999996</c:v>
                </c:pt>
                <c:pt idx="92">
                  <c:v>4.093</c:v>
                </c:pt>
                <c:pt idx="93">
                  <c:v>4.0940000000000003</c:v>
                </c:pt>
                <c:pt idx="94">
                  <c:v>4.0949999999999998</c:v>
                </c:pt>
                <c:pt idx="95">
                  <c:v>4.0960000000000001</c:v>
                </c:pt>
                <c:pt idx="96">
                  <c:v>4.0970000000000004</c:v>
                </c:pt>
                <c:pt idx="97">
                  <c:v>4.0979999999999999</c:v>
                </c:pt>
                <c:pt idx="98">
                  <c:v>4.0990000000000002</c:v>
                </c:pt>
                <c:pt idx="99">
                  <c:v>4.0999999999999996</c:v>
                </c:pt>
                <c:pt idx="100">
                  <c:v>4.101</c:v>
                </c:pt>
                <c:pt idx="101">
                  <c:v>4.1020000000000003</c:v>
                </c:pt>
                <c:pt idx="102">
                  <c:v>4.1029999999999998</c:v>
                </c:pt>
                <c:pt idx="103">
                  <c:v>4.1040000000000001</c:v>
                </c:pt>
                <c:pt idx="104">
                  <c:v>4.1050000000000004</c:v>
                </c:pt>
                <c:pt idx="105">
                  <c:v>4.1059999999999999</c:v>
                </c:pt>
                <c:pt idx="106">
                  <c:v>4.1070000000000002</c:v>
                </c:pt>
                <c:pt idx="107">
                  <c:v>4.1079999999999997</c:v>
                </c:pt>
                <c:pt idx="108">
                  <c:v>4.109</c:v>
                </c:pt>
                <c:pt idx="109">
                  <c:v>4.1100000000000003</c:v>
                </c:pt>
                <c:pt idx="110">
                  <c:v>4.1109999999999998</c:v>
                </c:pt>
                <c:pt idx="111">
                  <c:v>4.1120000000000001</c:v>
                </c:pt>
                <c:pt idx="112">
                  <c:v>4.1129999999999995</c:v>
                </c:pt>
                <c:pt idx="113">
                  <c:v>4.1139999999999999</c:v>
                </c:pt>
                <c:pt idx="114">
                  <c:v>4.1150000000000002</c:v>
                </c:pt>
                <c:pt idx="115">
                  <c:v>4.1159999999999997</c:v>
                </c:pt>
                <c:pt idx="116">
                  <c:v>4.117</c:v>
                </c:pt>
                <c:pt idx="117">
                  <c:v>4.1180000000000003</c:v>
                </c:pt>
                <c:pt idx="118">
                  <c:v>4.1189999999999998</c:v>
                </c:pt>
                <c:pt idx="119">
                  <c:v>4.12</c:v>
                </c:pt>
                <c:pt idx="120">
                  <c:v>4.1210000000000004</c:v>
                </c:pt>
                <c:pt idx="121">
                  <c:v>4.1219999999999999</c:v>
                </c:pt>
                <c:pt idx="122">
                  <c:v>4.1230000000000002</c:v>
                </c:pt>
                <c:pt idx="123">
                  <c:v>4.1239999999999997</c:v>
                </c:pt>
                <c:pt idx="124">
                  <c:v>4.125</c:v>
                </c:pt>
                <c:pt idx="125">
                  <c:v>4.1260000000000003</c:v>
                </c:pt>
                <c:pt idx="126">
                  <c:v>4.1269999999999998</c:v>
                </c:pt>
                <c:pt idx="127">
                  <c:v>4.1280000000000001</c:v>
                </c:pt>
                <c:pt idx="128">
                  <c:v>4.1289999999999996</c:v>
                </c:pt>
                <c:pt idx="129">
                  <c:v>4.13</c:v>
                </c:pt>
                <c:pt idx="130">
                  <c:v>4.1310000000000002</c:v>
                </c:pt>
                <c:pt idx="131">
                  <c:v>4.1319999999999997</c:v>
                </c:pt>
                <c:pt idx="132">
                  <c:v>4.133</c:v>
                </c:pt>
                <c:pt idx="133">
                  <c:v>4.1340000000000003</c:v>
                </c:pt>
                <c:pt idx="134">
                  <c:v>4.1349999999999998</c:v>
                </c:pt>
                <c:pt idx="135">
                  <c:v>4.1360000000000001</c:v>
                </c:pt>
                <c:pt idx="136">
                  <c:v>4.1369999999999996</c:v>
                </c:pt>
                <c:pt idx="137">
                  <c:v>4.1379999999999999</c:v>
                </c:pt>
                <c:pt idx="138">
                  <c:v>4.1390000000000002</c:v>
                </c:pt>
                <c:pt idx="139">
                  <c:v>4.1399999999999997</c:v>
                </c:pt>
                <c:pt idx="140">
                  <c:v>4.141</c:v>
                </c:pt>
                <c:pt idx="141">
                  <c:v>4.1420000000000003</c:v>
                </c:pt>
                <c:pt idx="142">
                  <c:v>4.1429999999999998</c:v>
                </c:pt>
                <c:pt idx="143">
                  <c:v>4.1440000000000001</c:v>
                </c:pt>
                <c:pt idx="144">
                  <c:v>4.1449999999999996</c:v>
                </c:pt>
                <c:pt idx="145">
                  <c:v>4.1459999999999999</c:v>
                </c:pt>
                <c:pt idx="146">
                  <c:v>4.1470000000000002</c:v>
                </c:pt>
                <c:pt idx="147">
                  <c:v>4.1479999999999997</c:v>
                </c:pt>
                <c:pt idx="148">
                  <c:v>4.149</c:v>
                </c:pt>
                <c:pt idx="149">
                  <c:v>4.1500000000000004</c:v>
                </c:pt>
              </c:numCache>
            </c:numRef>
          </c:yVal>
          <c:smooth val="1"/>
          <c:extLst>
            <c:ext xmlns:c16="http://schemas.microsoft.com/office/drawing/2014/chart" uri="{C3380CC4-5D6E-409C-BE32-E72D297353CC}">
              <c16:uniqueId val="{00000003-9977-4FA8-9358-1BE425CE3F05}"/>
            </c:ext>
          </c:extLst>
        </c:ser>
        <c:dLbls>
          <c:showLegendKey val="0"/>
          <c:showVal val="0"/>
          <c:showCatName val="0"/>
          <c:showSerName val="0"/>
          <c:showPercent val="0"/>
          <c:showBubbleSize val="0"/>
        </c:dLbls>
        <c:axId val="582753280"/>
        <c:axId val="582751360"/>
      </c:scatterChart>
      <c:valAx>
        <c:axId val="583325184"/>
        <c:scaling>
          <c:orientation val="minMax"/>
        </c:scaling>
        <c:delete val="0"/>
        <c:axPos val="b"/>
        <c:majorGridlines/>
        <c:numFmt formatCode="General" sourceLinked="1"/>
        <c:majorTickMark val="out"/>
        <c:minorTickMark val="none"/>
        <c:tickLblPos val="nextTo"/>
        <c:crossAx val="583326720"/>
        <c:crosses val="autoZero"/>
        <c:crossBetween val="midCat"/>
      </c:valAx>
      <c:valAx>
        <c:axId val="583326720"/>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583325184"/>
        <c:crosses val="autoZero"/>
        <c:crossBetween val="midCat"/>
      </c:valAx>
      <c:valAx>
        <c:axId val="582751360"/>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582753280"/>
        <c:crosses val="max"/>
        <c:crossBetween val="midCat"/>
      </c:valAx>
      <c:valAx>
        <c:axId val="582753280"/>
        <c:scaling>
          <c:orientation val="minMax"/>
        </c:scaling>
        <c:delete val="1"/>
        <c:axPos val="b"/>
        <c:title>
          <c:tx>
            <c:rich>
              <a:bodyPr/>
              <a:lstStyle/>
              <a:p>
                <a:pPr>
                  <a:defRPr/>
                </a:pPr>
                <a:r>
                  <a:rPr lang="en-US"/>
                  <a:t>Loac</a:t>
                </a:r>
                <a:r>
                  <a:rPr lang="en-US" baseline="0"/>
                  <a:t> Current (A)</a:t>
                </a:r>
                <a:endParaRPr lang="en-US"/>
              </a:p>
            </c:rich>
          </c:tx>
          <c:overlay val="0"/>
        </c:title>
        <c:numFmt formatCode="General" sourceLinked="1"/>
        <c:majorTickMark val="out"/>
        <c:minorTickMark val="none"/>
        <c:tickLblPos val="nextTo"/>
        <c:crossAx val="582751360"/>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Eff_vs_IOUT!$BZ$7:$BZ$157</c:f>
              <c:numCache>
                <c:formatCode>General</c:formatCode>
                <c:ptCount val="151"/>
                <c:pt idx="0">
                  <c:v>0</c:v>
                </c:pt>
                <c:pt idx="1">
                  <c:v>10.899254978714383</c:v>
                </c:pt>
                <c:pt idx="2">
                  <c:v>19.441150108439537</c:v>
                </c:pt>
                <c:pt idx="3">
                  <c:v>26.353383851720828</c:v>
                </c:pt>
                <c:pt idx="4">
                  <c:v>32.072755098680396</c:v>
                </c:pt>
                <c:pt idx="5">
                  <c:v>36.888877277750787</c:v>
                </c:pt>
                <c:pt idx="6">
                  <c:v>41.003140217307433</c:v>
                </c:pt>
                <c:pt idx="7">
                  <c:v>44.560492826501367</c:v>
                </c:pt>
                <c:pt idx="8">
                  <c:v>47.668153183287401</c:v>
                </c:pt>
                <c:pt idx="9">
                  <c:v>50.40724619300213</c:v>
                </c:pt>
                <c:pt idx="10">
                  <c:v>52.840344763069361</c:v>
                </c:pt>
                <c:pt idx="11">
                  <c:v>55.016519707648904</c:v>
                </c:pt>
                <c:pt idx="12">
                  <c:v>56.974815497025318</c:v>
                </c:pt>
                <c:pt idx="13">
                  <c:v>58.746699436603002</c:v>
                </c:pt>
                <c:pt idx="14">
                  <c:v>60.357823156448845</c:v>
                </c:pt>
                <c:pt idx="15">
                  <c:v>61.829312568280024</c:v>
                </c:pt>
                <c:pt idx="16">
                  <c:v>63.178727810125388</c:v>
                </c:pt>
                <c:pt idx="17">
                  <c:v>64.420787977469487</c:v>
                </c:pt>
                <c:pt idx="18">
                  <c:v>65.532474639671605</c:v>
                </c:pt>
                <c:pt idx="19">
                  <c:v>66.546739035199934</c:v>
                </c:pt>
                <c:pt idx="20">
                  <c:v>67.486630042115436</c:v>
                </c:pt>
                <c:pt idx="21">
                  <c:v>68.360015013227553</c:v>
                </c:pt>
                <c:pt idx="22">
                  <c:v>69.173689467421923</c:v>
                </c:pt>
                <c:pt idx="23">
                  <c:v>69.9335536084062</c:v>
                </c:pt>
                <c:pt idx="24">
                  <c:v>70.644755071105834</c:v>
                </c:pt>
                <c:pt idx="25">
                  <c:v>71.311805201146811</c:v>
                </c:pt>
                <c:pt idx="26">
                  <c:v>71.938674420977179</c:v>
                </c:pt>
                <c:pt idx="27">
                  <c:v>72.528870943164847</c:v>
                </c:pt>
                <c:pt idx="28">
                  <c:v>73.08550612749616</c:v>
                </c:pt>
                <c:pt idx="29">
                  <c:v>73.611349053176212</c:v>
                </c:pt>
                <c:pt idx="30">
                  <c:v>74.108872326837627</c:v>
                </c:pt>
                <c:pt idx="31">
                  <c:v>74.580290725648467</c:v>
                </c:pt>
                <c:pt idx="32">
                  <c:v>75.027593949753765</c:v>
                </c:pt>
                <c:pt idx="33">
                  <c:v>75.452574505713528</c:v>
                </c:pt>
                <c:pt idx="34">
                  <c:v>75.85685154498816</c:v>
                </c:pt>
                <c:pt idx="35">
                  <c:v>76.241891325895111</c:v>
                </c:pt>
                <c:pt idx="36">
                  <c:v>76.609024844136485</c:v>
                </c:pt>
                <c:pt idx="37">
                  <c:v>76.959463078692764</c:v>
                </c:pt>
                <c:pt idx="38">
                  <c:v>77.2943102210794</c:v>
                </c:pt>
                <c:pt idx="39">
                  <c:v>77.614575192460194</c:v>
                </c:pt>
                <c:pt idx="40">
                  <c:v>77.921181701677568</c:v>
                </c:pt>
                <c:pt idx="41">
                  <c:v>78.214977055396943</c:v>
                </c:pt>
                <c:pt idx="42">
                  <c:v>78.496739897333597</c:v>
                </c:pt>
                <c:pt idx="43">
                  <c:v>78.7671870254174</c:v>
                </c:pt>
                <c:pt idx="44">
                  <c:v>79.02697941256497</c:v>
                </c:pt>
                <c:pt idx="45">
                  <c:v>79.27672753752843</c:v>
                </c:pt>
                <c:pt idx="46">
                  <c:v>79.516996116327292</c:v>
                </c:pt>
                <c:pt idx="47">
                  <c:v>79.748308311450344</c:v>
                </c:pt>
                <c:pt idx="48">
                  <c:v>79.971149484860931</c:v>
                </c:pt>
                <c:pt idx="49">
                  <c:v>80.185970551465289</c:v>
                </c:pt>
                <c:pt idx="50">
                  <c:v>80.393190981801823</c:v>
                </c:pt>
                <c:pt idx="51">
                  <c:v>80.593201496025273</c:v>
                </c:pt>
                <c:pt idx="52">
                  <c:v>80.786366485589468</c:v>
                </c:pt>
                <c:pt idx="53">
                  <c:v>80.973026194207549</c:v>
                </c:pt>
                <c:pt idx="54">
                  <c:v>81.153498685551213</c:v>
                </c:pt>
                <c:pt idx="55">
                  <c:v>81.328081621627859</c:v>
                </c:pt>
                <c:pt idx="56">
                  <c:v>81.497053872751778</c:v>
                </c:pt>
                <c:pt idx="57">
                  <c:v>81.66067697742541</c:v>
                </c:pt>
                <c:pt idx="58">
                  <c:v>81.819196468205462</c:v>
                </c:pt>
                <c:pt idx="59">
                  <c:v>81.972843077690158</c:v>
                </c:pt>
                <c:pt idx="60">
                  <c:v>82.121833837085418</c:v>
                </c:pt>
                <c:pt idx="61">
                  <c:v>82.266373078349559</c:v>
                </c:pt>
                <c:pt idx="62">
                  <c:v>82.406653349647996</c:v>
                </c:pt>
                <c:pt idx="63">
                  <c:v>82.542856252741814</c:v>
                </c:pt>
                <c:pt idx="64">
                  <c:v>82.675153209968869</c:v>
                </c:pt>
                <c:pt idx="65">
                  <c:v>82.803706167627851</c:v>
                </c:pt>
                <c:pt idx="66">
                  <c:v>82.928668241834032</c:v>
                </c:pt>
                <c:pt idx="67">
                  <c:v>83.050184312261919</c:v>
                </c:pt>
                <c:pt idx="68">
                  <c:v>83.168391568615974</c:v>
                </c:pt>
                <c:pt idx="69">
                  <c:v>83.283420014162047</c:v>
                </c:pt>
                <c:pt idx="70">
                  <c:v>83.39539293020573</c:v>
                </c:pt>
                <c:pt idx="71">
                  <c:v>83.504427305005677</c:v>
                </c:pt>
                <c:pt idx="72">
                  <c:v>83.610634230259322</c:v>
                </c:pt>
                <c:pt idx="73">
                  <c:v>83.714119267985282</c:v>
                </c:pt>
                <c:pt idx="74">
                  <c:v>83.814982790349873</c:v>
                </c:pt>
                <c:pt idx="75">
                  <c:v>83.913320294736977</c:v>
                </c:pt>
                <c:pt idx="76">
                  <c:v>84.009222696140128</c:v>
                </c:pt>
                <c:pt idx="77">
                  <c:v>84.102776598758823</c:v>
                </c:pt>
                <c:pt idx="78">
                  <c:v>84.194064548504215</c:v>
                </c:pt>
                <c:pt idx="79">
                  <c:v>84.283165267961508</c:v>
                </c:pt>
                <c:pt idx="80">
                  <c:v>84.370153875215081</c:v>
                </c:pt>
                <c:pt idx="81">
                  <c:v>84.455102087814453</c:v>
                </c:pt>
                <c:pt idx="82">
                  <c:v>84.538078413045127</c:v>
                </c:pt>
                <c:pt idx="83">
                  <c:v>84.619148325565504</c:v>
                </c:pt>
                <c:pt idx="84">
                  <c:v>84.698374433377381</c:v>
                </c:pt>
                <c:pt idx="85">
                  <c:v>84.775816633014813</c:v>
                </c:pt>
                <c:pt idx="86">
                  <c:v>84.851532254759121</c:v>
                </c:pt>
                <c:pt idx="87">
                  <c:v>84.925576198620618</c:v>
                </c:pt>
                <c:pt idx="88">
                  <c:v>84.998001061764143</c:v>
                </c:pt>
                <c:pt idx="89">
                  <c:v>85.068857258000392</c:v>
                </c:pt>
                <c:pt idx="90">
                  <c:v>85.138193129913518</c:v>
                </c:pt>
                <c:pt idx="91">
                  <c:v>85.206055054148749</c:v>
                </c:pt>
                <c:pt idx="92">
                  <c:v>85.272487540342112</c:v>
                </c:pt>
                <c:pt idx="93">
                  <c:v>85.337533324135805</c:v>
                </c:pt>
                <c:pt idx="94">
                  <c:v>85.401233454687357</c:v>
                </c:pt>
                <c:pt idx="95">
                  <c:v>85.463627377049562</c:v>
                </c:pt>
                <c:pt idx="96">
                  <c:v>85.524753009767977</c:v>
                </c:pt>
                <c:pt idx="97">
                  <c:v>85.58464681801749</c:v>
                </c:pt>
                <c:pt idx="98">
                  <c:v>85.643343882573561</c:v>
                </c:pt>
                <c:pt idx="99">
                  <c:v>85.700877964893024</c:v>
                </c:pt>
                <c:pt idx="100">
                  <c:v>85.757281568557403</c:v>
                </c:pt>
                <c:pt idx="101">
                  <c:v>85.812585997314301</c:v>
                </c:pt>
                <c:pt idx="102">
                  <c:v>85.866821409934374</c:v>
                </c:pt>
                <c:pt idx="103">
                  <c:v>85.92001687208564</c:v>
                </c:pt>
                <c:pt idx="104">
                  <c:v>85.972200405413162</c:v>
                </c:pt>
                <c:pt idx="105">
                  <c:v>86.023399033997634</c:v>
                </c:pt>
                <c:pt idx="106">
                  <c:v>86.073638828355172</c:v>
                </c:pt>
                <c:pt idx="107">
                  <c:v>86.122944947128474</c:v>
                </c:pt>
                <c:pt idx="108">
                  <c:v>86.171341676609671</c:v>
                </c:pt>
                <c:pt idx="109">
                  <c:v>86.218852468225265</c:v>
                </c:pt>
                <c:pt idx="110">
                  <c:v>86.265499974104443</c:v>
                </c:pt>
                <c:pt idx="111">
                  <c:v>86.311306080844687</c:v>
                </c:pt>
                <c:pt idx="112">
                  <c:v>86.356291941579713</c:v>
                </c:pt>
                <c:pt idx="113">
                  <c:v>86.400478006449106</c:v>
                </c:pt>
                <c:pt idx="114">
                  <c:v>86.443884051561241</c:v>
                </c:pt>
                <c:pt idx="115">
                  <c:v>86.486529206536318</c:v>
                </c:pt>
                <c:pt idx="116">
                  <c:v>86.528431980709541</c:v>
                </c:pt>
                <c:pt idx="117">
                  <c:v>86.569610288070081</c:v>
                </c:pt>
                <c:pt idx="118">
                  <c:v>86.610081471006609</c:v>
                </c:pt>
                <c:pt idx="119">
                  <c:v>86.649862322925003</c:v>
                </c:pt>
                <c:pt idx="120">
                  <c:v>86.688969109800794</c:v>
                </c:pt>
                <c:pt idx="121">
                  <c:v>86.727417590724102</c:v>
                </c:pt>
                <c:pt idx="122">
                  <c:v>86.765223037491523</c:v>
                </c:pt>
                <c:pt idx="123">
                  <c:v>86.802400253296511</c:v>
                </c:pt>
                <c:pt idx="124">
                  <c:v>86.838963590565783</c:v>
                </c:pt>
                <c:pt idx="125">
                  <c:v>86.874926967987463</c:v>
                </c:pt>
                <c:pt idx="126">
                  <c:v>86.910303886772951</c:v>
                </c:pt>
                <c:pt idx="127">
                  <c:v>86.945107446192566</c:v>
                </c:pt>
                <c:pt idx="128">
                  <c:v>86.979350358422678</c:v>
                </c:pt>
                <c:pt idx="129">
                  <c:v>87.013044962739556</c:v>
                </c:pt>
                <c:pt idx="130">
                  <c:v>87.046203239093046</c:v>
                </c:pt>
                <c:pt idx="131">
                  <c:v>87.07883682109177</c:v>
                </c:pt>
                <c:pt idx="132">
                  <c:v>87.11095700842931</c:v>
                </c:pt>
                <c:pt idx="133">
                  <c:v>87.142574778778993</c:v>
                </c:pt>
                <c:pt idx="134">
                  <c:v>87.17370079918409</c:v>
                </c:pt>
                <c:pt idx="135">
                  <c:v>87.204345436967657</c:v>
                </c:pt>
                <c:pt idx="136">
                  <c:v>87.234518770186057</c:v>
                </c:pt>
                <c:pt idx="137">
                  <c:v>87.264230597647796</c:v>
                </c:pt>
                <c:pt idx="138">
                  <c:v>87.293490448518895</c:v>
                </c:pt>
                <c:pt idx="139">
                  <c:v>87.322307591534482</c:v>
                </c:pt>
                <c:pt idx="140">
                  <c:v>87.350691043835397</c:v>
                </c:pt>
                <c:pt idx="141">
                  <c:v>87.378649579447213</c:v>
                </c:pt>
                <c:pt idx="142">
                  <c:v>87.406191737418936</c:v>
                </c:pt>
                <c:pt idx="143">
                  <c:v>87.433325829636701</c:v>
                </c:pt>
                <c:pt idx="144">
                  <c:v>87.460059948327824</c:v>
                </c:pt>
                <c:pt idx="145">
                  <c:v>87.486401973269324</c:v>
                </c:pt>
                <c:pt idx="146">
                  <c:v>87.512359578714481</c:v>
                </c:pt>
                <c:pt idx="147">
                  <c:v>87.537940240050048</c:v>
                </c:pt>
                <c:pt idx="148">
                  <c:v>87.563151240196461</c:v>
                </c:pt>
                <c:pt idx="149">
                  <c:v>87.587999675762362</c:v>
                </c:pt>
                <c:pt idx="150">
                  <c:v>87.612492462964596</c:v>
                </c:pt>
              </c:numCache>
            </c:numRef>
          </c:yVal>
          <c:smooth val="0"/>
          <c:extLst>
            <c:ext xmlns:c16="http://schemas.microsoft.com/office/drawing/2014/chart" uri="{C3380CC4-5D6E-409C-BE32-E72D297353CC}">
              <c16:uniqueId val="{00000000-C391-4527-8BBE-DDCDE94A24A4}"/>
            </c:ext>
          </c:extLst>
        </c:ser>
        <c:dLbls>
          <c:showLegendKey val="0"/>
          <c:showVal val="0"/>
          <c:showCatName val="0"/>
          <c:showSerName val="0"/>
          <c:showPercent val="0"/>
          <c:showBubbleSize val="0"/>
        </c:dLbls>
        <c:axId val="582782976"/>
        <c:axId val="582784512"/>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Eff_vs_IOUT!$AJ$7:$AJ$157</c:f>
              <c:numCache>
                <c:formatCode>General</c:formatCode>
                <c:ptCount val="151"/>
                <c:pt idx="0">
                  <c:v>0</c:v>
                </c:pt>
                <c:pt idx="1">
                  <c:v>9.0474538071438404E-2</c:v>
                </c:pt>
                <c:pt idx="2">
                  <c:v>0.12795031879006907</c:v>
                </c:pt>
                <c:pt idx="3">
                  <c:v>0.15670649673105599</c:v>
                </c:pt>
                <c:pt idx="4">
                  <c:v>0.18094907614287681</c:v>
                </c:pt>
                <c:pt idx="5">
                  <c:v>0.20230721736062895</c:v>
                </c:pt>
                <c:pt idx="6">
                  <c:v>0.22161645298903454</c:v>
                </c:pt>
                <c:pt idx="7">
                  <c:v>0.23937312772047134</c:v>
                </c:pt>
                <c:pt idx="8">
                  <c:v>0.25590063758013815</c:v>
                </c:pt>
                <c:pt idx="9">
                  <c:v>0.27142361421431516</c:v>
                </c:pt>
                <c:pt idx="10">
                  <c:v>0.28610561055736311</c:v>
                </c:pt>
                <c:pt idx="11">
                  <c:v>0.30007009586368605</c:v>
                </c:pt>
                <c:pt idx="12">
                  <c:v>0.31341299346211199</c:v>
                </c:pt>
                <c:pt idx="13">
                  <c:v>0.32621058614048987</c:v>
                </c:pt>
                <c:pt idx="14">
                  <c:v>0.33852472368995773</c:v>
                </c:pt>
                <c:pt idx="15">
                  <c:v>0.35040637920648987</c:v>
                </c:pt>
                <c:pt idx="16">
                  <c:v>0.36189815228575362</c:v>
                </c:pt>
                <c:pt idx="17">
                  <c:v>0.37303607689750684</c:v>
                </c:pt>
                <c:pt idx="18">
                  <c:v>0.39176624182763992</c:v>
                </c:pt>
                <c:pt idx="19">
                  <c:v>0.4135310330402866</c:v>
                </c:pt>
                <c:pt idx="20">
                  <c:v>0.43529582425293323</c:v>
                </c:pt>
                <c:pt idx="21">
                  <c:v>0.45706061546557991</c:v>
                </c:pt>
                <c:pt idx="22">
                  <c:v>0.47882540667822654</c:v>
                </c:pt>
                <c:pt idx="23">
                  <c:v>0.50059019789087322</c:v>
                </c:pt>
                <c:pt idx="24">
                  <c:v>0.52235498910351996</c:v>
                </c:pt>
                <c:pt idx="25">
                  <c:v>0.5441197803161667</c:v>
                </c:pt>
                <c:pt idx="26">
                  <c:v>0.56588457152881322</c:v>
                </c:pt>
                <c:pt idx="27">
                  <c:v>0.58764936274145996</c:v>
                </c:pt>
                <c:pt idx="28">
                  <c:v>0.60941415395410659</c:v>
                </c:pt>
                <c:pt idx="29">
                  <c:v>0.63117894516675332</c:v>
                </c:pt>
                <c:pt idx="30">
                  <c:v>0.65294373637939995</c:v>
                </c:pt>
                <c:pt idx="31">
                  <c:v>0.67470852759204647</c:v>
                </c:pt>
                <c:pt idx="32">
                  <c:v>0.69647331880469332</c:v>
                </c:pt>
                <c:pt idx="33">
                  <c:v>0.71823811001733995</c:v>
                </c:pt>
                <c:pt idx="34">
                  <c:v>0.74000290122998647</c:v>
                </c:pt>
                <c:pt idx="35">
                  <c:v>0.76176769244263332</c:v>
                </c:pt>
                <c:pt idx="36">
                  <c:v>0.78353248365527983</c:v>
                </c:pt>
                <c:pt idx="37">
                  <c:v>0.80529727486792657</c:v>
                </c:pt>
                <c:pt idx="38">
                  <c:v>0.8270620660805732</c:v>
                </c:pt>
                <c:pt idx="39">
                  <c:v>0.84882685729321994</c:v>
                </c:pt>
                <c:pt idx="40">
                  <c:v>0.87059164850586646</c:v>
                </c:pt>
                <c:pt idx="41">
                  <c:v>0.89235643971851342</c:v>
                </c:pt>
                <c:pt idx="42">
                  <c:v>0.91412123093115982</c:v>
                </c:pt>
                <c:pt idx="43">
                  <c:v>0.93588602214380656</c:v>
                </c:pt>
                <c:pt idx="44">
                  <c:v>0.95765081335645308</c:v>
                </c:pt>
                <c:pt idx="45">
                  <c:v>0.97941560456909993</c:v>
                </c:pt>
                <c:pt idx="46">
                  <c:v>1.0011803957817464</c:v>
                </c:pt>
                <c:pt idx="47">
                  <c:v>1.0229451869943933</c:v>
                </c:pt>
                <c:pt idx="48">
                  <c:v>1.0447099782070399</c:v>
                </c:pt>
                <c:pt idx="49">
                  <c:v>1.0664747694196866</c:v>
                </c:pt>
                <c:pt idx="50">
                  <c:v>1.0882395606323334</c:v>
                </c:pt>
                <c:pt idx="51">
                  <c:v>1.1100043518449798</c:v>
                </c:pt>
                <c:pt idx="52">
                  <c:v>1.1317691430576264</c:v>
                </c:pt>
                <c:pt idx="53">
                  <c:v>1.1535339342702731</c:v>
                </c:pt>
                <c:pt idx="54">
                  <c:v>1.1752987254829199</c:v>
                </c:pt>
                <c:pt idx="55">
                  <c:v>1.1970635166955663</c:v>
                </c:pt>
                <c:pt idx="56">
                  <c:v>1.2188283079082132</c:v>
                </c:pt>
                <c:pt idx="57">
                  <c:v>1.2405930991208598</c:v>
                </c:pt>
                <c:pt idx="58">
                  <c:v>1.2623578903335066</c:v>
                </c:pt>
                <c:pt idx="59">
                  <c:v>1.2841226815461531</c:v>
                </c:pt>
                <c:pt idx="60">
                  <c:v>1.3058874727587999</c:v>
                </c:pt>
                <c:pt idx="61">
                  <c:v>1.3276522639714468</c:v>
                </c:pt>
                <c:pt idx="62">
                  <c:v>1.3494170551840929</c:v>
                </c:pt>
                <c:pt idx="63">
                  <c:v>1.3711818463967398</c:v>
                </c:pt>
                <c:pt idx="64">
                  <c:v>1.3929466376093866</c:v>
                </c:pt>
                <c:pt idx="65">
                  <c:v>1.4147114288220328</c:v>
                </c:pt>
                <c:pt idx="66">
                  <c:v>1.4364762200346799</c:v>
                </c:pt>
                <c:pt idx="67">
                  <c:v>1.4582410112473267</c:v>
                </c:pt>
                <c:pt idx="68">
                  <c:v>1.4800058024599729</c:v>
                </c:pt>
                <c:pt idx="69">
                  <c:v>1.5017705936726198</c:v>
                </c:pt>
                <c:pt idx="70">
                  <c:v>1.5235353848852666</c:v>
                </c:pt>
                <c:pt idx="71">
                  <c:v>1.545300176097913</c:v>
                </c:pt>
                <c:pt idx="72">
                  <c:v>1.5670649673105597</c:v>
                </c:pt>
                <c:pt idx="73">
                  <c:v>1.5888297585232063</c:v>
                </c:pt>
                <c:pt idx="74">
                  <c:v>1.6105945497358531</c:v>
                </c:pt>
                <c:pt idx="75">
                  <c:v>1.6323593409484998</c:v>
                </c:pt>
                <c:pt idx="76">
                  <c:v>1.6541241321611464</c:v>
                </c:pt>
                <c:pt idx="77">
                  <c:v>1.675888923373793</c:v>
                </c:pt>
                <c:pt idx="78">
                  <c:v>1.6976537145864399</c:v>
                </c:pt>
                <c:pt idx="79">
                  <c:v>1.7194185057990867</c:v>
                </c:pt>
                <c:pt idx="80">
                  <c:v>1.7411832970117329</c:v>
                </c:pt>
                <c:pt idx="81">
                  <c:v>1.76294808822438</c:v>
                </c:pt>
                <c:pt idx="82">
                  <c:v>1.7847128794370268</c:v>
                </c:pt>
                <c:pt idx="83">
                  <c:v>1.806477670649673</c:v>
                </c:pt>
                <c:pt idx="84">
                  <c:v>1.8282424618623196</c:v>
                </c:pt>
                <c:pt idx="85">
                  <c:v>1.8500072530749665</c:v>
                </c:pt>
                <c:pt idx="86">
                  <c:v>1.8717720442876131</c:v>
                </c:pt>
                <c:pt idx="87">
                  <c:v>1.8935368355002595</c:v>
                </c:pt>
                <c:pt idx="88">
                  <c:v>1.9153016267129062</c:v>
                </c:pt>
                <c:pt idx="89">
                  <c:v>1.937066417925553</c:v>
                </c:pt>
                <c:pt idx="90">
                  <c:v>1.9588312091381999</c:v>
                </c:pt>
                <c:pt idx="91">
                  <c:v>1.9805960003508463</c:v>
                </c:pt>
                <c:pt idx="92">
                  <c:v>2.0023607915634929</c:v>
                </c:pt>
                <c:pt idx="93">
                  <c:v>2.0241255827761395</c:v>
                </c:pt>
                <c:pt idx="94">
                  <c:v>2.0458903739887866</c:v>
                </c:pt>
                <c:pt idx="95">
                  <c:v>2.0676551652014332</c:v>
                </c:pt>
                <c:pt idx="96">
                  <c:v>2.0894199564140798</c:v>
                </c:pt>
                <c:pt idx="97">
                  <c:v>2.1111847476267265</c:v>
                </c:pt>
                <c:pt idx="98">
                  <c:v>2.1329495388393731</c:v>
                </c:pt>
                <c:pt idx="99">
                  <c:v>2.1547143300520197</c:v>
                </c:pt>
                <c:pt idx="100">
                  <c:v>2.1764791212646668</c:v>
                </c:pt>
                <c:pt idx="101">
                  <c:v>2.198243912477313</c:v>
                </c:pt>
                <c:pt idx="102">
                  <c:v>2.2200087036899596</c:v>
                </c:pt>
                <c:pt idx="103">
                  <c:v>2.2417734949026067</c:v>
                </c:pt>
                <c:pt idx="104">
                  <c:v>2.2635382861152529</c:v>
                </c:pt>
                <c:pt idx="105">
                  <c:v>2.2853030773278995</c:v>
                </c:pt>
                <c:pt idx="106">
                  <c:v>2.3070678685405461</c:v>
                </c:pt>
                <c:pt idx="107">
                  <c:v>2.3288326597531928</c:v>
                </c:pt>
                <c:pt idx="108">
                  <c:v>2.3505974509658398</c:v>
                </c:pt>
                <c:pt idx="109">
                  <c:v>2.3723622421784865</c:v>
                </c:pt>
                <c:pt idx="110">
                  <c:v>2.3941270333911326</c:v>
                </c:pt>
                <c:pt idx="111">
                  <c:v>2.4158918246037793</c:v>
                </c:pt>
                <c:pt idx="112">
                  <c:v>2.4376566158164263</c:v>
                </c:pt>
                <c:pt idx="113">
                  <c:v>2.459421407029073</c:v>
                </c:pt>
                <c:pt idx="114">
                  <c:v>2.4811861982417196</c:v>
                </c:pt>
                <c:pt idx="115">
                  <c:v>2.5029509894543667</c:v>
                </c:pt>
                <c:pt idx="116">
                  <c:v>2.5247157806670133</c:v>
                </c:pt>
                <c:pt idx="117">
                  <c:v>2.5464805718796595</c:v>
                </c:pt>
                <c:pt idx="118">
                  <c:v>2.5682453630923061</c:v>
                </c:pt>
                <c:pt idx="119">
                  <c:v>2.5900101543049536</c:v>
                </c:pt>
                <c:pt idx="120">
                  <c:v>2.6117749455175998</c:v>
                </c:pt>
                <c:pt idx="121">
                  <c:v>2.6335397367302464</c:v>
                </c:pt>
                <c:pt idx="122">
                  <c:v>2.6553045279428935</c:v>
                </c:pt>
                <c:pt idx="123">
                  <c:v>2.6770693191555393</c:v>
                </c:pt>
                <c:pt idx="124">
                  <c:v>2.6988341103681859</c:v>
                </c:pt>
                <c:pt idx="125">
                  <c:v>2.7205989015808334</c:v>
                </c:pt>
                <c:pt idx="126">
                  <c:v>2.7423636927934796</c:v>
                </c:pt>
                <c:pt idx="127">
                  <c:v>2.7641284840061262</c:v>
                </c:pt>
                <c:pt idx="128">
                  <c:v>2.7858932752187733</c:v>
                </c:pt>
                <c:pt idx="129">
                  <c:v>2.8076580664314199</c:v>
                </c:pt>
                <c:pt idx="130">
                  <c:v>2.8294228576440656</c:v>
                </c:pt>
                <c:pt idx="131">
                  <c:v>2.8511876488567127</c:v>
                </c:pt>
                <c:pt idx="132">
                  <c:v>2.8729524400693598</c:v>
                </c:pt>
                <c:pt idx="133">
                  <c:v>2.8947172312820064</c:v>
                </c:pt>
                <c:pt idx="134">
                  <c:v>2.9164820224946535</c:v>
                </c:pt>
                <c:pt idx="135">
                  <c:v>2.9382468137072997</c:v>
                </c:pt>
                <c:pt idx="136">
                  <c:v>2.9600116049199459</c:v>
                </c:pt>
                <c:pt idx="137">
                  <c:v>2.9817763961325934</c:v>
                </c:pt>
                <c:pt idx="138">
                  <c:v>3.0035411873452396</c:v>
                </c:pt>
                <c:pt idx="139">
                  <c:v>3.0253059785578857</c:v>
                </c:pt>
                <c:pt idx="140">
                  <c:v>3.0470707697705333</c:v>
                </c:pt>
                <c:pt idx="141">
                  <c:v>3.0688355609831794</c:v>
                </c:pt>
                <c:pt idx="142">
                  <c:v>3.0906003521958261</c:v>
                </c:pt>
                <c:pt idx="143">
                  <c:v>3.1123651434084731</c:v>
                </c:pt>
                <c:pt idx="144">
                  <c:v>3.1341299346211193</c:v>
                </c:pt>
                <c:pt idx="145">
                  <c:v>3.155894725833766</c:v>
                </c:pt>
                <c:pt idx="146">
                  <c:v>3.1776595170464126</c:v>
                </c:pt>
                <c:pt idx="147">
                  <c:v>3.1994243082590597</c:v>
                </c:pt>
                <c:pt idx="148">
                  <c:v>3.2211890994717063</c:v>
                </c:pt>
                <c:pt idx="149">
                  <c:v>3.2429538906843534</c:v>
                </c:pt>
                <c:pt idx="150">
                  <c:v>3.2647186818969995</c:v>
                </c:pt>
              </c:numCache>
            </c:numRef>
          </c:yVal>
          <c:smooth val="1"/>
          <c:extLst>
            <c:ext xmlns:c16="http://schemas.microsoft.com/office/drawing/2014/chart" uri="{C3380CC4-5D6E-409C-BE32-E72D297353CC}">
              <c16:uniqueId val="{00000001-C391-4527-8BBE-DDCDE94A24A4}"/>
            </c:ext>
          </c:extLst>
        </c:ser>
        <c:ser>
          <c:idx val="3"/>
          <c:order val="2"/>
          <c:tx>
            <c:v>RS</c:v>
          </c:tx>
          <c:spPr>
            <a:ln>
              <a:solidFill>
                <a:schemeClr val="accent5">
                  <a:lumMod val="75000"/>
                </a:schemeClr>
              </a:solidFill>
              <a:prstDash val="lgDashDotDot"/>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Eff_vs_IOUT!$BU$7:$BU$157</c:f>
              <c:numCache>
                <c:formatCode>General</c:formatCode>
                <c:ptCount val="151"/>
                <c:pt idx="0">
                  <c:v>0</c:v>
                </c:pt>
                <c:pt idx="1">
                  <c:v>4.1056019142373404E-5</c:v>
                </c:pt>
                <c:pt idx="2">
                  <c:v>1.1612395817638769E-4</c:v>
                </c:pt>
                <c:pt idx="3">
                  <c:v>2.1333333333333333E-4</c:v>
                </c:pt>
                <c:pt idx="4">
                  <c:v>3.2844815313898723E-4</c:v>
                </c:pt>
                <c:pt idx="5">
                  <c:v>4.5902024843939751E-4</c:v>
                </c:pt>
                <c:pt idx="6">
                  <c:v>6.0339778661252055E-4</c:v>
                </c:pt>
                <c:pt idx="7">
                  <c:v>7.6036811531119113E-4</c:v>
                </c:pt>
                <c:pt idx="8">
                  <c:v>9.2899166541110154E-4</c:v>
                </c:pt>
                <c:pt idx="9">
                  <c:v>1.1085125168440813E-3</c:v>
                </c:pt>
                <c:pt idx="10">
                  <c:v>1.2983053214937271E-3</c:v>
                </c:pt>
                <c:pt idx="11">
                  <c:v>1.4978415196899156E-3</c:v>
                </c:pt>
                <c:pt idx="12">
                  <c:v>1.7066666666666667E-3</c:v>
                </c:pt>
                <c:pt idx="13">
                  <c:v>1.9243845683953585E-3</c:v>
                </c:pt>
                <c:pt idx="14">
                  <c:v>2.1506458021383116E-3</c:v>
                </c:pt>
                <c:pt idx="15">
                  <c:v>2.385139175999776E-3</c:v>
                </c:pt>
                <c:pt idx="16">
                  <c:v>2.6275852251118979E-3</c:v>
                </c:pt>
                <c:pt idx="17">
                  <c:v>2.877731159353563E-3</c:v>
                </c:pt>
                <c:pt idx="18">
                  <c:v>3.1372799999999979E-3</c:v>
                </c:pt>
                <c:pt idx="19">
                  <c:v>3.4113540740740725E-3</c:v>
                </c:pt>
                <c:pt idx="20">
                  <c:v>3.7002429629629636E-3</c:v>
                </c:pt>
                <c:pt idx="21">
                  <c:v>4.0039466666666676E-3</c:v>
                </c:pt>
                <c:pt idx="22">
                  <c:v>4.3224651851851833E-3</c:v>
                </c:pt>
                <c:pt idx="23">
                  <c:v>4.6557985185185198E-3</c:v>
                </c:pt>
                <c:pt idx="24">
                  <c:v>5.0039466666666659E-3</c:v>
                </c:pt>
                <c:pt idx="25">
                  <c:v>5.366909629629631E-3</c:v>
                </c:pt>
                <c:pt idx="26">
                  <c:v>5.7446874074074091E-3</c:v>
                </c:pt>
                <c:pt idx="27">
                  <c:v>6.1372799999999958E-3</c:v>
                </c:pt>
                <c:pt idx="28">
                  <c:v>6.5446874074074051E-3</c:v>
                </c:pt>
                <c:pt idx="29">
                  <c:v>6.9669096296296282E-3</c:v>
                </c:pt>
                <c:pt idx="30">
                  <c:v>7.4039466666666661E-3</c:v>
                </c:pt>
                <c:pt idx="31">
                  <c:v>7.8557985185185187E-3</c:v>
                </c:pt>
                <c:pt idx="32">
                  <c:v>8.3224651851851843E-3</c:v>
                </c:pt>
                <c:pt idx="33">
                  <c:v>8.8039466666666663E-3</c:v>
                </c:pt>
                <c:pt idx="34">
                  <c:v>9.3002429629629579E-3</c:v>
                </c:pt>
                <c:pt idx="35">
                  <c:v>9.8113540740740711E-3</c:v>
                </c:pt>
                <c:pt idx="36">
                  <c:v>1.0337279999999996E-2</c:v>
                </c:pt>
                <c:pt idx="37">
                  <c:v>1.0878020740740735E-2</c:v>
                </c:pt>
                <c:pt idx="38">
                  <c:v>1.1433576296296289E-2</c:v>
                </c:pt>
                <c:pt idx="39">
                  <c:v>1.2003946666666669E-2</c:v>
                </c:pt>
                <c:pt idx="40">
                  <c:v>1.2589131851851853E-2</c:v>
                </c:pt>
                <c:pt idx="41">
                  <c:v>1.3189131851851846E-2</c:v>
                </c:pt>
                <c:pt idx="42">
                  <c:v>1.3803946666666662E-2</c:v>
                </c:pt>
                <c:pt idx="43">
                  <c:v>1.4433576296296286E-2</c:v>
                </c:pt>
                <c:pt idx="44">
                  <c:v>1.5078020740740727E-2</c:v>
                </c:pt>
                <c:pt idx="45">
                  <c:v>1.5737280000000003E-2</c:v>
                </c:pt>
                <c:pt idx="46">
                  <c:v>1.6411354074074066E-2</c:v>
                </c:pt>
                <c:pt idx="47">
                  <c:v>1.7100242962962951E-2</c:v>
                </c:pt>
                <c:pt idx="48">
                  <c:v>1.7803946666666667E-2</c:v>
                </c:pt>
                <c:pt idx="49">
                  <c:v>1.8522465185185188E-2</c:v>
                </c:pt>
                <c:pt idx="50">
                  <c:v>1.925579851851851E-2</c:v>
                </c:pt>
                <c:pt idx="51">
                  <c:v>2.0003946666666661E-2</c:v>
                </c:pt>
                <c:pt idx="52">
                  <c:v>2.0766909629629623E-2</c:v>
                </c:pt>
                <c:pt idx="53">
                  <c:v>2.1544687407407396E-2</c:v>
                </c:pt>
                <c:pt idx="54">
                  <c:v>2.2337280000000001E-2</c:v>
                </c:pt>
                <c:pt idx="55">
                  <c:v>2.3144687407407407E-2</c:v>
                </c:pt>
                <c:pt idx="56">
                  <c:v>2.3966909629629624E-2</c:v>
                </c:pt>
                <c:pt idx="57">
                  <c:v>2.4803946666666653E-2</c:v>
                </c:pt>
                <c:pt idx="58">
                  <c:v>2.565579851851852E-2</c:v>
                </c:pt>
                <c:pt idx="59">
                  <c:v>2.6522465185185185E-2</c:v>
                </c:pt>
                <c:pt idx="60">
                  <c:v>2.7403946666666654E-2</c:v>
                </c:pt>
                <c:pt idx="61">
                  <c:v>2.8300242962962945E-2</c:v>
                </c:pt>
                <c:pt idx="62">
                  <c:v>2.9211354074074068E-2</c:v>
                </c:pt>
                <c:pt idx="63">
                  <c:v>3.0137279999999999E-2</c:v>
                </c:pt>
                <c:pt idx="64">
                  <c:v>3.1078020740740737E-2</c:v>
                </c:pt>
                <c:pt idx="65">
                  <c:v>3.203357629629628E-2</c:v>
                </c:pt>
                <c:pt idx="66">
                  <c:v>3.3003946666666679E-2</c:v>
                </c:pt>
                <c:pt idx="67">
                  <c:v>3.3989131851851852E-2</c:v>
                </c:pt>
                <c:pt idx="68">
                  <c:v>3.4989131851851846E-2</c:v>
                </c:pt>
                <c:pt idx="69">
                  <c:v>3.6003946666666647E-2</c:v>
                </c:pt>
                <c:pt idx="70">
                  <c:v>3.7033576296296285E-2</c:v>
                </c:pt>
                <c:pt idx="71">
                  <c:v>3.8078020740740716E-2</c:v>
                </c:pt>
                <c:pt idx="72">
                  <c:v>3.9137279999999976E-2</c:v>
                </c:pt>
                <c:pt idx="73">
                  <c:v>4.0211354074074057E-2</c:v>
                </c:pt>
                <c:pt idx="74">
                  <c:v>4.130024296296296E-2</c:v>
                </c:pt>
                <c:pt idx="75">
                  <c:v>4.240394666666665E-2</c:v>
                </c:pt>
                <c:pt idx="76">
                  <c:v>4.3522465185185176E-2</c:v>
                </c:pt>
                <c:pt idx="77">
                  <c:v>4.4655798518518496E-2</c:v>
                </c:pt>
                <c:pt idx="78">
                  <c:v>4.5803946666666651E-2</c:v>
                </c:pt>
                <c:pt idx="79">
                  <c:v>4.6966909629629607E-2</c:v>
                </c:pt>
                <c:pt idx="80">
                  <c:v>4.8144687407407384E-2</c:v>
                </c:pt>
                <c:pt idx="81">
                  <c:v>4.933727999999999E-2</c:v>
                </c:pt>
                <c:pt idx="82">
                  <c:v>5.0544687407407411E-2</c:v>
                </c:pt>
                <c:pt idx="83">
                  <c:v>5.1766909629629633E-2</c:v>
                </c:pt>
                <c:pt idx="84">
                  <c:v>5.3003946666666656E-2</c:v>
                </c:pt>
                <c:pt idx="85">
                  <c:v>5.42557985185185E-2</c:v>
                </c:pt>
                <c:pt idx="86">
                  <c:v>5.5522465185185152E-2</c:v>
                </c:pt>
                <c:pt idx="87">
                  <c:v>5.680394666666664E-2</c:v>
                </c:pt>
                <c:pt idx="88">
                  <c:v>5.8100242962962935E-2</c:v>
                </c:pt>
                <c:pt idx="89">
                  <c:v>5.9411354074074059E-2</c:v>
                </c:pt>
                <c:pt idx="90">
                  <c:v>6.073727999999997E-2</c:v>
                </c:pt>
                <c:pt idx="91">
                  <c:v>6.2078020740740703E-2</c:v>
                </c:pt>
                <c:pt idx="92">
                  <c:v>6.3433576296296243E-2</c:v>
                </c:pt>
                <c:pt idx="93">
                  <c:v>6.480394666666664E-2</c:v>
                </c:pt>
                <c:pt idx="94">
                  <c:v>6.6189131851851837E-2</c:v>
                </c:pt>
                <c:pt idx="95">
                  <c:v>6.7589131851851808E-2</c:v>
                </c:pt>
                <c:pt idx="96">
                  <c:v>6.9003946666666677E-2</c:v>
                </c:pt>
                <c:pt idx="97">
                  <c:v>7.0433576296296277E-2</c:v>
                </c:pt>
                <c:pt idx="98">
                  <c:v>7.1878020740740706E-2</c:v>
                </c:pt>
                <c:pt idx="99">
                  <c:v>7.3337279999999991E-2</c:v>
                </c:pt>
                <c:pt idx="100">
                  <c:v>7.4811354074074063E-2</c:v>
                </c:pt>
                <c:pt idx="101">
                  <c:v>7.6300242962962936E-2</c:v>
                </c:pt>
                <c:pt idx="102">
                  <c:v>7.7803946666666637E-2</c:v>
                </c:pt>
                <c:pt idx="103">
                  <c:v>7.9322465185185154E-2</c:v>
                </c:pt>
                <c:pt idx="104">
                  <c:v>8.0855798518518499E-2</c:v>
                </c:pt>
                <c:pt idx="105">
                  <c:v>8.240394666666663E-2</c:v>
                </c:pt>
                <c:pt idx="106">
                  <c:v>8.3966909629629577E-2</c:v>
                </c:pt>
                <c:pt idx="107">
                  <c:v>8.5544687407407366E-2</c:v>
                </c:pt>
                <c:pt idx="108">
                  <c:v>8.713727999999997E-2</c:v>
                </c:pt>
                <c:pt idx="109">
                  <c:v>8.8744687407407388E-2</c:v>
                </c:pt>
                <c:pt idx="110">
                  <c:v>9.0366909629629608E-2</c:v>
                </c:pt>
                <c:pt idx="111">
                  <c:v>9.2003946666666628E-2</c:v>
                </c:pt>
                <c:pt idx="112">
                  <c:v>9.365579851851849E-2</c:v>
                </c:pt>
                <c:pt idx="113">
                  <c:v>9.532246518518514E-2</c:v>
                </c:pt>
                <c:pt idx="114">
                  <c:v>9.7003946666666632E-2</c:v>
                </c:pt>
                <c:pt idx="115">
                  <c:v>9.8700242962962939E-2</c:v>
                </c:pt>
                <c:pt idx="116">
                  <c:v>0.10041135407407407</c:v>
                </c:pt>
                <c:pt idx="117">
                  <c:v>0.10213727999999998</c:v>
                </c:pt>
                <c:pt idx="118">
                  <c:v>0.10387802074074071</c:v>
                </c:pt>
                <c:pt idx="119">
                  <c:v>0.10563357629629624</c:v>
                </c:pt>
                <c:pt idx="120">
                  <c:v>0.10740394666666664</c:v>
                </c:pt>
                <c:pt idx="121">
                  <c:v>0.10918913185185182</c:v>
                </c:pt>
                <c:pt idx="122">
                  <c:v>0.11098913185185183</c:v>
                </c:pt>
                <c:pt idx="123">
                  <c:v>0.11280394666666661</c:v>
                </c:pt>
                <c:pt idx="124">
                  <c:v>0.11463357629629622</c:v>
                </c:pt>
                <c:pt idx="125">
                  <c:v>0.11647802074074071</c:v>
                </c:pt>
                <c:pt idx="126">
                  <c:v>0.11833728</c:v>
                </c:pt>
                <c:pt idx="127">
                  <c:v>0.12021135407407406</c:v>
                </c:pt>
                <c:pt idx="128">
                  <c:v>0.12210024296296293</c:v>
                </c:pt>
                <c:pt idx="129">
                  <c:v>0.12400394666666666</c:v>
                </c:pt>
                <c:pt idx="130">
                  <c:v>0.12592246518518516</c:v>
                </c:pt>
                <c:pt idx="131">
                  <c:v>0.1278557985185185</c:v>
                </c:pt>
                <c:pt idx="132">
                  <c:v>0.1298039466666667</c:v>
                </c:pt>
                <c:pt idx="133">
                  <c:v>0.13176690962962961</c:v>
                </c:pt>
                <c:pt idx="134">
                  <c:v>0.13374468740740739</c:v>
                </c:pt>
                <c:pt idx="135">
                  <c:v>0.13573727999999999</c:v>
                </c:pt>
                <c:pt idx="136">
                  <c:v>0.13774468740740739</c:v>
                </c:pt>
                <c:pt idx="137">
                  <c:v>0.13976690962962962</c:v>
                </c:pt>
                <c:pt idx="138">
                  <c:v>0.1418039466666666</c:v>
                </c:pt>
                <c:pt idx="139">
                  <c:v>0.14385579851851849</c:v>
                </c:pt>
                <c:pt idx="140">
                  <c:v>0.14592246518518517</c:v>
                </c:pt>
                <c:pt idx="141">
                  <c:v>0.14800394666666669</c:v>
                </c:pt>
                <c:pt idx="142">
                  <c:v>0.15010024296296298</c:v>
                </c:pt>
                <c:pt idx="143">
                  <c:v>0.15221135407407402</c:v>
                </c:pt>
                <c:pt idx="144">
                  <c:v>0.15433728000000002</c:v>
                </c:pt>
                <c:pt idx="145">
                  <c:v>0.15647802074074071</c:v>
                </c:pt>
                <c:pt idx="146">
                  <c:v>0.15863357629629626</c:v>
                </c:pt>
                <c:pt idx="147">
                  <c:v>0.16080394666666672</c:v>
                </c:pt>
                <c:pt idx="148">
                  <c:v>0.16298913185185185</c:v>
                </c:pt>
                <c:pt idx="149">
                  <c:v>0.16518913185185183</c:v>
                </c:pt>
                <c:pt idx="150">
                  <c:v>0.16740394666666669</c:v>
                </c:pt>
              </c:numCache>
            </c:numRef>
          </c:yVal>
          <c:smooth val="1"/>
          <c:extLst>
            <c:ext xmlns:c16="http://schemas.microsoft.com/office/drawing/2014/chart" uri="{C3380CC4-5D6E-409C-BE32-E72D297353CC}">
              <c16:uniqueId val="{00000002-C391-4527-8BBE-DDCDE94A24A4}"/>
            </c:ext>
          </c:extLst>
        </c:ser>
        <c:ser>
          <c:idx val="2"/>
          <c:order val="3"/>
          <c:tx>
            <c:v>D1</c:v>
          </c:tx>
          <c:spPr>
            <a:ln>
              <a:solidFill>
                <a:schemeClr val="bg2">
                  <a:lumMod val="50000"/>
                </a:schemeClr>
              </a:solidFill>
              <a:prstDash val="sysDash"/>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Eff_vs_IOUT!$AY$8:$AY$157</c:f>
              <c:numCache>
                <c:formatCode>General</c:formatCode>
                <c:ptCount val="150"/>
                <c:pt idx="0">
                  <c:v>4.0010000000000003</c:v>
                </c:pt>
                <c:pt idx="1">
                  <c:v>4.0019999999999998</c:v>
                </c:pt>
                <c:pt idx="2">
                  <c:v>4.0030000000000001</c:v>
                </c:pt>
                <c:pt idx="3">
                  <c:v>4.0039999999999996</c:v>
                </c:pt>
                <c:pt idx="4">
                  <c:v>4.0049999999999999</c:v>
                </c:pt>
                <c:pt idx="5">
                  <c:v>4.0060000000000002</c:v>
                </c:pt>
                <c:pt idx="6">
                  <c:v>4.0069999999999997</c:v>
                </c:pt>
                <c:pt idx="7">
                  <c:v>4.008</c:v>
                </c:pt>
                <c:pt idx="8">
                  <c:v>4.0090000000000003</c:v>
                </c:pt>
                <c:pt idx="9">
                  <c:v>4.01</c:v>
                </c:pt>
                <c:pt idx="10">
                  <c:v>4.0110000000000001</c:v>
                </c:pt>
                <c:pt idx="11">
                  <c:v>4.0119999999999996</c:v>
                </c:pt>
                <c:pt idx="12">
                  <c:v>4.0129999999999999</c:v>
                </c:pt>
                <c:pt idx="13">
                  <c:v>4.0140000000000002</c:v>
                </c:pt>
                <c:pt idx="14">
                  <c:v>4.0149999999999997</c:v>
                </c:pt>
                <c:pt idx="15">
                  <c:v>4.016</c:v>
                </c:pt>
                <c:pt idx="16">
                  <c:v>4.0170000000000003</c:v>
                </c:pt>
                <c:pt idx="17">
                  <c:v>4.0179999999999998</c:v>
                </c:pt>
                <c:pt idx="18">
                  <c:v>4.0190000000000001</c:v>
                </c:pt>
                <c:pt idx="19">
                  <c:v>4.0199999999999996</c:v>
                </c:pt>
                <c:pt idx="20">
                  <c:v>4.0209999999999999</c:v>
                </c:pt>
                <c:pt idx="21">
                  <c:v>4.0220000000000002</c:v>
                </c:pt>
                <c:pt idx="22">
                  <c:v>4.0229999999999997</c:v>
                </c:pt>
                <c:pt idx="23">
                  <c:v>4.024</c:v>
                </c:pt>
                <c:pt idx="24">
                  <c:v>4.0250000000000004</c:v>
                </c:pt>
                <c:pt idx="25">
                  <c:v>4.0259999999999998</c:v>
                </c:pt>
                <c:pt idx="26">
                  <c:v>4.0270000000000001</c:v>
                </c:pt>
                <c:pt idx="27">
                  <c:v>4.0279999999999996</c:v>
                </c:pt>
                <c:pt idx="28">
                  <c:v>4.0289999999999999</c:v>
                </c:pt>
                <c:pt idx="29">
                  <c:v>4.03</c:v>
                </c:pt>
                <c:pt idx="30">
                  <c:v>4.0309999999999997</c:v>
                </c:pt>
                <c:pt idx="31">
                  <c:v>4.032</c:v>
                </c:pt>
                <c:pt idx="32">
                  <c:v>4.0330000000000004</c:v>
                </c:pt>
                <c:pt idx="33">
                  <c:v>4.0339999999999998</c:v>
                </c:pt>
                <c:pt idx="34">
                  <c:v>4.0350000000000001</c:v>
                </c:pt>
                <c:pt idx="35">
                  <c:v>4.0359999999999996</c:v>
                </c:pt>
                <c:pt idx="36">
                  <c:v>4.0369999999999999</c:v>
                </c:pt>
                <c:pt idx="37">
                  <c:v>4.0380000000000003</c:v>
                </c:pt>
                <c:pt idx="38">
                  <c:v>4.0389999999999997</c:v>
                </c:pt>
                <c:pt idx="39">
                  <c:v>4.04</c:v>
                </c:pt>
                <c:pt idx="40">
                  <c:v>4.0410000000000004</c:v>
                </c:pt>
                <c:pt idx="41">
                  <c:v>4.0419999999999998</c:v>
                </c:pt>
                <c:pt idx="42">
                  <c:v>4.0430000000000001</c:v>
                </c:pt>
                <c:pt idx="43">
                  <c:v>4.0439999999999996</c:v>
                </c:pt>
                <c:pt idx="44">
                  <c:v>4.0449999999999999</c:v>
                </c:pt>
                <c:pt idx="45">
                  <c:v>4.0460000000000003</c:v>
                </c:pt>
                <c:pt idx="46">
                  <c:v>4.0469999999999997</c:v>
                </c:pt>
                <c:pt idx="47">
                  <c:v>4.048</c:v>
                </c:pt>
                <c:pt idx="48">
                  <c:v>4.0490000000000004</c:v>
                </c:pt>
                <c:pt idx="49">
                  <c:v>4.05</c:v>
                </c:pt>
                <c:pt idx="50">
                  <c:v>4.0510000000000002</c:v>
                </c:pt>
                <c:pt idx="51">
                  <c:v>4.0519999999999996</c:v>
                </c:pt>
                <c:pt idx="52">
                  <c:v>4.0529999999999999</c:v>
                </c:pt>
                <c:pt idx="53">
                  <c:v>4.0540000000000003</c:v>
                </c:pt>
                <c:pt idx="54">
                  <c:v>4.0549999999999997</c:v>
                </c:pt>
                <c:pt idx="55">
                  <c:v>4.056</c:v>
                </c:pt>
                <c:pt idx="56">
                  <c:v>4.0570000000000004</c:v>
                </c:pt>
                <c:pt idx="57">
                  <c:v>4.0579999999999998</c:v>
                </c:pt>
                <c:pt idx="58">
                  <c:v>4.0590000000000002</c:v>
                </c:pt>
                <c:pt idx="59">
                  <c:v>4.0599999999999996</c:v>
                </c:pt>
                <c:pt idx="60">
                  <c:v>4.0609999999999999</c:v>
                </c:pt>
                <c:pt idx="61">
                  <c:v>4.0620000000000003</c:v>
                </c:pt>
                <c:pt idx="62">
                  <c:v>4.0629999999999997</c:v>
                </c:pt>
                <c:pt idx="63">
                  <c:v>4.0640000000000001</c:v>
                </c:pt>
                <c:pt idx="64">
                  <c:v>4.0650000000000004</c:v>
                </c:pt>
                <c:pt idx="65">
                  <c:v>4.0659999999999998</c:v>
                </c:pt>
                <c:pt idx="66">
                  <c:v>4.0670000000000002</c:v>
                </c:pt>
                <c:pt idx="67">
                  <c:v>4.0679999999999996</c:v>
                </c:pt>
                <c:pt idx="68">
                  <c:v>4.069</c:v>
                </c:pt>
                <c:pt idx="69">
                  <c:v>4.07</c:v>
                </c:pt>
                <c:pt idx="70">
                  <c:v>4.0709999999999997</c:v>
                </c:pt>
                <c:pt idx="71">
                  <c:v>4.0720000000000001</c:v>
                </c:pt>
                <c:pt idx="72">
                  <c:v>4.0730000000000004</c:v>
                </c:pt>
                <c:pt idx="73">
                  <c:v>4.0739999999999998</c:v>
                </c:pt>
                <c:pt idx="74">
                  <c:v>4.0750000000000002</c:v>
                </c:pt>
                <c:pt idx="75">
                  <c:v>4.0759999999999996</c:v>
                </c:pt>
                <c:pt idx="76">
                  <c:v>4.077</c:v>
                </c:pt>
                <c:pt idx="77">
                  <c:v>4.0780000000000003</c:v>
                </c:pt>
                <c:pt idx="78">
                  <c:v>4.0789999999999997</c:v>
                </c:pt>
                <c:pt idx="79">
                  <c:v>4.08</c:v>
                </c:pt>
                <c:pt idx="80">
                  <c:v>4.0810000000000004</c:v>
                </c:pt>
                <c:pt idx="81">
                  <c:v>4.0819999999999999</c:v>
                </c:pt>
                <c:pt idx="82">
                  <c:v>4.0830000000000002</c:v>
                </c:pt>
                <c:pt idx="83">
                  <c:v>4.0839999999999996</c:v>
                </c:pt>
                <c:pt idx="84">
                  <c:v>4.085</c:v>
                </c:pt>
                <c:pt idx="85">
                  <c:v>4.0860000000000003</c:v>
                </c:pt>
                <c:pt idx="86">
                  <c:v>4.0869999999999997</c:v>
                </c:pt>
                <c:pt idx="87">
                  <c:v>4.0880000000000001</c:v>
                </c:pt>
                <c:pt idx="88">
                  <c:v>4.0890000000000004</c:v>
                </c:pt>
                <c:pt idx="89">
                  <c:v>4.09</c:v>
                </c:pt>
                <c:pt idx="90">
                  <c:v>4.0910000000000002</c:v>
                </c:pt>
                <c:pt idx="91">
                  <c:v>4.0919999999999996</c:v>
                </c:pt>
                <c:pt idx="92">
                  <c:v>4.093</c:v>
                </c:pt>
                <c:pt idx="93">
                  <c:v>4.0940000000000003</c:v>
                </c:pt>
                <c:pt idx="94">
                  <c:v>4.0949999999999998</c:v>
                </c:pt>
                <c:pt idx="95">
                  <c:v>4.0960000000000001</c:v>
                </c:pt>
                <c:pt idx="96">
                  <c:v>4.0970000000000004</c:v>
                </c:pt>
                <c:pt idx="97">
                  <c:v>4.0979999999999999</c:v>
                </c:pt>
                <c:pt idx="98">
                  <c:v>4.0990000000000002</c:v>
                </c:pt>
                <c:pt idx="99">
                  <c:v>4.0999999999999996</c:v>
                </c:pt>
                <c:pt idx="100">
                  <c:v>4.101</c:v>
                </c:pt>
                <c:pt idx="101">
                  <c:v>4.1020000000000003</c:v>
                </c:pt>
                <c:pt idx="102">
                  <c:v>4.1029999999999998</c:v>
                </c:pt>
                <c:pt idx="103">
                  <c:v>4.1040000000000001</c:v>
                </c:pt>
                <c:pt idx="104">
                  <c:v>4.1050000000000004</c:v>
                </c:pt>
                <c:pt idx="105">
                  <c:v>4.1059999999999999</c:v>
                </c:pt>
                <c:pt idx="106">
                  <c:v>4.1070000000000002</c:v>
                </c:pt>
                <c:pt idx="107">
                  <c:v>4.1079999999999997</c:v>
                </c:pt>
                <c:pt idx="108">
                  <c:v>4.109</c:v>
                </c:pt>
                <c:pt idx="109">
                  <c:v>4.1100000000000003</c:v>
                </c:pt>
                <c:pt idx="110">
                  <c:v>4.1109999999999998</c:v>
                </c:pt>
                <c:pt idx="111">
                  <c:v>4.1120000000000001</c:v>
                </c:pt>
                <c:pt idx="112">
                  <c:v>4.1129999999999995</c:v>
                </c:pt>
                <c:pt idx="113">
                  <c:v>4.1139999999999999</c:v>
                </c:pt>
                <c:pt idx="114">
                  <c:v>4.1150000000000002</c:v>
                </c:pt>
                <c:pt idx="115">
                  <c:v>4.1159999999999997</c:v>
                </c:pt>
                <c:pt idx="116">
                  <c:v>4.117</c:v>
                </c:pt>
                <c:pt idx="117">
                  <c:v>4.1180000000000003</c:v>
                </c:pt>
                <c:pt idx="118">
                  <c:v>4.1189999999999998</c:v>
                </c:pt>
                <c:pt idx="119">
                  <c:v>4.12</c:v>
                </c:pt>
                <c:pt idx="120">
                  <c:v>4.1210000000000004</c:v>
                </c:pt>
                <c:pt idx="121">
                  <c:v>4.1219999999999999</c:v>
                </c:pt>
                <c:pt idx="122">
                  <c:v>4.1230000000000002</c:v>
                </c:pt>
                <c:pt idx="123">
                  <c:v>4.1239999999999997</c:v>
                </c:pt>
                <c:pt idx="124">
                  <c:v>4.125</c:v>
                </c:pt>
                <c:pt idx="125">
                  <c:v>4.1260000000000003</c:v>
                </c:pt>
                <c:pt idx="126">
                  <c:v>4.1269999999999998</c:v>
                </c:pt>
                <c:pt idx="127">
                  <c:v>4.1280000000000001</c:v>
                </c:pt>
                <c:pt idx="128">
                  <c:v>4.1289999999999996</c:v>
                </c:pt>
                <c:pt idx="129">
                  <c:v>4.13</c:v>
                </c:pt>
                <c:pt idx="130">
                  <c:v>4.1310000000000002</c:v>
                </c:pt>
                <c:pt idx="131">
                  <c:v>4.1319999999999997</c:v>
                </c:pt>
                <c:pt idx="132">
                  <c:v>4.133</c:v>
                </c:pt>
                <c:pt idx="133">
                  <c:v>4.1340000000000003</c:v>
                </c:pt>
                <c:pt idx="134">
                  <c:v>4.1349999999999998</c:v>
                </c:pt>
                <c:pt idx="135">
                  <c:v>4.1360000000000001</c:v>
                </c:pt>
                <c:pt idx="136">
                  <c:v>4.1369999999999996</c:v>
                </c:pt>
                <c:pt idx="137">
                  <c:v>4.1379999999999999</c:v>
                </c:pt>
                <c:pt idx="138">
                  <c:v>4.1390000000000002</c:v>
                </c:pt>
                <c:pt idx="139">
                  <c:v>4.1399999999999997</c:v>
                </c:pt>
                <c:pt idx="140">
                  <c:v>4.141</c:v>
                </c:pt>
                <c:pt idx="141">
                  <c:v>4.1420000000000003</c:v>
                </c:pt>
                <c:pt idx="142">
                  <c:v>4.1429999999999998</c:v>
                </c:pt>
                <c:pt idx="143">
                  <c:v>4.1440000000000001</c:v>
                </c:pt>
                <c:pt idx="144">
                  <c:v>4.1449999999999996</c:v>
                </c:pt>
                <c:pt idx="145">
                  <c:v>4.1459999999999999</c:v>
                </c:pt>
                <c:pt idx="146">
                  <c:v>4.1470000000000002</c:v>
                </c:pt>
                <c:pt idx="147">
                  <c:v>4.1479999999999997</c:v>
                </c:pt>
                <c:pt idx="148">
                  <c:v>4.149</c:v>
                </c:pt>
                <c:pt idx="149">
                  <c:v>4.1500000000000004</c:v>
                </c:pt>
              </c:numCache>
            </c:numRef>
          </c:yVal>
          <c:smooth val="1"/>
          <c:extLst>
            <c:ext xmlns:c16="http://schemas.microsoft.com/office/drawing/2014/chart" uri="{C3380CC4-5D6E-409C-BE32-E72D297353CC}">
              <c16:uniqueId val="{00000003-C391-4527-8BBE-DDCDE94A24A4}"/>
            </c:ext>
          </c:extLst>
        </c:ser>
        <c:ser>
          <c:idx val="4"/>
          <c:order val="4"/>
          <c:tx>
            <c:v>D2</c:v>
          </c:tx>
          <c:marker>
            <c:symbol val="none"/>
          </c:marker>
          <c:xVal>
            <c:numRef>
              <c:f>Eff_vs_IOUT!$R$8:$R$157</c:f>
              <c:numCache>
                <c:formatCode>General</c:formatCode>
                <c:ptCount val="150"/>
                <c:pt idx="0">
                  <c:v>0.53333333333333333</c:v>
                </c:pt>
                <c:pt idx="1">
                  <c:v>1.0666666666666667</c:v>
                </c:pt>
                <c:pt idx="2">
                  <c:v>1.6</c:v>
                </c:pt>
                <c:pt idx="3">
                  <c:v>2.1333333333333333</c:v>
                </c:pt>
                <c:pt idx="4">
                  <c:v>2.6666666666666665</c:v>
                </c:pt>
                <c:pt idx="5">
                  <c:v>3.2</c:v>
                </c:pt>
                <c:pt idx="6">
                  <c:v>3.7333333333333334</c:v>
                </c:pt>
                <c:pt idx="7">
                  <c:v>4.2666666666666666</c:v>
                </c:pt>
                <c:pt idx="8">
                  <c:v>4.8</c:v>
                </c:pt>
                <c:pt idx="9">
                  <c:v>5.333333333333333</c:v>
                </c:pt>
                <c:pt idx="10">
                  <c:v>5.8666666666666663</c:v>
                </c:pt>
                <c:pt idx="11">
                  <c:v>6.4</c:v>
                </c:pt>
                <c:pt idx="12">
                  <c:v>6.9333333333333336</c:v>
                </c:pt>
                <c:pt idx="13">
                  <c:v>7.4666666666666668</c:v>
                </c:pt>
                <c:pt idx="14">
                  <c:v>8</c:v>
                </c:pt>
                <c:pt idx="15">
                  <c:v>8.5333333333333332</c:v>
                </c:pt>
                <c:pt idx="16">
                  <c:v>9.0666666666666664</c:v>
                </c:pt>
                <c:pt idx="17">
                  <c:v>9.6</c:v>
                </c:pt>
                <c:pt idx="18">
                  <c:v>10.133333333333333</c:v>
                </c:pt>
                <c:pt idx="19">
                  <c:v>10.666666666666666</c:v>
                </c:pt>
                <c:pt idx="20">
                  <c:v>11.2</c:v>
                </c:pt>
                <c:pt idx="21">
                  <c:v>11.733333333333333</c:v>
                </c:pt>
                <c:pt idx="22">
                  <c:v>12.266666666666666</c:v>
                </c:pt>
                <c:pt idx="23">
                  <c:v>12.8</c:v>
                </c:pt>
                <c:pt idx="24">
                  <c:v>13.333333333333334</c:v>
                </c:pt>
                <c:pt idx="25">
                  <c:v>13.866666666666667</c:v>
                </c:pt>
                <c:pt idx="26">
                  <c:v>14.4</c:v>
                </c:pt>
                <c:pt idx="27">
                  <c:v>14.933333333333334</c:v>
                </c:pt>
                <c:pt idx="28">
                  <c:v>15.466666666666667</c:v>
                </c:pt>
                <c:pt idx="29">
                  <c:v>16</c:v>
                </c:pt>
                <c:pt idx="30">
                  <c:v>16.533333333333331</c:v>
                </c:pt>
                <c:pt idx="31">
                  <c:v>17.066666666666666</c:v>
                </c:pt>
                <c:pt idx="32">
                  <c:v>17.600000000000001</c:v>
                </c:pt>
                <c:pt idx="33">
                  <c:v>18.133333333333333</c:v>
                </c:pt>
                <c:pt idx="34">
                  <c:v>18.666666666666668</c:v>
                </c:pt>
                <c:pt idx="35">
                  <c:v>19.2</c:v>
                </c:pt>
                <c:pt idx="36">
                  <c:v>19.733333333333334</c:v>
                </c:pt>
                <c:pt idx="37">
                  <c:v>20.266666666666666</c:v>
                </c:pt>
                <c:pt idx="38">
                  <c:v>20.8</c:v>
                </c:pt>
                <c:pt idx="39">
                  <c:v>21.333333333333332</c:v>
                </c:pt>
                <c:pt idx="40">
                  <c:v>21.866666666666667</c:v>
                </c:pt>
                <c:pt idx="41">
                  <c:v>22.4</c:v>
                </c:pt>
                <c:pt idx="42">
                  <c:v>22.933333333333334</c:v>
                </c:pt>
                <c:pt idx="43">
                  <c:v>23.466666666666665</c:v>
                </c:pt>
                <c:pt idx="44">
                  <c:v>24</c:v>
                </c:pt>
                <c:pt idx="45">
                  <c:v>24.533333333333331</c:v>
                </c:pt>
                <c:pt idx="46">
                  <c:v>25.066666666666666</c:v>
                </c:pt>
                <c:pt idx="47">
                  <c:v>25.6</c:v>
                </c:pt>
                <c:pt idx="48">
                  <c:v>26.133333333333333</c:v>
                </c:pt>
                <c:pt idx="49">
                  <c:v>26.666666666666668</c:v>
                </c:pt>
                <c:pt idx="50">
                  <c:v>27.2</c:v>
                </c:pt>
                <c:pt idx="51">
                  <c:v>27.733333333333334</c:v>
                </c:pt>
                <c:pt idx="52">
                  <c:v>28.266666666666666</c:v>
                </c:pt>
                <c:pt idx="53">
                  <c:v>28.8</c:v>
                </c:pt>
                <c:pt idx="54">
                  <c:v>29.333333333333332</c:v>
                </c:pt>
                <c:pt idx="55">
                  <c:v>29.866666666666667</c:v>
                </c:pt>
                <c:pt idx="56">
                  <c:v>30.4</c:v>
                </c:pt>
                <c:pt idx="57">
                  <c:v>30.933333333333334</c:v>
                </c:pt>
                <c:pt idx="58">
                  <c:v>31.466666666666665</c:v>
                </c:pt>
                <c:pt idx="59">
                  <c:v>32</c:v>
                </c:pt>
                <c:pt idx="60">
                  <c:v>32.533333333333331</c:v>
                </c:pt>
                <c:pt idx="61">
                  <c:v>33.066666666666663</c:v>
                </c:pt>
                <c:pt idx="62">
                  <c:v>33.6</c:v>
                </c:pt>
                <c:pt idx="63">
                  <c:v>34.133333333333333</c:v>
                </c:pt>
                <c:pt idx="64">
                  <c:v>34.666666666666664</c:v>
                </c:pt>
                <c:pt idx="65">
                  <c:v>35.200000000000003</c:v>
                </c:pt>
                <c:pt idx="66">
                  <c:v>35.733333333333334</c:v>
                </c:pt>
                <c:pt idx="67">
                  <c:v>36.266666666666666</c:v>
                </c:pt>
                <c:pt idx="68">
                  <c:v>36.799999999999997</c:v>
                </c:pt>
                <c:pt idx="69">
                  <c:v>37.333333333333336</c:v>
                </c:pt>
                <c:pt idx="70">
                  <c:v>37.866666666666667</c:v>
                </c:pt>
                <c:pt idx="71">
                  <c:v>38.4</c:v>
                </c:pt>
                <c:pt idx="72">
                  <c:v>38.93333333333333</c:v>
                </c:pt>
                <c:pt idx="73">
                  <c:v>39.466666666666669</c:v>
                </c:pt>
                <c:pt idx="74">
                  <c:v>40</c:v>
                </c:pt>
                <c:pt idx="75">
                  <c:v>40.533333333333331</c:v>
                </c:pt>
                <c:pt idx="76">
                  <c:v>41.066666666666663</c:v>
                </c:pt>
                <c:pt idx="77">
                  <c:v>41.6</c:v>
                </c:pt>
                <c:pt idx="78">
                  <c:v>42.133333333333333</c:v>
                </c:pt>
                <c:pt idx="79">
                  <c:v>42.666666666666664</c:v>
                </c:pt>
                <c:pt idx="80">
                  <c:v>43.2</c:v>
                </c:pt>
                <c:pt idx="81">
                  <c:v>43.733333333333334</c:v>
                </c:pt>
                <c:pt idx="82">
                  <c:v>44.266666666666666</c:v>
                </c:pt>
                <c:pt idx="83">
                  <c:v>44.8</c:v>
                </c:pt>
                <c:pt idx="84">
                  <c:v>45.333333333333336</c:v>
                </c:pt>
                <c:pt idx="85">
                  <c:v>45.866666666666667</c:v>
                </c:pt>
                <c:pt idx="86">
                  <c:v>46.4</c:v>
                </c:pt>
                <c:pt idx="87">
                  <c:v>46.93333333333333</c:v>
                </c:pt>
                <c:pt idx="88">
                  <c:v>47.466666666666669</c:v>
                </c:pt>
                <c:pt idx="89">
                  <c:v>48</c:v>
                </c:pt>
                <c:pt idx="90">
                  <c:v>48.533333333333331</c:v>
                </c:pt>
                <c:pt idx="91">
                  <c:v>49.066666666666663</c:v>
                </c:pt>
                <c:pt idx="92">
                  <c:v>49.6</c:v>
                </c:pt>
                <c:pt idx="93">
                  <c:v>50.133333333333333</c:v>
                </c:pt>
                <c:pt idx="94">
                  <c:v>50.666666666666664</c:v>
                </c:pt>
                <c:pt idx="95">
                  <c:v>51.2</c:v>
                </c:pt>
                <c:pt idx="96">
                  <c:v>51.733333333333334</c:v>
                </c:pt>
                <c:pt idx="97">
                  <c:v>52.266666666666666</c:v>
                </c:pt>
                <c:pt idx="98">
                  <c:v>52.8</c:v>
                </c:pt>
                <c:pt idx="99">
                  <c:v>53.333333333333336</c:v>
                </c:pt>
                <c:pt idx="100">
                  <c:v>53.866666666666667</c:v>
                </c:pt>
                <c:pt idx="101">
                  <c:v>54.4</c:v>
                </c:pt>
                <c:pt idx="102">
                  <c:v>54.93333333333333</c:v>
                </c:pt>
                <c:pt idx="103">
                  <c:v>55.466666666666669</c:v>
                </c:pt>
                <c:pt idx="104">
                  <c:v>56</c:v>
                </c:pt>
                <c:pt idx="105">
                  <c:v>56.533333333333331</c:v>
                </c:pt>
                <c:pt idx="106">
                  <c:v>57.066666666666663</c:v>
                </c:pt>
                <c:pt idx="107">
                  <c:v>57.6</c:v>
                </c:pt>
                <c:pt idx="108">
                  <c:v>58.133333333333333</c:v>
                </c:pt>
                <c:pt idx="109">
                  <c:v>58.666666666666664</c:v>
                </c:pt>
                <c:pt idx="110">
                  <c:v>59.199999999999996</c:v>
                </c:pt>
                <c:pt idx="111">
                  <c:v>59.733333333333334</c:v>
                </c:pt>
                <c:pt idx="112">
                  <c:v>60.266666666666666</c:v>
                </c:pt>
                <c:pt idx="113">
                  <c:v>60.8</c:v>
                </c:pt>
                <c:pt idx="114">
                  <c:v>61.333333333333336</c:v>
                </c:pt>
                <c:pt idx="115">
                  <c:v>61.866666666666667</c:v>
                </c:pt>
                <c:pt idx="116">
                  <c:v>62.4</c:v>
                </c:pt>
                <c:pt idx="117">
                  <c:v>62.93333333333333</c:v>
                </c:pt>
                <c:pt idx="118">
                  <c:v>63.466666666666669</c:v>
                </c:pt>
                <c:pt idx="119">
                  <c:v>64</c:v>
                </c:pt>
                <c:pt idx="120">
                  <c:v>64.533333333333331</c:v>
                </c:pt>
                <c:pt idx="121">
                  <c:v>65.066666666666663</c:v>
                </c:pt>
                <c:pt idx="122">
                  <c:v>65.599999999999994</c:v>
                </c:pt>
                <c:pt idx="123">
                  <c:v>66.133333333333326</c:v>
                </c:pt>
                <c:pt idx="124">
                  <c:v>66.666666666666671</c:v>
                </c:pt>
                <c:pt idx="125">
                  <c:v>67.2</c:v>
                </c:pt>
                <c:pt idx="126">
                  <c:v>67.733333333333334</c:v>
                </c:pt>
                <c:pt idx="127">
                  <c:v>68.266666666666666</c:v>
                </c:pt>
                <c:pt idx="128">
                  <c:v>68.8</c:v>
                </c:pt>
                <c:pt idx="129">
                  <c:v>69.333333333333329</c:v>
                </c:pt>
                <c:pt idx="130">
                  <c:v>69.86666666666666</c:v>
                </c:pt>
                <c:pt idx="131">
                  <c:v>70.400000000000006</c:v>
                </c:pt>
                <c:pt idx="132">
                  <c:v>70.933333333333337</c:v>
                </c:pt>
                <c:pt idx="133">
                  <c:v>71.466666666666669</c:v>
                </c:pt>
                <c:pt idx="134">
                  <c:v>72</c:v>
                </c:pt>
                <c:pt idx="135">
                  <c:v>72.533333333333331</c:v>
                </c:pt>
                <c:pt idx="136">
                  <c:v>73.066666666666663</c:v>
                </c:pt>
                <c:pt idx="137">
                  <c:v>73.599999999999994</c:v>
                </c:pt>
                <c:pt idx="138">
                  <c:v>74.133333333333326</c:v>
                </c:pt>
                <c:pt idx="139">
                  <c:v>74.666666666666671</c:v>
                </c:pt>
                <c:pt idx="140">
                  <c:v>75.2</c:v>
                </c:pt>
                <c:pt idx="141">
                  <c:v>75.733333333333334</c:v>
                </c:pt>
                <c:pt idx="142">
                  <c:v>76.266666666666666</c:v>
                </c:pt>
                <c:pt idx="143">
                  <c:v>76.8</c:v>
                </c:pt>
                <c:pt idx="144">
                  <c:v>77.333333333333329</c:v>
                </c:pt>
                <c:pt idx="145">
                  <c:v>77.86666666666666</c:v>
                </c:pt>
                <c:pt idx="146">
                  <c:v>78.400000000000006</c:v>
                </c:pt>
                <c:pt idx="147">
                  <c:v>78.933333333333337</c:v>
                </c:pt>
                <c:pt idx="148">
                  <c:v>79.466666666666669</c:v>
                </c:pt>
                <c:pt idx="149">
                  <c:v>80</c:v>
                </c:pt>
              </c:numCache>
            </c:numRef>
          </c:xVal>
          <c:yVal>
            <c:numRef>
              <c:f>Eff_vs_IOUT!$BI$8:$BI$157</c:f>
              <c:numCache>
                <c:formatCode>General</c:formatCode>
                <c:ptCount val="1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4-C391-4527-8BBE-DDCDE94A24A4}"/>
            </c:ext>
          </c:extLst>
        </c:ser>
        <c:dLbls>
          <c:showLegendKey val="0"/>
          <c:showVal val="0"/>
          <c:showCatName val="0"/>
          <c:showSerName val="0"/>
          <c:showPercent val="0"/>
          <c:showBubbleSize val="0"/>
        </c:dLbls>
        <c:axId val="582788608"/>
        <c:axId val="582786432"/>
      </c:scatterChart>
      <c:valAx>
        <c:axId val="582782976"/>
        <c:scaling>
          <c:orientation val="minMax"/>
        </c:scaling>
        <c:delete val="0"/>
        <c:axPos val="b"/>
        <c:majorGridlines/>
        <c:numFmt formatCode="General" sourceLinked="1"/>
        <c:majorTickMark val="out"/>
        <c:minorTickMark val="none"/>
        <c:tickLblPos val="nextTo"/>
        <c:crossAx val="582784512"/>
        <c:crosses val="autoZero"/>
        <c:crossBetween val="midCat"/>
      </c:valAx>
      <c:valAx>
        <c:axId val="582784512"/>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582782976"/>
        <c:crosses val="autoZero"/>
        <c:crossBetween val="midCat"/>
      </c:valAx>
      <c:valAx>
        <c:axId val="582786432"/>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582788608"/>
        <c:crosses val="max"/>
        <c:crossBetween val="midCat"/>
      </c:valAx>
      <c:valAx>
        <c:axId val="582788608"/>
        <c:scaling>
          <c:orientation val="minMax"/>
        </c:scaling>
        <c:delete val="1"/>
        <c:axPos val="b"/>
        <c:title>
          <c:tx>
            <c:rich>
              <a:bodyPr/>
              <a:lstStyle/>
              <a:p>
                <a:pPr>
                  <a:defRPr/>
                </a:pPr>
                <a:r>
                  <a:rPr lang="en-US"/>
                  <a:t>Loac</a:t>
                </a:r>
                <a:r>
                  <a:rPr lang="en-US" baseline="0"/>
                  <a:t> Current (A)</a:t>
                </a:r>
                <a:endParaRPr lang="en-US"/>
              </a:p>
            </c:rich>
          </c:tx>
          <c:overlay val="0"/>
        </c:title>
        <c:numFmt formatCode="General" sourceLinked="1"/>
        <c:majorTickMark val="out"/>
        <c:minorTickMark val="none"/>
        <c:tickLblPos val="nextTo"/>
        <c:crossAx val="582786432"/>
        <c:crosses val="autoZero"/>
        <c:crossBetween val="midCat"/>
      </c:valAx>
    </c:plotArea>
    <c:legend>
      <c:legendPos val="r"/>
      <c:layout>
        <c:manualLayout>
          <c:xMode val="edge"/>
          <c:yMode val="edge"/>
          <c:x val="0.49339941826540429"/>
          <c:y val="6.4862204724409449E-3"/>
          <c:w val="0.42227913565687919"/>
          <c:h val="0.1165233360670469"/>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Eff_vs_IOUT!$BZ$7:$BZ$157</c:f>
              <c:numCache>
                <c:formatCode>General</c:formatCode>
                <c:ptCount val="151"/>
                <c:pt idx="0">
                  <c:v>0</c:v>
                </c:pt>
                <c:pt idx="1">
                  <c:v>10.899254978714383</c:v>
                </c:pt>
                <c:pt idx="2">
                  <c:v>19.441150108439537</c:v>
                </c:pt>
                <c:pt idx="3">
                  <c:v>26.353383851720828</c:v>
                </c:pt>
                <c:pt idx="4">
                  <c:v>32.072755098680396</c:v>
                </c:pt>
                <c:pt idx="5">
                  <c:v>36.888877277750787</c:v>
                </c:pt>
                <c:pt idx="6">
                  <c:v>41.003140217307433</c:v>
                </c:pt>
                <c:pt idx="7">
                  <c:v>44.560492826501367</c:v>
                </c:pt>
                <c:pt idx="8">
                  <c:v>47.668153183287401</c:v>
                </c:pt>
                <c:pt idx="9">
                  <c:v>50.40724619300213</c:v>
                </c:pt>
                <c:pt idx="10">
                  <c:v>52.840344763069361</c:v>
                </c:pt>
                <c:pt idx="11">
                  <c:v>55.016519707648904</c:v>
                </c:pt>
                <c:pt idx="12">
                  <c:v>56.974815497025318</c:v>
                </c:pt>
                <c:pt idx="13">
                  <c:v>58.746699436603002</c:v>
                </c:pt>
                <c:pt idx="14">
                  <c:v>60.357823156448845</c:v>
                </c:pt>
                <c:pt idx="15">
                  <c:v>61.829312568280024</c:v>
                </c:pt>
                <c:pt idx="16">
                  <c:v>63.178727810125388</c:v>
                </c:pt>
                <c:pt idx="17">
                  <c:v>64.420787977469487</c:v>
                </c:pt>
                <c:pt idx="18">
                  <c:v>65.532474639671605</c:v>
                </c:pt>
                <c:pt idx="19">
                  <c:v>66.546739035199934</c:v>
                </c:pt>
                <c:pt idx="20">
                  <c:v>67.486630042115436</c:v>
                </c:pt>
                <c:pt idx="21">
                  <c:v>68.360015013227553</c:v>
                </c:pt>
                <c:pt idx="22">
                  <c:v>69.173689467421923</c:v>
                </c:pt>
                <c:pt idx="23">
                  <c:v>69.9335536084062</c:v>
                </c:pt>
                <c:pt idx="24">
                  <c:v>70.644755071105834</c:v>
                </c:pt>
                <c:pt idx="25">
                  <c:v>71.311805201146811</c:v>
                </c:pt>
                <c:pt idx="26">
                  <c:v>71.938674420977179</c:v>
                </c:pt>
                <c:pt idx="27">
                  <c:v>72.528870943164847</c:v>
                </c:pt>
                <c:pt idx="28">
                  <c:v>73.08550612749616</c:v>
                </c:pt>
                <c:pt idx="29">
                  <c:v>73.611349053176212</c:v>
                </c:pt>
                <c:pt idx="30">
                  <c:v>74.108872326837627</c:v>
                </c:pt>
                <c:pt idx="31">
                  <c:v>74.580290725648467</c:v>
                </c:pt>
                <c:pt idx="32">
                  <c:v>75.027593949753765</c:v>
                </c:pt>
                <c:pt idx="33">
                  <c:v>75.452574505713528</c:v>
                </c:pt>
                <c:pt idx="34">
                  <c:v>75.85685154498816</c:v>
                </c:pt>
                <c:pt idx="35">
                  <c:v>76.241891325895111</c:v>
                </c:pt>
                <c:pt idx="36">
                  <c:v>76.609024844136485</c:v>
                </c:pt>
                <c:pt idx="37">
                  <c:v>76.959463078692764</c:v>
                </c:pt>
                <c:pt idx="38">
                  <c:v>77.2943102210794</c:v>
                </c:pt>
                <c:pt idx="39">
                  <c:v>77.614575192460194</c:v>
                </c:pt>
                <c:pt idx="40">
                  <c:v>77.921181701677568</c:v>
                </c:pt>
                <c:pt idx="41">
                  <c:v>78.214977055396943</c:v>
                </c:pt>
                <c:pt idx="42">
                  <c:v>78.496739897333597</c:v>
                </c:pt>
                <c:pt idx="43">
                  <c:v>78.7671870254174</c:v>
                </c:pt>
                <c:pt idx="44">
                  <c:v>79.02697941256497</c:v>
                </c:pt>
                <c:pt idx="45">
                  <c:v>79.27672753752843</c:v>
                </c:pt>
                <c:pt idx="46">
                  <c:v>79.516996116327292</c:v>
                </c:pt>
                <c:pt idx="47">
                  <c:v>79.748308311450344</c:v>
                </c:pt>
                <c:pt idx="48">
                  <c:v>79.971149484860931</c:v>
                </c:pt>
                <c:pt idx="49">
                  <c:v>80.185970551465289</c:v>
                </c:pt>
                <c:pt idx="50">
                  <c:v>80.393190981801823</c:v>
                </c:pt>
                <c:pt idx="51">
                  <c:v>80.593201496025273</c:v>
                </c:pt>
                <c:pt idx="52">
                  <c:v>80.786366485589468</c:v>
                </c:pt>
                <c:pt idx="53">
                  <c:v>80.973026194207549</c:v>
                </c:pt>
                <c:pt idx="54">
                  <c:v>81.153498685551213</c:v>
                </c:pt>
                <c:pt idx="55">
                  <c:v>81.328081621627859</c:v>
                </c:pt>
                <c:pt idx="56">
                  <c:v>81.497053872751778</c:v>
                </c:pt>
                <c:pt idx="57">
                  <c:v>81.66067697742541</c:v>
                </c:pt>
                <c:pt idx="58">
                  <c:v>81.819196468205462</c:v>
                </c:pt>
                <c:pt idx="59">
                  <c:v>81.972843077690158</c:v>
                </c:pt>
                <c:pt idx="60">
                  <c:v>82.121833837085418</c:v>
                </c:pt>
                <c:pt idx="61">
                  <c:v>82.266373078349559</c:v>
                </c:pt>
                <c:pt idx="62">
                  <c:v>82.406653349647996</c:v>
                </c:pt>
                <c:pt idx="63">
                  <c:v>82.542856252741814</c:v>
                </c:pt>
                <c:pt idx="64">
                  <c:v>82.675153209968869</c:v>
                </c:pt>
                <c:pt idx="65">
                  <c:v>82.803706167627851</c:v>
                </c:pt>
                <c:pt idx="66">
                  <c:v>82.928668241834032</c:v>
                </c:pt>
                <c:pt idx="67">
                  <c:v>83.050184312261919</c:v>
                </c:pt>
                <c:pt idx="68">
                  <c:v>83.168391568615974</c:v>
                </c:pt>
                <c:pt idx="69">
                  <c:v>83.283420014162047</c:v>
                </c:pt>
                <c:pt idx="70">
                  <c:v>83.39539293020573</c:v>
                </c:pt>
                <c:pt idx="71">
                  <c:v>83.504427305005677</c:v>
                </c:pt>
                <c:pt idx="72">
                  <c:v>83.610634230259322</c:v>
                </c:pt>
                <c:pt idx="73">
                  <c:v>83.714119267985282</c:v>
                </c:pt>
                <c:pt idx="74">
                  <c:v>83.814982790349873</c:v>
                </c:pt>
                <c:pt idx="75">
                  <c:v>83.913320294736977</c:v>
                </c:pt>
                <c:pt idx="76">
                  <c:v>84.009222696140128</c:v>
                </c:pt>
                <c:pt idx="77">
                  <c:v>84.102776598758823</c:v>
                </c:pt>
                <c:pt idx="78">
                  <c:v>84.194064548504215</c:v>
                </c:pt>
                <c:pt idx="79">
                  <c:v>84.283165267961508</c:v>
                </c:pt>
                <c:pt idx="80">
                  <c:v>84.370153875215081</c:v>
                </c:pt>
                <c:pt idx="81">
                  <c:v>84.455102087814453</c:v>
                </c:pt>
                <c:pt idx="82">
                  <c:v>84.538078413045127</c:v>
                </c:pt>
                <c:pt idx="83">
                  <c:v>84.619148325565504</c:v>
                </c:pt>
                <c:pt idx="84">
                  <c:v>84.698374433377381</c:v>
                </c:pt>
                <c:pt idx="85">
                  <c:v>84.775816633014813</c:v>
                </c:pt>
                <c:pt idx="86">
                  <c:v>84.851532254759121</c:v>
                </c:pt>
                <c:pt idx="87">
                  <c:v>84.925576198620618</c:v>
                </c:pt>
                <c:pt idx="88">
                  <c:v>84.998001061764143</c:v>
                </c:pt>
                <c:pt idx="89">
                  <c:v>85.068857258000392</c:v>
                </c:pt>
                <c:pt idx="90">
                  <c:v>85.138193129913518</c:v>
                </c:pt>
                <c:pt idx="91">
                  <c:v>85.206055054148749</c:v>
                </c:pt>
                <c:pt idx="92">
                  <c:v>85.272487540342112</c:v>
                </c:pt>
                <c:pt idx="93">
                  <c:v>85.337533324135805</c:v>
                </c:pt>
                <c:pt idx="94">
                  <c:v>85.401233454687357</c:v>
                </c:pt>
                <c:pt idx="95">
                  <c:v>85.463627377049562</c:v>
                </c:pt>
                <c:pt idx="96">
                  <c:v>85.524753009767977</c:v>
                </c:pt>
                <c:pt idx="97">
                  <c:v>85.58464681801749</c:v>
                </c:pt>
                <c:pt idx="98">
                  <c:v>85.643343882573561</c:v>
                </c:pt>
                <c:pt idx="99">
                  <c:v>85.700877964893024</c:v>
                </c:pt>
                <c:pt idx="100">
                  <c:v>85.757281568557403</c:v>
                </c:pt>
                <c:pt idx="101">
                  <c:v>85.812585997314301</c:v>
                </c:pt>
                <c:pt idx="102">
                  <c:v>85.866821409934374</c:v>
                </c:pt>
                <c:pt idx="103">
                  <c:v>85.92001687208564</c:v>
                </c:pt>
                <c:pt idx="104">
                  <c:v>85.972200405413162</c:v>
                </c:pt>
                <c:pt idx="105">
                  <c:v>86.023399033997634</c:v>
                </c:pt>
                <c:pt idx="106">
                  <c:v>86.073638828355172</c:v>
                </c:pt>
                <c:pt idx="107">
                  <c:v>86.122944947128474</c:v>
                </c:pt>
                <c:pt idx="108">
                  <c:v>86.171341676609671</c:v>
                </c:pt>
                <c:pt idx="109">
                  <c:v>86.218852468225265</c:v>
                </c:pt>
                <c:pt idx="110">
                  <c:v>86.265499974104443</c:v>
                </c:pt>
                <c:pt idx="111">
                  <c:v>86.311306080844687</c:v>
                </c:pt>
                <c:pt idx="112">
                  <c:v>86.356291941579713</c:v>
                </c:pt>
                <c:pt idx="113">
                  <c:v>86.400478006449106</c:v>
                </c:pt>
                <c:pt idx="114">
                  <c:v>86.443884051561241</c:v>
                </c:pt>
                <c:pt idx="115">
                  <c:v>86.486529206536318</c:v>
                </c:pt>
                <c:pt idx="116">
                  <c:v>86.528431980709541</c:v>
                </c:pt>
                <c:pt idx="117">
                  <c:v>86.569610288070081</c:v>
                </c:pt>
                <c:pt idx="118">
                  <c:v>86.610081471006609</c:v>
                </c:pt>
                <c:pt idx="119">
                  <c:v>86.649862322925003</c:v>
                </c:pt>
                <c:pt idx="120">
                  <c:v>86.688969109800794</c:v>
                </c:pt>
                <c:pt idx="121">
                  <c:v>86.727417590724102</c:v>
                </c:pt>
                <c:pt idx="122">
                  <c:v>86.765223037491523</c:v>
                </c:pt>
                <c:pt idx="123">
                  <c:v>86.802400253296511</c:v>
                </c:pt>
                <c:pt idx="124">
                  <c:v>86.838963590565783</c:v>
                </c:pt>
                <c:pt idx="125">
                  <c:v>86.874926967987463</c:v>
                </c:pt>
                <c:pt idx="126">
                  <c:v>86.910303886772951</c:v>
                </c:pt>
                <c:pt idx="127">
                  <c:v>86.945107446192566</c:v>
                </c:pt>
                <c:pt idx="128">
                  <c:v>86.979350358422678</c:v>
                </c:pt>
                <c:pt idx="129">
                  <c:v>87.013044962739556</c:v>
                </c:pt>
                <c:pt idx="130">
                  <c:v>87.046203239093046</c:v>
                </c:pt>
                <c:pt idx="131">
                  <c:v>87.07883682109177</c:v>
                </c:pt>
                <c:pt idx="132">
                  <c:v>87.11095700842931</c:v>
                </c:pt>
                <c:pt idx="133">
                  <c:v>87.142574778778993</c:v>
                </c:pt>
                <c:pt idx="134">
                  <c:v>87.17370079918409</c:v>
                </c:pt>
                <c:pt idx="135">
                  <c:v>87.204345436967657</c:v>
                </c:pt>
                <c:pt idx="136">
                  <c:v>87.234518770186057</c:v>
                </c:pt>
                <c:pt idx="137">
                  <c:v>87.264230597647796</c:v>
                </c:pt>
                <c:pt idx="138">
                  <c:v>87.293490448518895</c:v>
                </c:pt>
                <c:pt idx="139">
                  <c:v>87.322307591534482</c:v>
                </c:pt>
                <c:pt idx="140">
                  <c:v>87.350691043835397</c:v>
                </c:pt>
                <c:pt idx="141">
                  <c:v>87.378649579447213</c:v>
                </c:pt>
                <c:pt idx="142">
                  <c:v>87.406191737418936</c:v>
                </c:pt>
                <c:pt idx="143">
                  <c:v>87.433325829636701</c:v>
                </c:pt>
                <c:pt idx="144">
                  <c:v>87.460059948327824</c:v>
                </c:pt>
                <c:pt idx="145">
                  <c:v>87.486401973269324</c:v>
                </c:pt>
                <c:pt idx="146">
                  <c:v>87.512359578714481</c:v>
                </c:pt>
                <c:pt idx="147">
                  <c:v>87.537940240050048</c:v>
                </c:pt>
                <c:pt idx="148">
                  <c:v>87.563151240196461</c:v>
                </c:pt>
                <c:pt idx="149">
                  <c:v>87.587999675762362</c:v>
                </c:pt>
                <c:pt idx="150">
                  <c:v>87.612492462964596</c:v>
                </c:pt>
              </c:numCache>
            </c:numRef>
          </c:yVal>
          <c:smooth val="0"/>
          <c:extLst>
            <c:ext xmlns:c16="http://schemas.microsoft.com/office/drawing/2014/chart" uri="{C3380CC4-5D6E-409C-BE32-E72D297353CC}">
              <c16:uniqueId val="{00000000-A180-432B-A347-F5CCD23FB4B3}"/>
            </c:ext>
          </c:extLst>
        </c:ser>
        <c:dLbls>
          <c:showLegendKey val="0"/>
          <c:showVal val="0"/>
          <c:showCatName val="0"/>
          <c:showSerName val="0"/>
          <c:showPercent val="0"/>
          <c:showBubbleSize val="0"/>
        </c:dLbls>
        <c:axId val="582892544"/>
        <c:axId val="582902528"/>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Eff_vs_IOUT!$AJ$7:$AJ$157</c:f>
              <c:numCache>
                <c:formatCode>General</c:formatCode>
                <c:ptCount val="151"/>
                <c:pt idx="0">
                  <c:v>0</c:v>
                </c:pt>
                <c:pt idx="1">
                  <c:v>9.0474538071438404E-2</c:v>
                </c:pt>
                <c:pt idx="2">
                  <c:v>0.12795031879006907</c:v>
                </c:pt>
                <c:pt idx="3">
                  <c:v>0.15670649673105599</c:v>
                </c:pt>
                <c:pt idx="4">
                  <c:v>0.18094907614287681</c:v>
                </c:pt>
                <c:pt idx="5">
                  <c:v>0.20230721736062895</c:v>
                </c:pt>
                <c:pt idx="6">
                  <c:v>0.22161645298903454</c:v>
                </c:pt>
                <c:pt idx="7">
                  <c:v>0.23937312772047134</c:v>
                </c:pt>
                <c:pt idx="8">
                  <c:v>0.25590063758013815</c:v>
                </c:pt>
                <c:pt idx="9">
                  <c:v>0.27142361421431516</c:v>
                </c:pt>
                <c:pt idx="10">
                  <c:v>0.28610561055736311</c:v>
                </c:pt>
                <c:pt idx="11">
                  <c:v>0.30007009586368605</c:v>
                </c:pt>
                <c:pt idx="12">
                  <c:v>0.31341299346211199</c:v>
                </c:pt>
                <c:pt idx="13">
                  <c:v>0.32621058614048987</c:v>
                </c:pt>
                <c:pt idx="14">
                  <c:v>0.33852472368995773</c:v>
                </c:pt>
                <c:pt idx="15">
                  <c:v>0.35040637920648987</c:v>
                </c:pt>
                <c:pt idx="16">
                  <c:v>0.36189815228575362</c:v>
                </c:pt>
                <c:pt idx="17">
                  <c:v>0.37303607689750684</c:v>
                </c:pt>
                <c:pt idx="18">
                  <c:v>0.39176624182763992</c:v>
                </c:pt>
                <c:pt idx="19">
                  <c:v>0.4135310330402866</c:v>
                </c:pt>
                <c:pt idx="20">
                  <c:v>0.43529582425293323</c:v>
                </c:pt>
                <c:pt idx="21">
                  <c:v>0.45706061546557991</c:v>
                </c:pt>
                <c:pt idx="22">
                  <c:v>0.47882540667822654</c:v>
                </c:pt>
                <c:pt idx="23">
                  <c:v>0.50059019789087322</c:v>
                </c:pt>
                <c:pt idx="24">
                  <c:v>0.52235498910351996</c:v>
                </c:pt>
                <c:pt idx="25">
                  <c:v>0.5441197803161667</c:v>
                </c:pt>
                <c:pt idx="26">
                  <c:v>0.56588457152881322</c:v>
                </c:pt>
                <c:pt idx="27">
                  <c:v>0.58764936274145996</c:v>
                </c:pt>
                <c:pt idx="28">
                  <c:v>0.60941415395410659</c:v>
                </c:pt>
                <c:pt idx="29">
                  <c:v>0.63117894516675332</c:v>
                </c:pt>
                <c:pt idx="30">
                  <c:v>0.65294373637939995</c:v>
                </c:pt>
                <c:pt idx="31">
                  <c:v>0.67470852759204647</c:v>
                </c:pt>
                <c:pt idx="32">
                  <c:v>0.69647331880469332</c:v>
                </c:pt>
                <c:pt idx="33">
                  <c:v>0.71823811001733995</c:v>
                </c:pt>
                <c:pt idx="34">
                  <c:v>0.74000290122998647</c:v>
                </c:pt>
                <c:pt idx="35">
                  <c:v>0.76176769244263332</c:v>
                </c:pt>
                <c:pt idx="36">
                  <c:v>0.78353248365527983</c:v>
                </c:pt>
                <c:pt idx="37">
                  <c:v>0.80529727486792657</c:v>
                </c:pt>
                <c:pt idx="38">
                  <c:v>0.8270620660805732</c:v>
                </c:pt>
                <c:pt idx="39">
                  <c:v>0.84882685729321994</c:v>
                </c:pt>
                <c:pt idx="40">
                  <c:v>0.87059164850586646</c:v>
                </c:pt>
                <c:pt idx="41">
                  <c:v>0.89235643971851342</c:v>
                </c:pt>
                <c:pt idx="42">
                  <c:v>0.91412123093115982</c:v>
                </c:pt>
                <c:pt idx="43">
                  <c:v>0.93588602214380656</c:v>
                </c:pt>
                <c:pt idx="44">
                  <c:v>0.95765081335645308</c:v>
                </c:pt>
                <c:pt idx="45">
                  <c:v>0.97941560456909993</c:v>
                </c:pt>
                <c:pt idx="46">
                  <c:v>1.0011803957817464</c:v>
                </c:pt>
                <c:pt idx="47">
                  <c:v>1.0229451869943933</c:v>
                </c:pt>
                <c:pt idx="48">
                  <c:v>1.0447099782070399</c:v>
                </c:pt>
                <c:pt idx="49">
                  <c:v>1.0664747694196866</c:v>
                </c:pt>
                <c:pt idx="50">
                  <c:v>1.0882395606323334</c:v>
                </c:pt>
                <c:pt idx="51">
                  <c:v>1.1100043518449798</c:v>
                </c:pt>
                <c:pt idx="52">
                  <c:v>1.1317691430576264</c:v>
                </c:pt>
                <c:pt idx="53">
                  <c:v>1.1535339342702731</c:v>
                </c:pt>
                <c:pt idx="54">
                  <c:v>1.1752987254829199</c:v>
                </c:pt>
                <c:pt idx="55">
                  <c:v>1.1970635166955663</c:v>
                </c:pt>
                <c:pt idx="56">
                  <c:v>1.2188283079082132</c:v>
                </c:pt>
                <c:pt idx="57">
                  <c:v>1.2405930991208598</c:v>
                </c:pt>
                <c:pt idx="58">
                  <c:v>1.2623578903335066</c:v>
                </c:pt>
                <c:pt idx="59">
                  <c:v>1.2841226815461531</c:v>
                </c:pt>
                <c:pt idx="60">
                  <c:v>1.3058874727587999</c:v>
                </c:pt>
                <c:pt idx="61">
                  <c:v>1.3276522639714468</c:v>
                </c:pt>
                <c:pt idx="62">
                  <c:v>1.3494170551840929</c:v>
                </c:pt>
                <c:pt idx="63">
                  <c:v>1.3711818463967398</c:v>
                </c:pt>
                <c:pt idx="64">
                  <c:v>1.3929466376093866</c:v>
                </c:pt>
                <c:pt idx="65">
                  <c:v>1.4147114288220328</c:v>
                </c:pt>
                <c:pt idx="66">
                  <c:v>1.4364762200346799</c:v>
                </c:pt>
                <c:pt idx="67">
                  <c:v>1.4582410112473267</c:v>
                </c:pt>
                <c:pt idx="68">
                  <c:v>1.4800058024599729</c:v>
                </c:pt>
                <c:pt idx="69">
                  <c:v>1.5017705936726198</c:v>
                </c:pt>
                <c:pt idx="70">
                  <c:v>1.5235353848852666</c:v>
                </c:pt>
                <c:pt idx="71">
                  <c:v>1.545300176097913</c:v>
                </c:pt>
                <c:pt idx="72">
                  <c:v>1.5670649673105597</c:v>
                </c:pt>
                <c:pt idx="73">
                  <c:v>1.5888297585232063</c:v>
                </c:pt>
                <c:pt idx="74">
                  <c:v>1.6105945497358531</c:v>
                </c:pt>
                <c:pt idx="75">
                  <c:v>1.6323593409484998</c:v>
                </c:pt>
                <c:pt idx="76">
                  <c:v>1.6541241321611464</c:v>
                </c:pt>
                <c:pt idx="77">
                  <c:v>1.675888923373793</c:v>
                </c:pt>
                <c:pt idx="78">
                  <c:v>1.6976537145864399</c:v>
                </c:pt>
                <c:pt idx="79">
                  <c:v>1.7194185057990867</c:v>
                </c:pt>
                <c:pt idx="80">
                  <c:v>1.7411832970117329</c:v>
                </c:pt>
                <c:pt idx="81">
                  <c:v>1.76294808822438</c:v>
                </c:pt>
                <c:pt idx="82">
                  <c:v>1.7847128794370268</c:v>
                </c:pt>
                <c:pt idx="83">
                  <c:v>1.806477670649673</c:v>
                </c:pt>
                <c:pt idx="84">
                  <c:v>1.8282424618623196</c:v>
                </c:pt>
                <c:pt idx="85">
                  <c:v>1.8500072530749665</c:v>
                </c:pt>
                <c:pt idx="86">
                  <c:v>1.8717720442876131</c:v>
                </c:pt>
                <c:pt idx="87">
                  <c:v>1.8935368355002595</c:v>
                </c:pt>
                <c:pt idx="88">
                  <c:v>1.9153016267129062</c:v>
                </c:pt>
                <c:pt idx="89">
                  <c:v>1.937066417925553</c:v>
                </c:pt>
                <c:pt idx="90">
                  <c:v>1.9588312091381999</c:v>
                </c:pt>
                <c:pt idx="91">
                  <c:v>1.9805960003508463</c:v>
                </c:pt>
                <c:pt idx="92">
                  <c:v>2.0023607915634929</c:v>
                </c:pt>
                <c:pt idx="93">
                  <c:v>2.0241255827761395</c:v>
                </c:pt>
                <c:pt idx="94">
                  <c:v>2.0458903739887866</c:v>
                </c:pt>
                <c:pt idx="95">
                  <c:v>2.0676551652014332</c:v>
                </c:pt>
                <c:pt idx="96">
                  <c:v>2.0894199564140798</c:v>
                </c:pt>
                <c:pt idx="97">
                  <c:v>2.1111847476267265</c:v>
                </c:pt>
                <c:pt idx="98">
                  <c:v>2.1329495388393731</c:v>
                </c:pt>
                <c:pt idx="99">
                  <c:v>2.1547143300520197</c:v>
                </c:pt>
                <c:pt idx="100">
                  <c:v>2.1764791212646668</c:v>
                </c:pt>
                <c:pt idx="101">
                  <c:v>2.198243912477313</c:v>
                </c:pt>
                <c:pt idx="102">
                  <c:v>2.2200087036899596</c:v>
                </c:pt>
                <c:pt idx="103">
                  <c:v>2.2417734949026067</c:v>
                </c:pt>
                <c:pt idx="104">
                  <c:v>2.2635382861152529</c:v>
                </c:pt>
                <c:pt idx="105">
                  <c:v>2.2853030773278995</c:v>
                </c:pt>
                <c:pt idx="106">
                  <c:v>2.3070678685405461</c:v>
                </c:pt>
                <c:pt idx="107">
                  <c:v>2.3288326597531928</c:v>
                </c:pt>
                <c:pt idx="108">
                  <c:v>2.3505974509658398</c:v>
                </c:pt>
                <c:pt idx="109">
                  <c:v>2.3723622421784865</c:v>
                </c:pt>
                <c:pt idx="110">
                  <c:v>2.3941270333911326</c:v>
                </c:pt>
                <c:pt idx="111">
                  <c:v>2.4158918246037793</c:v>
                </c:pt>
                <c:pt idx="112">
                  <c:v>2.4376566158164263</c:v>
                </c:pt>
                <c:pt idx="113">
                  <c:v>2.459421407029073</c:v>
                </c:pt>
                <c:pt idx="114">
                  <c:v>2.4811861982417196</c:v>
                </c:pt>
                <c:pt idx="115">
                  <c:v>2.5029509894543667</c:v>
                </c:pt>
                <c:pt idx="116">
                  <c:v>2.5247157806670133</c:v>
                </c:pt>
                <c:pt idx="117">
                  <c:v>2.5464805718796595</c:v>
                </c:pt>
                <c:pt idx="118">
                  <c:v>2.5682453630923061</c:v>
                </c:pt>
                <c:pt idx="119">
                  <c:v>2.5900101543049536</c:v>
                </c:pt>
                <c:pt idx="120">
                  <c:v>2.6117749455175998</c:v>
                </c:pt>
                <c:pt idx="121">
                  <c:v>2.6335397367302464</c:v>
                </c:pt>
                <c:pt idx="122">
                  <c:v>2.6553045279428935</c:v>
                </c:pt>
                <c:pt idx="123">
                  <c:v>2.6770693191555393</c:v>
                </c:pt>
                <c:pt idx="124">
                  <c:v>2.6988341103681859</c:v>
                </c:pt>
                <c:pt idx="125">
                  <c:v>2.7205989015808334</c:v>
                </c:pt>
                <c:pt idx="126">
                  <c:v>2.7423636927934796</c:v>
                </c:pt>
                <c:pt idx="127">
                  <c:v>2.7641284840061262</c:v>
                </c:pt>
                <c:pt idx="128">
                  <c:v>2.7858932752187733</c:v>
                </c:pt>
                <c:pt idx="129">
                  <c:v>2.8076580664314199</c:v>
                </c:pt>
                <c:pt idx="130">
                  <c:v>2.8294228576440656</c:v>
                </c:pt>
                <c:pt idx="131">
                  <c:v>2.8511876488567127</c:v>
                </c:pt>
                <c:pt idx="132">
                  <c:v>2.8729524400693598</c:v>
                </c:pt>
                <c:pt idx="133">
                  <c:v>2.8947172312820064</c:v>
                </c:pt>
                <c:pt idx="134">
                  <c:v>2.9164820224946535</c:v>
                </c:pt>
                <c:pt idx="135">
                  <c:v>2.9382468137072997</c:v>
                </c:pt>
                <c:pt idx="136">
                  <c:v>2.9600116049199459</c:v>
                </c:pt>
                <c:pt idx="137">
                  <c:v>2.9817763961325934</c:v>
                </c:pt>
                <c:pt idx="138">
                  <c:v>3.0035411873452396</c:v>
                </c:pt>
                <c:pt idx="139">
                  <c:v>3.0253059785578857</c:v>
                </c:pt>
                <c:pt idx="140">
                  <c:v>3.0470707697705333</c:v>
                </c:pt>
                <c:pt idx="141">
                  <c:v>3.0688355609831794</c:v>
                </c:pt>
                <c:pt idx="142">
                  <c:v>3.0906003521958261</c:v>
                </c:pt>
                <c:pt idx="143">
                  <c:v>3.1123651434084731</c:v>
                </c:pt>
                <c:pt idx="144">
                  <c:v>3.1341299346211193</c:v>
                </c:pt>
                <c:pt idx="145">
                  <c:v>3.155894725833766</c:v>
                </c:pt>
                <c:pt idx="146">
                  <c:v>3.1776595170464126</c:v>
                </c:pt>
                <c:pt idx="147">
                  <c:v>3.1994243082590597</c:v>
                </c:pt>
                <c:pt idx="148">
                  <c:v>3.2211890994717063</c:v>
                </c:pt>
                <c:pt idx="149">
                  <c:v>3.2429538906843534</c:v>
                </c:pt>
                <c:pt idx="150">
                  <c:v>3.2647186818969995</c:v>
                </c:pt>
              </c:numCache>
            </c:numRef>
          </c:yVal>
          <c:smooth val="1"/>
          <c:extLst>
            <c:ext xmlns:c16="http://schemas.microsoft.com/office/drawing/2014/chart" uri="{C3380CC4-5D6E-409C-BE32-E72D297353CC}">
              <c16:uniqueId val="{00000001-A180-432B-A347-F5CCD23FB4B3}"/>
            </c:ext>
          </c:extLst>
        </c:ser>
        <c:ser>
          <c:idx val="3"/>
          <c:order val="2"/>
          <c:tx>
            <c:v>RS</c:v>
          </c:tx>
          <c:spPr>
            <a:ln>
              <a:solidFill>
                <a:schemeClr val="accent5">
                  <a:lumMod val="75000"/>
                </a:schemeClr>
              </a:solidFill>
              <a:prstDash val="lgDashDotDot"/>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Eff_vs_IOUT!$BU$7:$BU$157</c:f>
              <c:numCache>
                <c:formatCode>General</c:formatCode>
                <c:ptCount val="151"/>
                <c:pt idx="0">
                  <c:v>0</c:v>
                </c:pt>
                <c:pt idx="1">
                  <c:v>4.1056019142373404E-5</c:v>
                </c:pt>
                <c:pt idx="2">
                  <c:v>1.1612395817638769E-4</c:v>
                </c:pt>
                <c:pt idx="3">
                  <c:v>2.1333333333333333E-4</c:v>
                </c:pt>
                <c:pt idx="4">
                  <c:v>3.2844815313898723E-4</c:v>
                </c:pt>
                <c:pt idx="5">
                  <c:v>4.5902024843939751E-4</c:v>
                </c:pt>
                <c:pt idx="6">
                  <c:v>6.0339778661252055E-4</c:v>
                </c:pt>
                <c:pt idx="7">
                  <c:v>7.6036811531119113E-4</c:v>
                </c:pt>
                <c:pt idx="8">
                  <c:v>9.2899166541110154E-4</c:v>
                </c:pt>
                <c:pt idx="9">
                  <c:v>1.1085125168440813E-3</c:v>
                </c:pt>
                <c:pt idx="10">
                  <c:v>1.2983053214937271E-3</c:v>
                </c:pt>
                <c:pt idx="11">
                  <c:v>1.4978415196899156E-3</c:v>
                </c:pt>
                <c:pt idx="12">
                  <c:v>1.7066666666666667E-3</c:v>
                </c:pt>
                <c:pt idx="13">
                  <c:v>1.9243845683953585E-3</c:v>
                </c:pt>
                <c:pt idx="14">
                  <c:v>2.1506458021383116E-3</c:v>
                </c:pt>
                <c:pt idx="15">
                  <c:v>2.385139175999776E-3</c:v>
                </c:pt>
                <c:pt idx="16">
                  <c:v>2.6275852251118979E-3</c:v>
                </c:pt>
                <c:pt idx="17">
                  <c:v>2.877731159353563E-3</c:v>
                </c:pt>
                <c:pt idx="18">
                  <c:v>3.1372799999999979E-3</c:v>
                </c:pt>
                <c:pt idx="19">
                  <c:v>3.4113540740740725E-3</c:v>
                </c:pt>
                <c:pt idx="20">
                  <c:v>3.7002429629629636E-3</c:v>
                </c:pt>
                <c:pt idx="21">
                  <c:v>4.0039466666666676E-3</c:v>
                </c:pt>
                <c:pt idx="22">
                  <c:v>4.3224651851851833E-3</c:v>
                </c:pt>
                <c:pt idx="23">
                  <c:v>4.6557985185185198E-3</c:v>
                </c:pt>
                <c:pt idx="24">
                  <c:v>5.0039466666666659E-3</c:v>
                </c:pt>
                <c:pt idx="25">
                  <c:v>5.366909629629631E-3</c:v>
                </c:pt>
                <c:pt idx="26">
                  <c:v>5.7446874074074091E-3</c:v>
                </c:pt>
                <c:pt idx="27">
                  <c:v>6.1372799999999958E-3</c:v>
                </c:pt>
                <c:pt idx="28">
                  <c:v>6.5446874074074051E-3</c:v>
                </c:pt>
                <c:pt idx="29">
                  <c:v>6.9669096296296282E-3</c:v>
                </c:pt>
                <c:pt idx="30">
                  <c:v>7.4039466666666661E-3</c:v>
                </c:pt>
                <c:pt idx="31">
                  <c:v>7.8557985185185187E-3</c:v>
                </c:pt>
                <c:pt idx="32">
                  <c:v>8.3224651851851843E-3</c:v>
                </c:pt>
                <c:pt idx="33">
                  <c:v>8.8039466666666663E-3</c:v>
                </c:pt>
                <c:pt idx="34">
                  <c:v>9.3002429629629579E-3</c:v>
                </c:pt>
                <c:pt idx="35">
                  <c:v>9.8113540740740711E-3</c:v>
                </c:pt>
                <c:pt idx="36">
                  <c:v>1.0337279999999996E-2</c:v>
                </c:pt>
                <c:pt idx="37">
                  <c:v>1.0878020740740735E-2</c:v>
                </c:pt>
                <c:pt idx="38">
                  <c:v>1.1433576296296289E-2</c:v>
                </c:pt>
                <c:pt idx="39">
                  <c:v>1.2003946666666669E-2</c:v>
                </c:pt>
                <c:pt idx="40">
                  <c:v>1.2589131851851853E-2</c:v>
                </c:pt>
                <c:pt idx="41">
                  <c:v>1.3189131851851846E-2</c:v>
                </c:pt>
                <c:pt idx="42">
                  <c:v>1.3803946666666662E-2</c:v>
                </c:pt>
                <c:pt idx="43">
                  <c:v>1.4433576296296286E-2</c:v>
                </c:pt>
                <c:pt idx="44">
                  <c:v>1.5078020740740727E-2</c:v>
                </c:pt>
                <c:pt idx="45">
                  <c:v>1.5737280000000003E-2</c:v>
                </c:pt>
                <c:pt idx="46">
                  <c:v>1.6411354074074066E-2</c:v>
                </c:pt>
                <c:pt idx="47">
                  <c:v>1.7100242962962951E-2</c:v>
                </c:pt>
                <c:pt idx="48">
                  <c:v>1.7803946666666667E-2</c:v>
                </c:pt>
                <c:pt idx="49">
                  <c:v>1.8522465185185188E-2</c:v>
                </c:pt>
                <c:pt idx="50">
                  <c:v>1.925579851851851E-2</c:v>
                </c:pt>
                <c:pt idx="51">
                  <c:v>2.0003946666666661E-2</c:v>
                </c:pt>
                <c:pt idx="52">
                  <c:v>2.0766909629629623E-2</c:v>
                </c:pt>
                <c:pt idx="53">
                  <c:v>2.1544687407407396E-2</c:v>
                </c:pt>
                <c:pt idx="54">
                  <c:v>2.2337280000000001E-2</c:v>
                </c:pt>
                <c:pt idx="55">
                  <c:v>2.3144687407407407E-2</c:v>
                </c:pt>
                <c:pt idx="56">
                  <c:v>2.3966909629629624E-2</c:v>
                </c:pt>
                <c:pt idx="57">
                  <c:v>2.4803946666666653E-2</c:v>
                </c:pt>
                <c:pt idx="58">
                  <c:v>2.565579851851852E-2</c:v>
                </c:pt>
                <c:pt idx="59">
                  <c:v>2.6522465185185185E-2</c:v>
                </c:pt>
                <c:pt idx="60">
                  <c:v>2.7403946666666654E-2</c:v>
                </c:pt>
                <c:pt idx="61">
                  <c:v>2.8300242962962945E-2</c:v>
                </c:pt>
                <c:pt idx="62">
                  <c:v>2.9211354074074068E-2</c:v>
                </c:pt>
                <c:pt idx="63">
                  <c:v>3.0137279999999999E-2</c:v>
                </c:pt>
                <c:pt idx="64">
                  <c:v>3.1078020740740737E-2</c:v>
                </c:pt>
                <c:pt idx="65">
                  <c:v>3.203357629629628E-2</c:v>
                </c:pt>
                <c:pt idx="66">
                  <c:v>3.3003946666666679E-2</c:v>
                </c:pt>
                <c:pt idx="67">
                  <c:v>3.3989131851851852E-2</c:v>
                </c:pt>
                <c:pt idx="68">
                  <c:v>3.4989131851851846E-2</c:v>
                </c:pt>
                <c:pt idx="69">
                  <c:v>3.6003946666666647E-2</c:v>
                </c:pt>
                <c:pt idx="70">
                  <c:v>3.7033576296296285E-2</c:v>
                </c:pt>
                <c:pt idx="71">
                  <c:v>3.8078020740740716E-2</c:v>
                </c:pt>
                <c:pt idx="72">
                  <c:v>3.9137279999999976E-2</c:v>
                </c:pt>
                <c:pt idx="73">
                  <c:v>4.0211354074074057E-2</c:v>
                </c:pt>
                <c:pt idx="74">
                  <c:v>4.130024296296296E-2</c:v>
                </c:pt>
                <c:pt idx="75">
                  <c:v>4.240394666666665E-2</c:v>
                </c:pt>
                <c:pt idx="76">
                  <c:v>4.3522465185185176E-2</c:v>
                </c:pt>
                <c:pt idx="77">
                  <c:v>4.4655798518518496E-2</c:v>
                </c:pt>
                <c:pt idx="78">
                  <c:v>4.5803946666666651E-2</c:v>
                </c:pt>
                <c:pt idx="79">
                  <c:v>4.6966909629629607E-2</c:v>
                </c:pt>
                <c:pt idx="80">
                  <c:v>4.8144687407407384E-2</c:v>
                </c:pt>
                <c:pt idx="81">
                  <c:v>4.933727999999999E-2</c:v>
                </c:pt>
                <c:pt idx="82">
                  <c:v>5.0544687407407411E-2</c:v>
                </c:pt>
                <c:pt idx="83">
                  <c:v>5.1766909629629633E-2</c:v>
                </c:pt>
                <c:pt idx="84">
                  <c:v>5.3003946666666656E-2</c:v>
                </c:pt>
                <c:pt idx="85">
                  <c:v>5.42557985185185E-2</c:v>
                </c:pt>
                <c:pt idx="86">
                  <c:v>5.5522465185185152E-2</c:v>
                </c:pt>
                <c:pt idx="87">
                  <c:v>5.680394666666664E-2</c:v>
                </c:pt>
                <c:pt idx="88">
                  <c:v>5.8100242962962935E-2</c:v>
                </c:pt>
                <c:pt idx="89">
                  <c:v>5.9411354074074059E-2</c:v>
                </c:pt>
                <c:pt idx="90">
                  <c:v>6.073727999999997E-2</c:v>
                </c:pt>
                <c:pt idx="91">
                  <c:v>6.2078020740740703E-2</c:v>
                </c:pt>
                <c:pt idx="92">
                  <c:v>6.3433576296296243E-2</c:v>
                </c:pt>
                <c:pt idx="93">
                  <c:v>6.480394666666664E-2</c:v>
                </c:pt>
                <c:pt idx="94">
                  <c:v>6.6189131851851837E-2</c:v>
                </c:pt>
                <c:pt idx="95">
                  <c:v>6.7589131851851808E-2</c:v>
                </c:pt>
                <c:pt idx="96">
                  <c:v>6.9003946666666677E-2</c:v>
                </c:pt>
                <c:pt idx="97">
                  <c:v>7.0433576296296277E-2</c:v>
                </c:pt>
                <c:pt idx="98">
                  <c:v>7.1878020740740706E-2</c:v>
                </c:pt>
                <c:pt idx="99">
                  <c:v>7.3337279999999991E-2</c:v>
                </c:pt>
                <c:pt idx="100">
                  <c:v>7.4811354074074063E-2</c:v>
                </c:pt>
                <c:pt idx="101">
                  <c:v>7.6300242962962936E-2</c:v>
                </c:pt>
                <c:pt idx="102">
                  <c:v>7.7803946666666637E-2</c:v>
                </c:pt>
                <c:pt idx="103">
                  <c:v>7.9322465185185154E-2</c:v>
                </c:pt>
                <c:pt idx="104">
                  <c:v>8.0855798518518499E-2</c:v>
                </c:pt>
                <c:pt idx="105">
                  <c:v>8.240394666666663E-2</c:v>
                </c:pt>
                <c:pt idx="106">
                  <c:v>8.3966909629629577E-2</c:v>
                </c:pt>
                <c:pt idx="107">
                  <c:v>8.5544687407407366E-2</c:v>
                </c:pt>
                <c:pt idx="108">
                  <c:v>8.713727999999997E-2</c:v>
                </c:pt>
                <c:pt idx="109">
                  <c:v>8.8744687407407388E-2</c:v>
                </c:pt>
                <c:pt idx="110">
                  <c:v>9.0366909629629608E-2</c:v>
                </c:pt>
                <c:pt idx="111">
                  <c:v>9.2003946666666628E-2</c:v>
                </c:pt>
                <c:pt idx="112">
                  <c:v>9.365579851851849E-2</c:v>
                </c:pt>
                <c:pt idx="113">
                  <c:v>9.532246518518514E-2</c:v>
                </c:pt>
                <c:pt idx="114">
                  <c:v>9.7003946666666632E-2</c:v>
                </c:pt>
                <c:pt idx="115">
                  <c:v>9.8700242962962939E-2</c:v>
                </c:pt>
                <c:pt idx="116">
                  <c:v>0.10041135407407407</c:v>
                </c:pt>
                <c:pt idx="117">
                  <c:v>0.10213727999999998</c:v>
                </c:pt>
                <c:pt idx="118">
                  <c:v>0.10387802074074071</c:v>
                </c:pt>
                <c:pt idx="119">
                  <c:v>0.10563357629629624</c:v>
                </c:pt>
                <c:pt idx="120">
                  <c:v>0.10740394666666664</c:v>
                </c:pt>
                <c:pt idx="121">
                  <c:v>0.10918913185185182</c:v>
                </c:pt>
                <c:pt idx="122">
                  <c:v>0.11098913185185183</c:v>
                </c:pt>
                <c:pt idx="123">
                  <c:v>0.11280394666666661</c:v>
                </c:pt>
                <c:pt idx="124">
                  <c:v>0.11463357629629622</c:v>
                </c:pt>
                <c:pt idx="125">
                  <c:v>0.11647802074074071</c:v>
                </c:pt>
                <c:pt idx="126">
                  <c:v>0.11833728</c:v>
                </c:pt>
                <c:pt idx="127">
                  <c:v>0.12021135407407406</c:v>
                </c:pt>
                <c:pt idx="128">
                  <c:v>0.12210024296296293</c:v>
                </c:pt>
                <c:pt idx="129">
                  <c:v>0.12400394666666666</c:v>
                </c:pt>
                <c:pt idx="130">
                  <c:v>0.12592246518518516</c:v>
                </c:pt>
                <c:pt idx="131">
                  <c:v>0.1278557985185185</c:v>
                </c:pt>
                <c:pt idx="132">
                  <c:v>0.1298039466666667</c:v>
                </c:pt>
                <c:pt idx="133">
                  <c:v>0.13176690962962961</c:v>
                </c:pt>
                <c:pt idx="134">
                  <c:v>0.13374468740740739</c:v>
                </c:pt>
                <c:pt idx="135">
                  <c:v>0.13573727999999999</c:v>
                </c:pt>
                <c:pt idx="136">
                  <c:v>0.13774468740740739</c:v>
                </c:pt>
                <c:pt idx="137">
                  <c:v>0.13976690962962962</c:v>
                </c:pt>
                <c:pt idx="138">
                  <c:v>0.1418039466666666</c:v>
                </c:pt>
                <c:pt idx="139">
                  <c:v>0.14385579851851849</c:v>
                </c:pt>
                <c:pt idx="140">
                  <c:v>0.14592246518518517</c:v>
                </c:pt>
                <c:pt idx="141">
                  <c:v>0.14800394666666669</c:v>
                </c:pt>
                <c:pt idx="142">
                  <c:v>0.15010024296296298</c:v>
                </c:pt>
                <c:pt idx="143">
                  <c:v>0.15221135407407402</c:v>
                </c:pt>
                <c:pt idx="144">
                  <c:v>0.15433728000000002</c:v>
                </c:pt>
                <c:pt idx="145">
                  <c:v>0.15647802074074071</c:v>
                </c:pt>
                <c:pt idx="146">
                  <c:v>0.15863357629629626</c:v>
                </c:pt>
                <c:pt idx="147">
                  <c:v>0.16080394666666672</c:v>
                </c:pt>
                <c:pt idx="148">
                  <c:v>0.16298913185185185</c:v>
                </c:pt>
                <c:pt idx="149">
                  <c:v>0.16518913185185183</c:v>
                </c:pt>
                <c:pt idx="150">
                  <c:v>0.16740394666666669</c:v>
                </c:pt>
              </c:numCache>
            </c:numRef>
          </c:yVal>
          <c:smooth val="1"/>
          <c:extLst>
            <c:ext xmlns:c16="http://schemas.microsoft.com/office/drawing/2014/chart" uri="{C3380CC4-5D6E-409C-BE32-E72D297353CC}">
              <c16:uniqueId val="{00000002-A180-432B-A347-F5CCD23FB4B3}"/>
            </c:ext>
          </c:extLst>
        </c:ser>
        <c:ser>
          <c:idx val="2"/>
          <c:order val="3"/>
          <c:tx>
            <c:v>D1</c:v>
          </c:tx>
          <c:spPr>
            <a:ln>
              <a:solidFill>
                <a:schemeClr val="bg2">
                  <a:lumMod val="50000"/>
                </a:schemeClr>
              </a:solidFill>
              <a:prstDash val="sysDash"/>
            </a:ln>
          </c:spPr>
          <c:marker>
            <c:symbol val="none"/>
          </c:marker>
          <c:xVal>
            <c:numRef>
              <c:f>Eff_vs_IOUT!$R$7:$R$157</c:f>
              <c:numCache>
                <c:formatCode>General</c:formatCode>
                <c:ptCount val="151"/>
                <c:pt idx="0">
                  <c:v>0</c:v>
                </c:pt>
                <c:pt idx="1">
                  <c:v>0.53333333333333333</c:v>
                </c:pt>
                <c:pt idx="2">
                  <c:v>1.0666666666666667</c:v>
                </c:pt>
                <c:pt idx="3">
                  <c:v>1.6</c:v>
                </c:pt>
                <c:pt idx="4">
                  <c:v>2.1333333333333333</c:v>
                </c:pt>
                <c:pt idx="5">
                  <c:v>2.6666666666666665</c:v>
                </c:pt>
                <c:pt idx="6">
                  <c:v>3.2</c:v>
                </c:pt>
                <c:pt idx="7">
                  <c:v>3.7333333333333334</c:v>
                </c:pt>
                <c:pt idx="8">
                  <c:v>4.2666666666666666</c:v>
                </c:pt>
                <c:pt idx="9">
                  <c:v>4.8</c:v>
                </c:pt>
                <c:pt idx="10">
                  <c:v>5.333333333333333</c:v>
                </c:pt>
                <c:pt idx="11">
                  <c:v>5.8666666666666663</c:v>
                </c:pt>
                <c:pt idx="12">
                  <c:v>6.4</c:v>
                </c:pt>
                <c:pt idx="13">
                  <c:v>6.9333333333333336</c:v>
                </c:pt>
                <c:pt idx="14">
                  <c:v>7.4666666666666668</c:v>
                </c:pt>
                <c:pt idx="15">
                  <c:v>8</c:v>
                </c:pt>
                <c:pt idx="16">
                  <c:v>8.5333333333333332</c:v>
                </c:pt>
                <c:pt idx="17">
                  <c:v>9.0666666666666664</c:v>
                </c:pt>
                <c:pt idx="18">
                  <c:v>9.6</c:v>
                </c:pt>
                <c:pt idx="19">
                  <c:v>10.133333333333333</c:v>
                </c:pt>
                <c:pt idx="20">
                  <c:v>10.666666666666666</c:v>
                </c:pt>
                <c:pt idx="21">
                  <c:v>11.2</c:v>
                </c:pt>
                <c:pt idx="22">
                  <c:v>11.733333333333333</c:v>
                </c:pt>
                <c:pt idx="23">
                  <c:v>12.266666666666666</c:v>
                </c:pt>
                <c:pt idx="24">
                  <c:v>12.8</c:v>
                </c:pt>
                <c:pt idx="25">
                  <c:v>13.333333333333334</c:v>
                </c:pt>
                <c:pt idx="26">
                  <c:v>13.866666666666667</c:v>
                </c:pt>
                <c:pt idx="27">
                  <c:v>14.4</c:v>
                </c:pt>
                <c:pt idx="28">
                  <c:v>14.933333333333334</c:v>
                </c:pt>
                <c:pt idx="29">
                  <c:v>15.466666666666667</c:v>
                </c:pt>
                <c:pt idx="30">
                  <c:v>16</c:v>
                </c:pt>
                <c:pt idx="31">
                  <c:v>16.533333333333331</c:v>
                </c:pt>
                <c:pt idx="32">
                  <c:v>17.066666666666666</c:v>
                </c:pt>
                <c:pt idx="33">
                  <c:v>17.600000000000001</c:v>
                </c:pt>
                <c:pt idx="34">
                  <c:v>18.133333333333333</c:v>
                </c:pt>
                <c:pt idx="35">
                  <c:v>18.666666666666668</c:v>
                </c:pt>
                <c:pt idx="36">
                  <c:v>19.2</c:v>
                </c:pt>
                <c:pt idx="37">
                  <c:v>19.733333333333334</c:v>
                </c:pt>
                <c:pt idx="38">
                  <c:v>20.266666666666666</c:v>
                </c:pt>
                <c:pt idx="39">
                  <c:v>20.8</c:v>
                </c:pt>
                <c:pt idx="40">
                  <c:v>21.333333333333332</c:v>
                </c:pt>
                <c:pt idx="41">
                  <c:v>21.866666666666667</c:v>
                </c:pt>
                <c:pt idx="42">
                  <c:v>22.4</c:v>
                </c:pt>
                <c:pt idx="43">
                  <c:v>22.933333333333334</c:v>
                </c:pt>
                <c:pt idx="44">
                  <c:v>23.466666666666665</c:v>
                </c:pt>
                <c:pt idx="45">
                  <c:v>24</c:v>
                </c:pt>
                <c:pt idx="46">
                  <c:v>24.533333333333331</c:v>
                </c:pt>
                <c:pt idx="47">
                  <c:v>25.066666666666666</c:v>
                </c:pt>
                <c:pt idx="48">
                  <c:v>25.6</c:v>
                </c:pt>
                <c:pt idx="49">
                  <c:v>26.133333333333333</c:v>
                </c:pt>
                <c:pt idx="50">
                  <c:v>26.666666666666668</c:v>
                </c:pt>
                <c:pt idx="51">
                  <c:v>27.2</c:v>
                </c:pt>
                <c:pt idx="52">
                  <c:v>27.733333333333334</c:v>
                </c:pt>
                <c:pt idx="53">
                  <c:v>28.266666666666666</c:v>
                </c:pt>
                <c:pt idx="54">
                  <c:v>28.8</c:v>
                </c:pt>
                <c:pt idx="55">
                  <c:v>29.333333333333332</c:v>
                </c:pt>
                <c:pt idx="56">
                  <c:v>29.866666666666667</c:v>
                </c:pt>
                <c:pt idx="57">
                  <c:v>30.4</c:v>
                </c:pt>
                <c:pt idx="58">
                  <c:v>30.933333333333334</c:v>
                </c:pt>
                <c:pt idx="59">
                  <c:v>31.466666666666665</c:v>
                </c:pt>
                <c:pt idx="60">
                  <c:v>32</c:v>
                </c:pt>
                <c:pt idx="61">
                  <c:v>32.533333333333331</c:v>
                </c:pt>
                <c:pt idx="62">
                  <c:v>33.066666666666663</c:v>
                </c:pt>
                <c:pt idx="63">
                  <c:v>33.6</c:v>
                </c:pt>
                <c:pt idx="64">
                  <c:v>34.133333333333333</c:v>
                </c:pt>
                <c:pt idx="65">
                  <c:v>34.666666666666664</c:v>
                </c:pt>
                <c:pt idx="66">
                  <c:v>35.200000000000003</c:v>
                </c:pt>
                <c:pt idx="67">
                  <c:v>35.733333333333334</c:v>
                </c:pt>
                <c:pt idx="68">
                  <c:v>36.266666666666666</c:v>
                </c:pt>
                <c:pt idx="69">
                  <c:v>36.799999999999997</c:v>
                </c:pt>
                <c:pt idx="70">
                  <c:v>37.333333333333336</c:v>
                </c:pt>
                <c:pt idx="71">
                  <c:v>37.866666666666667</c:v>
                </c:pt>
                <c:pt idx="72">
                  <c:v>38.4</c:v>
                </c:pt>
                <c:pt idx="73">
                  <c:v>38.93333333333333</c:v>
                </c:pt>
                <c:pt idx="74">
                  <c:v>39.466666666666669</c:v>
                </c:pt>
                <c:pt idx="75">
                  <c:v>40</c:v>
                </c:pt>
                <c:pt idx="76">
                  <c:v>40.533333333333331</c:v>
                </c:pt>
                <c:pt idx="77">
                  <c:v>41.066666666666663</c:v>
                </c:pt>
                <c:pt idx="78">
                  <c:v>41.6</c:v>
                </c:pt>
                <c:pt idx="79">
                  <c:v>42.133333333333333</c:v>
                </c:pt>
                <c:pt idx="80">
                  <c:v>42.666666666666664</c:v>
                </c:pt>
                <c:pt idx="81">
                  <c:v>43.2</c:v>
                </c:pt>
                <c:pt idx="82">
                  <c:v>43.733333333333334</c:v>
                </c:pt>
                <c:pt idx="83">
                  <c:v>44.266666666666666</c:v>
                </c:pt>
                <c:pt idx="84">
                  <c:v>44.8</c:v>
                </c:pt>
                <c:pt idx="85">
                  <c:v>45.333333333333336</c:v>
                </c:pt>
                <c:pt idx="86">
                  <c:v>45.866666666666667</c:v>
                </c:pt>
                <c:pt idx="87">
                  <c:v>46.4</c:v>
                </c:pt>
                <c:pt idx="88">
                  <c:v>46.93333333333333</c:v>
                </c:pt>
                <c:pt idx="89">
                  <c:v>47.466666666666669</c:v>
                </c:pt>
                <c:pt idx="90">
                  <c:v>48</c:v>
                </c:pt>
                <c:pt idx="91">
                  <c:v>48.533333333333331</c:v>
                </c:pt>
                <c:pt idx="92">
                  <c:v>49.066666666666663</c:v>
                </c:pt>
                <c:pt idx="93">
                  <c:v>49.6</c:v>
                </c:pt>
                <c:pt idx="94">
                  <c:v>50.133333333333333</c:v>
                </c:pt>
                <c:pt idx="95">
                  <c:v>50.666666666666664</c:v>
                </c:pt>
                <c:pt idx="96">
                  <c:v>51.2</c:v>
                </c:pt>
                <c:pt idx="97">
                  <c:v>51.733333333333334</c:v>
                </c:pt>
                <c:pt idx="98">
                  <c:v>52.266666666666666</c:v>
                </c:pt>
                <c:pt idx="99">
                  <c:v>52.8</c:v>
                </c:pt>
                <c:pt idx="100">
                  <c:v>53.333333333333336</c:v>
                </c:pt>
                <c:pt idx="101">
                  <c:v>53.866666666666667</c:v>
                </c:pt>
                <c:pt idx="102">
                  <c:v>54.4</c:v>
                </c:pt>
                <c:pt idx="103">
                  <c:v>54.93333333333333</c:v>
                </c:pt>
                <c:pt idx="104">
                  <c:v>55.466666666666669</c:v>
                </c:pt>
                <c:pt idx="105">
                  <c:v>56</c:v>
                </c:pt>
                <c:pt idx="106">
                  <c:v>56.533333333333331</c:v>
                </c:pt>
                <c:pt idx="107">
                  <c:v>57.066666666666663</c:v>
                </c:pt>
                <c:pt idx="108">
                  <c:v>57.6</c:v>
                </c:pt>
                <c:pt idx="109">
                  <c:v>58.133333333333333</c:v>
                </c:pt>
                <c:pt idx="110">
                  <c:v>58.666666666666664</c:v>
                </c:pt>
                <c:pt idx="111">
                  <c:v>59.199999999999996</c:v>
                </c:pt>
                <c:pt idx="112">
                  <c:v>59.733333333333334</c:v>
                </c:pt>
                <c:pt idx="113">
                  <c:v>60.266666666666666</c:v>
                </c:pt>
                <c:pt idx="114">
                  <c:v>60.8</c:v>
                </c:pt>
                <c:pt idx="115">
                  <c:v>61.333333333333336</c:v>
                </c:pt>
                <c:pt idx="116">
                  <c:v>61.866666666666667</c:v>
                </c:pt>
                <c:pt idx="117">
                  <c:v>62.4</c:v>
                </c:pt>
                <c:pt idx="118">
                  <c:v>62.93333333333333</c:v>
                </c:pt>
                <c:pt idx="119">
                  <c:v>63.466666666666669</c:v>
                </c:pt>
                <c:pt idx="120">
                  <c:v>64</c:v>
                </c:pt>
                <c:pt idx="121">
                  <c:v>64.533333333333331</c:v>
                </c:pt>
                <c:pt idx="122">
                  <c:v>65.066666666666663</c:v>
                </c:pt>
                <c:pt idx="123">
                  <c:v>65.599999999999994</c:v>
                </c:pt>
                <c:pt idx="124">
                  <c:v>66.133333333333326</c:v>
                </c:pt>
                <c:pt idx="125">
                  <c:v>66.666666666666671</c:v>
                </c:pt>
                <c:pt idx="126">
                  <c:v>67.2</c:v>
                </c:pt>
                <c:pt idx="127">
                  <c:v>67.733333333333334</c:v>
                </c:pt>
                <c:pt idx="128">
                  <c:v>68.266666666666666</c:v>
                </c:pt>
                <c:pt idx="129">
                  <c:v>68.8</c:v>
                </c:pt>
                <c:pt idx="130">
                  <c:v>69.333333333333329</c:v>
                </c:pt>
                <c:pt idx="131">
                  <c:v>69.86666666666666</c:v>
                </c:pt>
                <c:pt idx="132">
                  <c:v>70.400000000000006</c:v>
                </c:pt>
                <c:pt idx="133">
                  <c:v>70.933333333333337</c:v>
                </c:pt>
                <c:pt idx="134">
                  <c:v>71.466666666666669</c:v>
                </c:pt>
                <c:pt idx="135">
                  <c:v>72</c:v>
                </c:pt>
                <c:pt idx="136">
                  <c:v>72.533333333333331</c:v>
                </c:pt>
                <c:pt idx="137">
                  <c:v>73.066666666666663</c:v>
                </c:pt>
                <c:pt idx="138">
                  <c:v>73.599999999999994</c:v>
                </c:pt>
                <c:pt idx="139">
                  <c:v>74.133333333333326</c:v>
                </c:pt>
                <c:pt idx="140">
                  <c:v>74.666666666666671</c:v>
                </c:pt>
                <c:pt idx="141">
                  <c:v>75.2</c:v>
                </c:pt>
                <c:pt idx="142">
                  <c:v>75.733333333333334</c:v>
                </c:pt>
                <c:pt idx="143">
                  <c:v>76.266666666666666</c:v>
                </c:pt>
                <c:pt idx="144">
                  <c:v>76.8</c:v>
                </c:pt>
                <c:pt idx="145">
                  <c:v>77.333333333333329</c:v>
                </c:pt>
                <c:pt idx="146">
                  <c:v>77.86666666666666</c:v>
                </c:pt>
                <c:pt idx="147">
                  <c:v>78.400000000000006</c:v>
                </c:pt>
                <c:pt idx="148">
                  <c:v>78.933333333333337</c:v>
                </c:pt>
                <c:pt idx="149">
                  <c:v>79.466666666666669</c:v>
                </c:pt>
                <c:pt idx="150">
                  <c:v>80</c:v>
                </c:pt>
              </c:numCache>
            </c:numRef>
          </c:xVal>
          <c:yVal>
            <c:numRef>
              <c:f>Eff_vs_IOUT!$AY$8:$AY$157</c:f>
              <c:numCache>
                <c:formatCode>General</c:formatCode>
                <c:ptCount val="150"/>
                <c:pt idx="0">
                  <c:v>4.0010000000000003</c:v>
                </c:pt>
                <c:pt idx="1">
                  <c:v>4.0019999999999998</c:v>
                </c:pt>
                <c:pt idx="2">
                  <c:v>4.0030000000000001</c:v>
                </c:pt>
                <c:pt idx="3">
                  <c:v>4.0039999999999996</c:v>
                </c:pt>
                <c:pt idx="4">
                  <c:v>4.0049999999999999</c:v>
                </c:pt>
                <c:pt idx="5">
                  <c:v>4.0060000000000002</c:v>
                </c:pt>
                <c:pt idx="6">
                  <c:v>4.0069999999999997</c:v>
                </c:pt>
                <c:pt idx="7">
                  <c:v>4.008</c:v>
                </c:pt>
                <c:pt idx="8">
                  <c:v>4.0090000000000003</c:v>
                </c:pt>
                <c:pt idx="9">
                  <c:v>4.01</c:v>
                </c:pt>
                <c:pt idx="10">
                  <c:v>4.0110000000000001</c:v>
                </c:pt>
                <c:pt idx="11">
                  <c:v>4.0119999999999996</c:v>
                </c:pt>
                <c:pt idx="12">
                  <c:v>4.0129999999999999</c:v>
                </c:pt>
                <c:pt idx="13">
                  <c:v>4.0140000000000002</c:v>
                </c:pt>
                <c:pt idx="14">
                  <c:v>4.0149999999999997</c:v>
                </c:pt>
                <c:pt idx="15">
                  <c:v>4.016</c:v>
                </c:pt>
                <c:pt idx="16">
                  <c:v>4.0170000000000003</c:v>
                </c:pt>
                <c:pt idx="17">
                  <c:v>4.0179999999999998</c:v>
                </c:pt>
                <c:pt idx="18">
                  <c:v>4.0190000000000001</c:v>
                </c:pt>
                <c:pt idx="19">
                  <c:v>4.0199999999999996</c:v>
                </c:pt>
                <c:pt idx="20">
                  <c:v>4.0209999999999999</c:v>
                </c:pt>
                <c:pt idx="21">
                  <c:v>4.0220000000000002</c:v>
                </c:pt>
                <c:pt idx="22">
                  <c:v>4.0229999999999997</c:v>
                </c:pt>
                <c:pt idx="23">
                  <c:v>4.024</c:v>
                </c:pt>
                <c:pt idx="24">
                  <c:v>4.0250000000000004</c:v>
                </c:pt>
                <c:pt idx="25">
                  <c:v>4.0259999999999998</c:v>
                </c:pt>
                <c:pt idx="26">
                  <c:v>4.0270000000000001</c:v>
                </c:pt>
                <c:pt idx="27">
                  <c:v>4.0279999999999996</c:v>
                </c:pt>
                <c:pt idx="28">
                  <c:v>4.0289999999999999</c:v>
                </c:pt>
                <c:pt idx="29">
                  <c:v>4.03</c:v>
                </c:pt>
                <c:pt idx="30">
                  <c:v>4.0309999999999997</c:v>
                </c:pt>
                <c:pt idx="31">
                  <c:v>4.032</c:v>
                </c:pt>
                <c:pt idx="32">
                  <c:v>4.0330000000000004</c:v>
                </c:pt>
                <c:pt idx="33">
                  <c:v>4.0339999999999998</c:v>
                </c:pt>
                <c:pt idx="34">
                  <c:v>4.0350000000000001</c:v>
                </c:pt>
                <c:pt idx="35">
                  <c:v>4.0359999999999996</c:v>
                </c:pt>
                <c:pt idx="36">
                  <c:v>4.0369999999999999</c:v>
                </c:pt>
                <c:pt idx="37">
                  <c:v>4.0380000000000003</c:v>
                </c:pt>
                <c:pt idx="38">
                  <c:v>4.0389999999999997</c:v>
                </c:pt>
                <c:pt idx="39">
                  <c:v>4.04</c:v>
                </c:pt>
                <c:pt idx="40">
                  <c:v>4.0410000000000004</c:v>
                </c:pt>
                <c:pt idx="41">
                  <c:v>4.0419999999999998</c:v>
                </c:pt>
                <c:pt idx="42">
                  <c:v>4.0430000000000001</c:v>
                </c:pt>
                <c:pt idx="43">
                  <c:v>4.0439999999999996</c:v>
                </c:pt>
                <c:pt idx="44">
                  <c:v>4.0449999999999999</c:v>
                </c:pt>
                <c:pt idx="45">
                  <c:v>4.0460000000000003</c:v>
                </c:pt>
                <c:pt idx="46">
                  <c:v>4.0469999999999997</c:v>
                </c:pt>
                <c:pt idx="47">
                  <c:v>4.048</c:v>
                </c:pt>
                <c:pt idx="48">
                  <c:v>4.0490000000000004</c:v>
                </c:pt>
                <c:pt idx="49">
                  <c:v>4.05</c:v>
                </c:pt>
                <c:pt idx="50">
                  <c:v>4.0510000000000002</c:v>
                </c:pt>
                <c:pt idx="51">
                  <c:v>4.0519999999999996</c:v>
                </c:pt>
                <c:pt idx="52">
                  <c:v>4.0529999999999999</c:v>
                </c:pt>
                <c:pt idx="53">
                  <c:v>4.0540000000000003</c:v>
                </c:pt>
                <c:pt idx="54">
                  <c:v>4.0549999999999997</c:v>
                </c:pt>
                <c:pt idx="55">
                  <c:v>4.056</c:v>
                </c:pt>
                <c:pt idx="56">
                  <c:v>4.0570000000000004</c:v>
                </c:pt>
                <c:pt idx="57">
                  <c:v>4.0579999999999998</c:v>
                </c:pt>
                <c:pt idx="58">
                  <c:v>4.0590000000000002</c:v>
                </c:pt>
                <c:pt idx="59">
                  <c:v>4.0599999999999996</c:v>
                </c:pt>
                <c:pt idx="60">
                  <c:v>4.0609999999999999</c:v>
                </c:pt>
                <c:pt idx="61">
                  <c:v>4.0620000000000003</c:v>
                </c:pt>
                <c:pt idx="62">
                  <c:v>4.0629999999999997</c:v>
                </c:pt>
                <c:pt idx="63">
                  <c:v>4.0640000000000001</c:v>
                </c:pt>
                <c:pt idx="64">
                  <c:v>4.0650000000000004</c:v>
                </c:pt>
                <c:pt idx="65">
                  <c:v>4.0659999999999998</c:v>
                </c:pt>
                <c:pt idx="66">
                  <c:v>4.0670000000000002</c:v>
                </c:pt>
                <c:pt idx="67">
                  <c:v>4.0679999999999996</c:v>
                </c:pt>
                <c:pt idx="68">
                  <c:v>4.069</c:v>
                </c:pt>
                <c:pt idx="69">
                  <c:v>4.07</c:v>
                </c:pt>
                <c:pt idx="70">
                  <c:v>4.0709999999999997</c:v>
                </c:pt>
                <c:pt idx="71">
                  <c:v>4.0720000000000001</c:v>
                </c:pt>
                <c:pt idx="72">
                  <c:v>4.0730000000000004</c:v>
                </c:pt>
                <c:pt idx="73">
                  <c:v>4.0739999999999998</c:v>
                </c:pt>
                <c:pt idx="74">
                  <c:v>4.0750000000000002</c:v>
                </c:pt>
                <c:pt idx="75">
                  <c:v>4.0759999999999996</c:v>
                </c:pt>
                <c:pt idx="76">
                  <c:v>4.077</c:v>
                </c:pt>
                <c:pt idx="77">
                  <c:v>4.0780000000000003</c:v>
                </c:pt>
                <c:pt idx="78">
                  <c:v>4.0789999999999997</c:v>
                </c:pt>
                <c:pt idx="79">
                  <c:v>4.08</c:v>
                </c:pt>
                <c:pt idx="80">
                  <c:v>4.0810000000000004</c:v>
                </c:pt>
                <c:pt idx="81">
                  <c:v>4.0819999999999999</c:v>
                </c:pt>
                <c:pt idx="82">
                  <c:v>4.0830000000000002</c:v>
                </c:pt>
                <c:pt idx="83">
                  <c:v>4.0839999999999996</c:v>
                </c:pt>
                <c:pt idx="84">
                  <c:v>4.085</c:v>
                </c:pt>
                <c:pt idx="85">
                  <c:v>4.0860000000000003</c:v>
                </c:pt>
                <c:pt idx="86">
                  <c:v>4.0869999999999997</c:v>
                </c:pt>
                <c:pt idx="87">
                  <c:v>4.0880000000000001</c:v>
                </c:pt>
                <c:pt idx="88">
                  <c:v>4.0890000000000004</c:v>
                </c:pt>
                <c:pt idx="89">
                  <c:v>4.09</c:v>
                </c:pt>
                <c:pt idx="90">
                  <c:v>4.0910000000000002</c:v>
                </c:pt>
                <c:pt idx="91">
                  <c:v>4.0919999999999996</c:v>
                </c:pt>
                <c:pt idx="92">
                  <c:v>4.093</c:v>
                </c:pt>
                <c:pt idx="93">
                  <c:v>4.0940000000000003</c:v>
                </c:pt>
                <c:pt idx="94">
                  <c:v>4.0949999999999998</c:v>
                </c:pt>
                <c:pt idx="95">
                  <c:v>4.0960000000000001</c:v>
                </c:pt>
                <c:pt idx="96">
                  <c:v>4.0970000000000004</c:v>
                </c:pt>
                <c:pt idx="97">
                  <c:v>4.0979999999999999</c:v>
                </c:pt>
                <c:pt idx="98">
                  <c:v>4.0990000000000002</c:v>
                </c:pt>
                <c:pt idx="99">
                  <c:v>4.0999999999999996</c:v>
                </c:pt>
                <c:pt idx="100">
                  <c:v>4.101</c:v>
                </c:pt>
                <c:pt idx="101">
                  <c:v>4.1020000000000003</c:v>
                </c:pt>
                <c:pt idx="102">
                  <c:v>4.1029999999999998</c:v>
                </c:pt>
                <c:pt idx="103">
                  <c:v>4.1040000000000001</c:v>
                </c:pt>
                <c:pt idx="104">
                  <c:v>4.1050000000000004</c:v>
                </c:pt>
                <c:pt idx="105">
                  <c:v>4.1059999999999999</c:v>
                </c:pt>
                <c:pt idx="106">
                  <c:v>4.1070000000000002</c:v>
                </c:pt>
                <c:pt idx="107">
                  <c:v>4.1079999999999997</c:v>
                </c:pt>
                <c:pt idx="108">
                  <c:v>4.109</c:v>
                </c:pt>
                <c:pt idx="109">
                  <c:v>4.1100000000000003</c:v>
                </c:pt>
                <c:pt idx="110">
                  <c:v>4.1109999999999998</c:v>
                </c:pt>
                <c:pt idx="111">
                  <c:v>4.1120000000000001</c:v>
                </c:pt>
                <c:pt idx="112">
                  <c:v>4.1129999999999995</c:v>
                </c:pt>
                <c:pt idx="113">
                  <c:v>4.1139999999999999</c:v>
                </c:pt>
                <c:pt idx="114">
                  <c:v>4.1150000000000002</c:v>
                </c:pt>
                <c:pt idx="115">
                  <c:v>4.1159999999999997</c:v>
                </c:pt>
                <c:pt idx="116">
                  <c:v>4.117</c:v>
                </c:pt>
                <c:pt idx="117">
                  <c:v>4.1180000000000003</c:v>
                </c:pt>
                <c:pt idx="118">
                  <c:v>4.1189999999999998</c:v>
                </c:pt>
                <c:pt idx="119">
                  <c:v>4.12</c:v>
                </c:pt>
                <c:pt idx="120">
                  <c:v>4.1210000000000004</c:v>
                </c:pt>
                <c:pt idx="121">
                  <c:v>4.1219999999999999</c:v>
                </c:pt>
                <c:pt idx="122">
                  <c:v>4.1230000000000002</c:v>
                </c:pt>
                <c:pt idx="123">
                  <c:v>4.1239999999999997</c:v>
                </c:pt>
                <c:pt idx="124">
                  <c:v>4.125</c:v>
                </c:pt>
                <c:pt idx="125">
                  <c:v>4.1260000000000003</c:v>
                </c:pt>
                <c:pt idx="126">
                  <c:v>4.1269999999999998</c:v>
                </c:pt>
                <c:pt idx="127">
                  <c:v>4.1280000000000001</c:v>
                </c:pt>
                <c:pt idx="128">
                  <c:v>4.1289999999999996</c:v>
                </c:pt>
                <c:pt idx="129">
                  <c:v>4.13</c:v>
                </c:pt>
                <c:pt idx="130">
                  <c:v>4.1310000000000002</c:v>
                </c:pt>
                <c:pt idx="131">
                  <c:v>4.1319999999999997</c:v>
                </c:pt>
                <c:pt idx="132">
                  <c:v>4.133</c:v>
                </c:pt>
                <c:pt idx="133">
                  <c:v>4.1340000000000003</c:v>
                </c:pt>
                <c:pt idx="134">
                  <c:v>4.1349999999999998</c:v>
                </c:pt>
                <c:pt idx="135">
                  <c:v>4.1360000000000001</c:v>
                </c:pt>
                <c:pt idx="136">
                  <c:v>4.1369999999999996</c:v>
                </c:pt>
                <c:pt idx="137">
                  <c:v>4.1379999999999999</c:v>
                </c:pt>
                <c:pt idx="138">
                  <c:v>4.1390000000000002</c:v>
                </c:pt>
                <c:pt idx="139">
                  <c:v>4.1399999999999997</c:v>
                </c:pt>
                <c:pt idx="140">
                  <c:v>4.141</c:v>
                </c:pt>
                <c:pt idx="141">
                  <c:v>4.1420000000000003</c:v>
                </c:pt>
                <c:pt idx="142">
                  <c:v>4.1429999999999998</c:v>
                </c:pt>
                <c:pt idx="143">
                  <c:v>4.1440000000000001</c:v>
                </c:pt>
                <c:pt idx="144">
                  <c:v>4.1449999999999996</c:v>
                </c:pt>
                <c:pt idx="145">
                  <c:v>4.1459999999999999</c:v>
                </c:pt>
                <c:pt idx="146">
                  <c:v>4.1470000000000002</c:v>
                </c:pt>
                <c:pt idx="147">
                  <c:v>4.1479999999999997</c:v>
                </c:pt>
                <c:pt idx="148">
                  <c:v>4.149</c:v>
                </c:pt>
                <c:pt idx="149">
                  <c:v>4.1500000000000004</c:v>
                </c:pt>
              </c:numCache>
            </c:numRef>
          </c:yVal>
          <c:smooth val="1"/>
          <c:extLst>
            <c:ext xmlns:c16="http://schemas.microsoft.com/office/drawing/2014/chart" uri="{C3380CC4-5D6E-409C-BE32-E72D297353CC}">
              <c16:uniqueId val="{00000003-A180-432B-A347-F5CCD23FB4B3}"/>
            </c:ext>
          </c:extLst>
        </c:ser>
        <c:ser>
          <c:idx val="4"/>
          <c:order val="4"/>
          <c:tx>
            <c:v>D2</c:v>
          </c:tx>
          <c:marker>
            <c:symbol val="none"/>
          </c:marker>
          <c:xVal>
            <c:numRef>
              <c:f>Eff_vs_IOUT!$R$8:$R$157</c:f>
              <c:numCache>
                <c:formatCode>General</c:formatCode>
                <c:ptCount val="150"/>
                <c:pt idx="0">
                  <c:v>0.53333333333333333</c:v>
                </c:pt>
                <c:pt idx="1">
                  <c:v>1.0666666666666667</c:v>
                </c:pt>
                <c:pt idx="2">
                  <c:v>1.6</c:v>
                </c:pt>
                <c:pt idx="3">
                  <c:v>2.1333333333333333</c:v>
                </c:pt>
                <c:pt idx="4">
                  <c:v>2.6666666666666665</c:v>
                </c:pt>
                <c:pt idx="5">
                  <c:v>3.2</c:v>
                </c:pt>
                <c:pt idx="6">
                  <c:v>3.7333333333333334</c:v>
                </c:pt>
                <c:pt idx="7">
                  <c:v>4.2666666666666666</c:v>
                </c:pt>
                <c:pt idx="8">
                  <c:v>4.8</c:v>
                </c:pt>
                <c:pt idx="9">
                  <c:v>5.333333333333333</c:v>
                </c:pt>
                <c:pt idx="10">
                  <c:v>5.8666666666666663</c:v>
                </c:pt>
                <c:pt idx="11">
                  <c:v>6.4</c:v>
                </c:pt>
                <c:pt idx="12">
                  <c:v>6.9333333333333336</c:v>
                </c:pt>
                <c:pt idx="13">
                  <c:v>7.4666666666666668</c:v>
                </c:pt>
                <c:pt idx="14">
                  <c:v>8</c:v>
                </c:pt>
                <c:pt idx="15">
                  <c:v>8.5333333333333332</c:v>
                </c:pt>
                <c:pt idx="16">
                  <c:v>9.0666666666666664</c:v>
                </c:pt>
                <c:pt idx="17">
                  <c:v>9.6</c:v>
                </c:pt>
                <c:pt idx="18">
                  <c:v>10.133333333333333</c:v>
                </c:pt>
                <c:pt idx="19">
                  <c:v>10.666666666666666</c:v>
                </c:pt>
                <c:pt idx="20">
                  <c:v>11.2</c:v>
                </c:pt>
                <c:pt idx="21">
                  <c:v>11.733333333333333</c:v>
                </c:pt>
                <c:pt idx="22">
                  <c:v>12.266666666666666</c:v>
                </c:pt>
                <c:pt idx="23">
                  <c:v>12.8</c:v>
                </c:pt>
                <c:pt idx="24">
                  <c:v>13.333333333333334</c:v>
                </c:pt>
                <c:pt idx="25">
                  <c:v>13.866666666666667</c:v>
                </c:pt>
                <c:pt idx="26">
                  <c:v>14.4</c:v>
                </c:pt>
                <c:pt idx="27">
                  <c:v>14.933333333333334</c:v>
                </c:pt>
                <c:pt idx="28">
                  <c:v>15.466666666666667</c:v>
                </c:pt>
                <c:pt idx="29">
                  <c:v>16</c:v>
                </c:pt>
                <c:pt idx="30">
                  <c:v>16.533333333333331</c:v>
                </c:pt>
                <c:pt idx="31">
                  <c:v>17.066666666666666</c:v>
                </c:pt>
                <c:pt idx="32">
                  <c:v>17.600000000000001</c:v>
                </c:pt>
                <c:pt idx="33">
                  <c:v>18.133333333333333</c:v>
                </c:pt>
                <c:pt idx="34">
                  <c:v>18.666666666666668</c:v>
                </c:pt>
                <c:pt idx="35">
                  <c:v>19.2</c:v>
                </c:pt>
                <c:pt idx="36">
                  <c:v>19.733333333333334</c:v>
                </c:pt>
                <c:pt idx="37">
                  <c:v>20.266666666666666</c:v>
                </c:pt>
                <c:pt idx="38">
                  <c:v>20.8</c:v>
                </c:pt>
                <c:pt idx="39">
                  <c:v>21.333333333333332</c:v>
                </c:pt>
                <c:pt idx="40">
                  <c:v>21.866666666666667</c:v>
                </c:pt>
                <c:pt idx="41">
                  <c:v>22.4</c:v>
                </c:pt>
                <c:pt idx="42">
                  <c:v>22.933333333333334</c:v>
                </c:pt>
                <c:pt idx="43">
                  <c:v>23.466666666666665</c:v>
                </c:pt>
                <c:pt idx="44">
                  <c:v>24</c:v>
                </c:pt>
                <c:pt idx="45">
                  <c:v>24.533333333333331</c:v>
                </c:pt>
                <c:pt idx="46">
                  <c:v>25.066666666666666</c:v>
                </c:pt>
                <c:pt idx="47">
                  <c:v>25.6</c:v>
                </c:pt>
                <c:pt idx="48">
                  <c:v>26.133333333333333</c:v>
                </c:pt>
                <c:pt idx="49">
                  <c:v>26.666666666666668</c:v>
                </c:pt>
                <c:pt idx="50">
                  <c:v>27.2</c:v>
                </c:pt>
                <c:pt idx="51">
                  <c:v>27.733333333333334</c:v>
                </c:pt>
                <c:pt idx="52">
                  <c:v>28.266666666666666</c:v>
                </c:pt>
                <c:pt idx="53">
                  <c:v>28.8</c:v>
                </c:pt>
                <c:pt idx="54">
                  <c:v>29.333333333333332</c:v>
                </c:pt>
                <c:pt idx="55">
                  <c:v>29.866666666666667</c:v>
                </c:pt>
                <c:pt idx="56">
                  <c:v>30.4</c:v>
                </c:pt>
                <c:pt idx="57">
                  <c:v>30.933333333333334</c:v>
                </c:pt>
                <c:pt idx="58">
                  <c:v>31.466666666666665</c:v>
                </c:pt>
                <c:pt idx="59">
                  <c:v>32</c:v>
                </c:pt>
                <c:pt idx="60">
                  <c:v>32.533333333333331</c:v>
                </c:pt>
                <c:pt idx="61">
                  <c:v>33.066666666666663</c:v>
                </c:pt>
                <c:pt idx="62">
                  <c:v>33.6</c:v>
                </c:pt>
                <c:pt idx="63">
                  <c:v>34.133333333333333</c:v>
                </c:pt>
                <c:pt idx="64">
                  <c:v>34.666666666666664</c:v>
                </c:pt>
                <c:pt idx="65">
                  <c:v>35.200000000000003</c:v>
                </c:pt>
                <c:pt idx="66">
                  <c:v>35.733333333333334</c:v>
                </c:pt>
                <c:pt idx="67">
                  <c:v>36.266666666666666</c:v>
                </c:pt>
                <c:pt idx="68">
                  <c:v>36.799999999999997</c:v>
                </c:pt>
                <c:pt idx="69">
                  <c:v>37.333333333333336</c:v>
                </c:pt>
                <c:pt idx="70">
                  <c:v>37.866666666666667</c:v>
                </c:pt>
                <c:pt idx="71">
                  <c:v>38.4</c:v>
                </c:pt>
                <c:pt idx="72">
                  <c:v>38.93333333333333</c:v>
                </c:pt>
                <c:pt idx="73">
                  <c:v>39.466666666666669</c:v>
                </c:pt>
                <c:pt idx="74">
                  <c:v>40</c:v>
                </c:pt>
                <c:pt idx="75">
                  <c:v>40.533333333333331</c:v>
                </c:pt>
                <c:pt idx="76">
                  <c:v>41.066666666666663</c:v>
                </c:pt>
                <c:pt idx="77">
                  <c:v>41.6</c:v>
                </c:pt>
                <c:pt idx="78">
                  <c:v>42.133333333333333</c:v>
                </c:pt>
                <c:pt idx="79">
                  <c:v>42.666666666666664</c:v>
                </c:pt>
                <c:pt idx="80">
                  <c:v>43.2</c:v>
                </c:pt>
                <c:pt idx="81">
                  <c:v>43.733333333333334</c:v>
                </c:pt>
                <c:pt idx="82">
                  <c:v>44.266666666666666</c:v>
                </c:pt>
                <c:pt idx="83">
                  <c:v>44.8</c:v>
                </c:pt>
                <c:pt idx="84">
                  <c:v>45.333333333333336</c:v>
                </c:pt>
                <c:pt idx="85">
                  <c:v>45.866666666666667</c:v>
                </c:pt>
                <c:pt idx="86">
                  <c:v>46.4</c:v>
                </c:pt>
                <c:pt idx="87">
                  <c:v>46.93333333333333</c:v>
                </c:pt>
                <c:pt idx="88">
                  <c:v>47.466666666666669</c:v>
                </c:pt>
                <c:pt idx="89">
                  <c:v>48</c:v>
                </c:pt>
                <c:pt idx="90">
                  <c:v>48.533333333333331</c:v>
                </c:pt>
                <c:pt idx="91">
                  <c:v>49.066666666666663</c:v>
                </c:pt>
                <c:pt idx="92">
                  <c:v>49.6</c:v>
                </c:pt>
                <c:pt idx="93">
                  <c:v>50.133333333333333</c:v>
                </c:pt>
                <c:pt idx="94">
                  <c:v>50.666666666666664</c:v>
                </c:pt>
                <c:pt idx="95">
                  <c:v>51.2</c:v>
                </c:pt>
                <c:pt idx="96">
                  <c:v>51.733333333333334</c:v>
                </c:pt>
                <c:pt idx="97">
                  <c:v>52.266666666666666</c:v>
                </c:pt>
                <c:pt idx="98">
                  <c:v>52.8</c:v>
                </c:pt>
                <c:pt idx="99">
                  <c:v>53.333333333333336</c:v>
                </c:pt>
                <c:pt idx="100">
                  <c:v>53.866666666666667</c:v>
                </c:pt>
                <c:pt idx="101">
                  <c:v>54.4</c:v>
                </c:pt>
                <c:pt idx="102">
                  <c:v>54.93333333333333</c:v>
                </c:pt>
                <c:pt idx="103">
                  <c:v>55.466666666666669</c:v>
                </c:pt>
                <c:pt idx="104">
                  <c:v>56</c:v>
                </c:pt>
                <c:pt idx="105">
                  <c:v>56.533333333333331</c:v>
                </c:pt>
                <c:pt idx="106">
                  <c:v>57.066666666666663</c:v>
                </c:pt>
                <c:pt idx="107">
                  <c:v>57.6</c:v>
                </c:pt>
                <c:pt idx="108">
                  <c:v>58.133333333333333</c:v>
                </c:pt>
                <c:pt idx="109">
                  <c:v>58.666666666666664</c:v>
                </c:pt>
                <c:pt idx="110">
                  <c:v>59.199999999999996</c:v>
                </c:pt>
                <c:pt idx="111">
                  <c:v>59.733333333333334</c:v>
                </c:pt>
                <c:pt idx="112">
                  <c:v>60.266666666666666</c:v>
                </c:pt>
                <c:pt idx="113">
                  <c:v>60.8</c:v>
                </c:pt>
                <c:pt idx="114">
                  <c:v>61.333333333333336</c:v>
                </c:pt>
                <c:pt idx="115">
                  <c:v>61.866666666666667</c:v>
                </c:pt>
                <c:pt idx="116">
                  <c:v>62.4</c:v>
                </c:pt>
                <c:pt idx="117">
                  <c:v>62.93333333333333</c:v>
                </c:pt>
                <c:pt idx="118">
                  <c:v>63.466666666666669</c:v>
                </c:pt>
                <c:pt idx="119">
                  <c:v>64</c:v>
                </c:pt>
                <c:pt idx="120">
                  <c:v>64.533333333333331</c:v>
                </c:pt>
                <c:pt idx="121">
                  <c:v>65.066666666666663</c:v>
                </c:pt>
                <c:pt idx="122">
                  <c:v>65.599999999999994</c:v>
                </c:pt>
                <c:pt idx="123">
                  <c:v>66.133333333333326</c:v>
                </c:pt>
                <c:pt idx="124">
                  <c:v>66.666666666666671</c:v>
                </c:pt>
                <c:pt idx="125">
                  <c:v>67.2</c:v>
                </c:pt>
                <c:pt idx="126">
                  <c:v>67.733333333333334</c:v>
                </c:pt>
                <c:pt idx="127">
                  <c:v>68.266666666666666</c:v>
                </c:pt>
                <c:pt idx="128">
                  <c:v>68.8</c:v>
                </c:pt>
                <c:pt idx="129">
                  <c:v>69.333333333333329</c:v>
                </c:pt>
                <c:pt idx="130">
                  <c:v>69.86666666666666</c:v>
                </c:pt>
                <c:pt idx="131">
                  <c:v>70.400000000000006</c:v>
                </c:pt>
                <c:pt idx="132">
                  <c:v>70.933333333333337</c:v>
                </c:pt>
                <c:pt idx="133">
                  <c:v>71.466666666666669</c:v>
                </c:pt>
                <c:pt idx="134">
                  <c:v>72</c:v>
                </c:pt>
                <c:pt idx="135">
                  <c:v>72.533333333333331</c:v>
                </c:pt>
                <c:pt idx="136">
                  <c:v>73.066666666666663</c:v>
                </c:pt>
                <c:pt idx="137">
                  <c:v>73.599999999999994</c:v>
                </c:pt>
                <c:pt idx="138">
                  <c:v>74.133333333333326</c:v>
                </c:pt>
                <c:pt idx="139">
                  <c:v>74.666666666666671</c:v>
                </c:pt>
                <c:pt idx="140">
                  <c:v>75.2</c:v>
                </c:pt>
                <c:pt idx="141">
                  <c:v>75.733333333333334</c:v>
                </c:pt>
                <c:pt idx="142">
                  <c:v>76.266666666666666</c:v>
                </c:pt>
                <c:pt idx="143">
                  <c:v>76.8</c:v>
                </c:pt>
                <c:pt idx="144">
                  <c:v>77.333333333333329</c:v>
                </c:pt>
                <c:pt idx="145">
                  <c:v>77.86666666666666</c:v>
                </c:pt>
                <c:pt idx="146">
                  <c:v>78.400000000000006</c:v>
                </c:pt>
                <c:pt idx="147">
                  <c:v>78.933333333333337</c:v>
                </c:pt>
                <c:pt idx="148">
                  <c:v>79.466666666666669</c:v>
                </c:pt>
                <c:pt idx="149">
                  <c:v>80</c:v>
                </c:pt>
              </c:numCache>
            </c:numRef>
          </c:xVal>
          <c:yVal>
            <c:numRef>
              <c:f>Eff_vs_IOUT!$BI$8:$BI$157</c:f>
              <c:numCache>
                <c:formatCode>General</c:formatCode>
                <c:ptCount val="1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4-A180-432B-A347-F5CCD23FB4B3}"/>
            </c:ext>
          </c:extLst>
        </c:ser>
        <c:ser>
          <c:idx val="5"/>
          <c:order val="5"/>
          <c:tx>
            <c:v>D3</c:v>
          </c:tx>
          <c:marker>
            <c:symbol val="none"/>
          </c:marker>
          <c:xVal>
            <c:numRef>
              <c:f>Eff_vs_IOUT!$R$8:$R$157</c:f>
              <c:numCache>
                <c:formatCode>General</c:formatCode>
                <c:ptCount val="150"/>
                <c:pt idx="0">
                  <c:v>0.53333333333333333</c:v>
                </c:pt>
                <c:pt idx="1">
                  <c:v>1.0666666666666667</c:v>
                </c:pt>
                <c:pt idx="2">
                  <c:v>1.6</c:v>
                </c:pt>
                <c:pt idx="3">
                  <c:v>2.1333333333333333</c:v>
                </c:pt>
                <c:pt idx="4">
                  <c:v>2.6666666666666665</c:v>
                </c:pt>
                <c:pt idx="5">
                  <c:v>3.2</c:v>
                </c:pt>
                <c:pt idx="6">
                  <c:v>3.7333333333333334</c:v>
                </c:pt>
                <c:pt idx="7">
                  <c:v>4.2666666666666666</c:v>
                </c:pt>
                <c:pt idx="8">
                  <c:v>4.8</c:v>
                </c:pt>
                <c:pt idx="9">
                  <c:v>5.333333333333333</c:v>
                </c:pt>
                <c:pt idx="10">
                  <c:v>5.8666666666666663</c:v>
                </c:pt>
                <c:pt idx="11">
                  <c:v>6.4</c:v>
                </c:pt>
                <c:pt idx="12">
                  <c:v>6.9333333333333336</c:v>
                </c:pt>
                <c:pt idx="13">
                  <c:v>7.4666666666666668</c:v>
                </c:pt>
                <c:pt idx="14">
                  <c:v>8</c:v>
                </c:pt>
                <c:pt idx="15">
                  <c:v>8.5333333333333332</c:v>
                </c:pt>
                <c:pt idx="16">
                  <c:v>9.0666666666666664</c:v>
                </c:pt>
                <c:pt idx="17">
                  <c:v>9.6</c:v>
                </c:pt>
                <c:pt idx="18">
                  <c:v>10.133333333333333</c:v>
                </c:pt>
                <c:pt idx="19">
                  <c:v>10.666666666666666</c:v>
                </c:pt>
                <c:pt idx="20">
                  <c:v>11.2</c:v>
                </c:pt>
                <c:pt idx="21">
                  <c:v>11.733333333333333</c:v>
                </c:pt>
                <c:pt idx="22">
                  <c:v>12.266666666666666</c:v>
                </c:pt>
                <c:pt idx="23">
                  <c:v>12.8</c:v>
                </c:pt>
                <c:pt idx="24">
                  <c:v>13.333333333333334</c:v>
                </c:pt>
                <c:pt idx="25">
                  <c:v>13.866666666666667</c:v>
                </c:pt>
                <c:pt idx="26">
                  <c:v>14.4</c:v>
                </c:pt>
                <c:pt idx="27">
                  <c:v>14.933333333333334</c:v>
                </c:pt>
                <c:pt idx="28">
                  <c:v>15.466666666666667</c:v>
                </c:pt>
                <c:pt idx="29">
                  <c:v>16</c:v>
                </c:pt>
                <c:pt idx="30">
                  <c:v>16.533333333333331</c:v>
                </c:pt>
                <c:pt idx="31">
                  <c:v>17.066666666666666</c:v>
                </c:pt>
                <c:pt idx="32">
                  <c:v>17.600000000000001</c:v>
                </c:pt>
                <c:pt idx="33">
                  <c:v>18.133333333333333</c:v>
                </c:pt>
                <c:pt idx="34">
                  <c:v>18.666666666666668</c:v>
                </c:pt>
                <c:pt idx="35">
                  <c:v>19.2</c:v>
                </c:pt>
                <c:pt idx="36">
                  <c:v>19.733333333333334</c:v>
                </c:pt>
                <c:pt idx="37">
                  <c:v>20.266666666666666</c:v>
                </c:pt>
                <c:pt idx="38">
                  <c:v>20.8</c:v>
                </c:pt>
                <c:pt idx="39">
                  <c:v>21.333333333333332</c:v>
                </c:pt>
                <c:pt idx="40">
                  <c:v>21.866666666666667</c:v>
                </c:pt>
                <c:pt idx="41">
                  <c:v>22.4</c:v>
                </c:pt>
                <c:pt idx="42">
                  <c:v>22.933333333333334</c:v>
                </c:pt>
                <c:pt idx="43">
                  <c:v>23.466666666666665</c:v>
                </c:pt>
                <c:pt idx="44">
                  <c:v>24</c:v>
                </c:pt>
                <c:pt idx="45">
                  <c:v>24.533333333333331</c:v>
                </c:pt>
                <c:pt idx="46">
                  <c:v>25.066666666666666</c:v>
                </c:pt>
                <c:pt idx="47">
                  <c:v>25.6</c:v>
                </c:pt>
                <c:pt idx="48">
                  <c:v>26.133333333333333</c:v>
                </c:pt>
                <c:pt idx="49">
                  <c:v>26.666666666666668</c:v>
                </c:pt>
                <c:pt idx="50">
                  <c:v>27.2</c:v>
                </c:pt>
                <c:pt idx="51">
                  <c:v>27.733333333333334</c:v>
                </c:pt>
                <c:pt idx="52">
                  <c:v>28.266666666666666</c:v>
                </c:pt>
                <c:pt idx="53">
                  <c:v>28.8</c:v>
                </c:pt>
                <c:pt idx="54">
                  <c:v>29.333333333333332</c:v>
                </c:pt>
                <c:pt idx="55">
                  <c:v>29.866666666666667</c:v>
                </c:pt>
                <c:pt idx="56">
                  <c:v>30.4</c:v>
                </c:pt>
                <c:pt idx="57">
                  <c:v>30.933333333333334</c:v>
                </c:pt>
                <c:pt idx="58">
                  <c:v>31.466666666666665</c:v>
                </c:pt>
                <c:pt idx="59">
                  <c:v>32</c:v>
                </c:pt>
                <c:pt idx="60">
                  <c:v>32.533333333333331</c:v>
                </c:pt>
                <c:pt idx="61">
                  <c:v>33.066666666666663</c:v>
                </c:pt>
                <c:pt idx="62">
                  <c:v>33.6</c:v>
                </c:pt>
                <c:pt idx="63">
                  <c:v>34.133333333333333</c:v>
                </c:pt>
                <c:pt idx="64">
                  <c:v>34.666666666666664</c:v>
                </c:pt>
                <c:pt idx="65">
                  <c:v>35.200000000000003</c:v>
                </c:pt>
                <c:pt idx="66">
                  <c:v>35.733333333333334</c:v>
                </c:pt>
                <c:pt idx="67">
                  <c:v>36.266666666666666</c:v>
                </c:pt>
                <c:pt idx="68">
                  <c:v>36.799999999999997</c:v>
                </c:pt>
                <c:pt idx="69">
                  <c:v>37.333333333333336</c:v>
                </c:pt>
                <c:pt idx="70">
                  <c:v>37.866666666666667</c:v>
                </c:pt>
                <c:pt idx="71">
                  <c:v>38.4</c:v>
                </c:pt>
                <c:pt idx="72">
                  <c:v>38.93333333333333</c:v>
                </c:pt>
                <c:pt idx="73">
                  <c:v>39.466666666666669</c:v>
                </c:pt>
                <c:pt idx="74">
                  <c:v>40</c:v>
                </c:pt>
                <c:pt idx="75">
                  <c:v>40.533333333333331</c:v>
                </c:pt>
                <c:pt idx="76">
                  <c:v>41.066666666666663</c:v>
                </c:pt>
                <c:pt idx="77">
                  <c:v>41.6</c:v>
                </c:pt>
                <c:pt idx="78">
                  <c:v>42.133333333333333</c:v>
                </c:pt>
                <c:pt idx="79">
                  <c:v>42.666666666666664</c:v>
                </c:pt>
                <c:pt idx="80">
                  <c:v>43.2</c:v>
                </c:pt>
                <c:pt idx="81">
                  <c:v>43.733333333333334</c:v>
                </c:pt>
                <c:pt idx="82">
                  <c:v>44.266666666666666</c:v>
                </c:pt>
                <c:pt idx="83">
                  <c:v>44.8</c:v>
                </c:pt>
                <c:pt idx="84">
                  <c:v>45.333333333333336</c:v>
                </c:pt>
                <c:pt idx="85">
                  <c:v>45.866666666666667</c:v>
                </c:pt>
                <c:pt idx="86">
                  <c:v>46.4</c:v>
                </c:pt>
                <c:pt idx="87">
                  <c:v>46.93333333333333</c:v>
                </c:pt>
                <c:pt idx="88">
                  <c:v>47.466666666666669</c:v>
                </c:pt>
                <c:pt idx="89">
                  <c:v>48</c:v>
                </c:pt>
                <c:pt idx="90">
                  <c:v>48.533333333333331</c:v>
                </c:pt>
                <c:pt idx="91">
                  <c:v>49.066666666666663</c:v>
                </c:pt>
                <c:pt idx="92">
                  <c:v>49.6</c:v>
                </c:pt>
                <c:pt idx="93">
                  <c:v>50.133333333333333</c:v>
                </c:pt>
                <c:pt idx="94">
                  <c:v>50.666666666666664</c:v>
                </c:pt>
                <c:pt idx="95">
                  <c:v>51.2</c:v>
                </c:pt>
                <c:pt idx="96">
                  <c:v>51.733333333333334</c:v>
                </c:pt>
                <c:pt idx="97">
                  <c:v>52.266666666666666</c:v>
                </c:pt>
                <c:pt idx="98">
                  <c:v>52.8</c:v>
                </c:pt>
                <c:pt idx="99">
                  <c:v>53.333333333333336</c:v>
                </c:pt>
                <c:pt idx="100">
                  <c:v>53.866666666666667</c:v>
                </c:pt>
                <c:pt idx="101">
                  <c:v>54.4</c:v>
                </c:pt>
                <c:pt idx="102">
                  <c:v>54.93333333333333</c:v>
                </c:pt>
                <c:pt idx="103">
                  <c:v>55.466666666666669</c:v>
                </c:pt>
                <c:pt idx="104">
                  <c:v>56</c:v>
                </c:pt>
                <c:pt idx="105">
                  <c:v>56.533333333333331</c:v>
                </c:pt>
                <c:pt idx="106">
                  <c:v>57.066666666666663</c:v>
                </c:pt>
                <c:pt idx="107">
                  <c:v>57.6</c:v>
                </c:pt>
                <c:pt idx="108">
                  <c:v>58.133333333333333</c:v>
                </c:pt>
                <c:pt idx="109">
                  <c:v>58.666666666666664</c:v>
                </c:pt>
                <c:pt idx="110">
                  <c:v>59.199999999999996</c:v>
                </c:pt>
                <c:pt idx="111">
                  <c:v>59.733333333333334</c:v>
                </c:pt>
                <c:pt idx="112">
                  <c:v>60.266666666666666</c:v>
                </c:pt>
                <c:pt idx="113">
                  <c:v>60.8</c:v>
                </c:pt>
                <c:pt idx="114">
                  <c:v>61.333333333333336</c:v>
                </c:pt>
                <c:pt idx="115">
                  <c:v>61.866666666666667</c:v>
                </c:pt>
                <c:pt idx="116">
                  <c:v>62.4</c:v>
                </c:pt>
                <c:pt idx="117">
                  <c:v>62.93333333333333</c:v>
                </c:pt>
                <c:pt idx="118">
                  <c:v>63.466666666666669</c:v>
                </c:pt>
                <c:pt idx="119">
                  <c:v>64</c:v>
                </c:pt>
                <c:pt idx="120">
                  <c:v>64.533333333333331</c:v>
                </c:pt>
                <c:pt idx="121">
                  <c:v>65.066666666666663</c:v>
                </c:pt>
                <c:pt idx="122">
                  <c:v>65.599999999999994</c:v>
                </c:pt>
                <c:pt idx="123">
                  <c:v>66.133333333333326</c:v>
                </c:pt>
                <c:pt idx="124">
                  <c:v>66.666666666666671</c:v>
                </c:pt>
                <c:pt idx="125">
                  <c:v>67.2</c:v>
                </c:pt>
                <c:pt idx="126">
                  <c:v>67.733333333333334</c:v>
                </c:pt>
                <c:pt idx="127">
                  <c:v>68.266666666666666</c:v>
                </c:pt>
                <c:pt idx="128">
                  <c:v>68.8</c:v>
                </c:pt>
                <c:pt idx="129">
                  <c:v>69.333333333333329</c:v>
                </c:pt>
                <c:pt idx="130">
                  <c:v>69.86666666666666</c:v>
                </c:pt>
                <c:pt idx="131">
                  <c:v>70.400000000000006</c:v>
                </c:pt>
                <c:pt idx="132">
                  <c:v>70.933333333333337</c:v>
                </c:pt>
                <c:pt idx="133">
                  <c:v>71.466666666666669</c:v>
                </c:pt>
                <c:pt idx="134">
                  <c:v>72</c:v>
                </c:pt>
                <c:pt idx="135">
                  <c:v>72.533333333333331</c:v>
                </c:pt>
                <c:pt idx="136">
                  <c:v>73.066666666666663</c:v>
                </c:pt>
                <c:pt idx="137">
                  <c:v>73.599999999999994</c:v>
                </c:pt>
                <c:pt idx="138">
                  <c:v>74.133333333333326</c:v>
                </c:pt>
                <c:pt idx="139">
                  <c:v>74.666666666666671</c:v>
                </c:pt>
                <c:pt idx="140">
                  <c:v>75.2</c:v>
                </c:pt>
                <c:pt idx="141">
                  <c:v>75.733333333333334</c:v>
                </c:pt>
                <c:pt idx="142">
                  <c:v>76.266666666666666</c:v>
                </c:pt>
                <c:pt idx="143">
                  <c:v>76.8</c:v>
                </c:pt>
                <c:pt idx="144">
                  <c:v>77.333333333333329</c:v>
                </c:pt>
                <c:pt idx="145">
                  <c:v>77.86666666666666</c:v>
                </c:pt>
                <c:pt idx="146">
                  <c:v>78.400000000000006</c:v>
                </c:pt>
                <c:pt idx="147">
                  <c:v>78.933333333333337</c:v>
                </c:pt>
                <c:pt idx="148">
                  <c:v>79.466666666666669</c:v>
                </c:pt>
                <c:pt idx="149">
                  <c:v>80</c:v>
                </c:pt>
              </c:numCache>
            </c:numRef>
          </c:xVal>
          <c:yVal>
            <c:numRef>
              <c:f>Eff_vs_IOUT!$BT$8:$BT$157</c:f>
              <c:numCache>
                <c:formatCode>General</c:formatCode>
                <c:ptCount val="1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numCache>
            </c:numRef>
          </c:yVal>
          <c:smooth val="1"/>
          <c:extLst>
            <c:ext xmlns:c16="http://schemas.microsoft.com/office/drawing/2014/chart" uri="{C3380CC4-5D6E-409C-BE32-E72D297353CC}">
              <c16:uniqueId val="{00000005-A180-432B-A347-F5CCD23FB4B3}"/>
            </c:ext>
          </c:extLst>
        </c:ser>
        <c:dLbls>
          <c:showLegendKey val="0"/>
          <c:showVal val="0"/>
          <c:showCatName val="0"/>
          <c:showSerName val="0"/>
          <c:showPercent val="0"/>
          <c:showBubbleSize val="0"/>
        </c:dLbls>
        <c:axId val="582914816"/>
        <c:axId val="582904448"/>
      </c:scatterChart>
      <c:valAx>
        <c:axId val="582892544"/>
        <c:scaling>
          <c:orientation val="minMax"/>
        </c:scaling>
        <c:delete val="0"/>
        <c:axPos val="b"/>
        <c:majorGridlines/>
        <c:numFmt formatCode="General" sourceLinked="1"/>
        <c:majorTickMark val="out"/>
        <c:minorTickMark val="none"/>
        <c:tickLblPos val="nextTo"/>
        <c:crossAx val="582902528"/>
        <c:crosses val="autoZero"/>
        <c:crossBetween val="midCat"/>
      </c:valAx>
      <c:valAx>
        <c:axId val="582902528"/>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582892544"/>
        <c:crosses val="autoZero"/>
        <c:crossBetween val="midCat"/>
      </c:valAx>
      <c:valAx>
        <c:axId val="582904448"/>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582914816"/>
        <c:crosses val="max"/>
        <c:crossBetween val="midCat"/>
      </c:valAx>
      <c:valAx>
        <c:axId val="582914816"/>
        <c:scaling>
          <c:orientation val="minMax"/>
        </c:scaling>
        <c:delete val="1"/>
        <c:axPos val="b"/>
        <c:title>
          <c:tx>
            <c:rich>
              <a:bodyPr/>
              <a:lstStyle/>
              <a:p>
                <a:pPr>
                  <a:defRPr/>
                </a:pPr>
                <a:r>
                  <a:rPr lang="en-US"/>
                  <a:t>Loac</a:t>
                </a:r>
                <a:r>
                  <a:rPr lang="en-US" baseline="0"/>
                  <a:t> Current (A)</a:t>
                </a:r>
                <a:endParaRPr lang="en-US"/>
              </a:p>
            </c:rich>
          </c:tx>
          <c:overlay val="0"/>
        </c:title>
        <c:numFmt formatCode="General" sourceLinked="1"/>
        <c:majorTickMark val="out"/>
        <c:minorTickMark val="none"/>
        <c:tickLblPos val="nextTo"/>
        <c:crossAx val="582904448"/>
        <c:crosses val="autoZero"/>
        <c:crossBetween val="midCat"/>
      </c:valAx>
    </c:plotArea>
    <c:legend>
      <c:legendPos val="r"/>
      <c:layout>
        <c:manualLayout>
          <c:xMode val="edge"/>
          <c:yMode val="edge"/>
          <c:x val="0.49723111871774606"/>
          <c:y val="6.4861313959085187E-3"/>
          <c:w val="0.41972466868865133"/>
          <c:h val="0.12461147870492213"/>
        </c:manualLayout>
      </c:layout>
      <c:overlay val="1"/>
    </c:legend>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22" fmlaRange="$1:$1048576" noThreeD="1" sel="0" val="0"/>
</file>

<file path=xl/ctrlProps/ctrlProp2.xml><?xml version="1.0" encoding="utf-8"?>
<formControlPr xmlns="http://schemas.microsoft.com/office/spreadsheetml/2009/9/main" objectType="Spin" dx="20" fmlaLink="$H$8" max="45" noThreeD="1" page="10" val="24"/>
</file>

<file path=xl/ctrlProps/ctrlProp3.xml><?xml version="1.0" encoding="utf-8"?>
<formControlPr xmlns="http://schemas.microsoft.com/office/spreadsheetml/2009/9/main" objectType="Drop" dropLines="2" dropStyle="combo" dx="20" fmlaLink="Variable_Management!$B$175" fmlaRange="Lists!$I$2:$I$3" noThreeD="1" sel="2" val="0"/>
</file>

<file path=xl/ctrlProps/ctrlProp4.xml><?xml version="1.0" encoding="utf-8"?>
<formControlPr xmlns="http://schemas.microsoft.com/office/spreadsheetml/2009/9/main" objectType="Drop" dropLines="3" dropStyle="combo" dx="20" fmlaLink="Variable_Management!$B$13" fmlaRange="Lists!$L$2:$L$4"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hyperlink" Target="http://www.ti.com/corp/docs/legal/copyright.shtml" TargetMode="External"/><Relationship Id="rId2" Type="http://schemas.openxmlformats.org/officeDocument/2006/relationships/image" Target="../media/image7.gif"/><Relationship Id="rId1" Type="http://schemas.openxmlformats.org/officeDocument/2006/relationships/hyperlink" Target="http://www.ti.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chart" Target="../charts/chart4.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image" Target="../media/image2.emf"/></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1.emf"/><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5" Type="http://schemas.openxmlformats.org/officeDocument/2006/relationships/image" Target="../media/image20.emf"/><Relationship Id="rId4"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114300</xdr:colOff>
          <xdr:row>17</xdr:row>
          <xdr:rowOff>22860</xdr:rowOff>
        </xdr:from>
        <xdr:to>
          <xdr:col>25</xdr:col>
          <xdr:colOff>398145</xdr:colOff>
          <xdr:row>18</xdr:row>
          <xdr:rowOff>171450</xdr:rowOff>
        </xdr:to>
        <xdr:sp macro="" textlink="">
          <xdr:nvSpPr>
            <xdr:cNvPr id="1652" name="Drop Down 628" hidden="1">
              <a:extLst>
                <a:ext uri="{63B3BB69-23CF-44E3-9099-C40C66FF867C}">
                  <a14:compatExt spid="_x0000_s1652"/>
                </a:ext>
                <a:ext uri="{FF2B5EF4-FFF2-40B4-BE49-F238E27FC236}">
                  <a16:creationId xmlns:a16="http://schemas.microsoft.com/office/drawing/2014/main" id="{00000000-0008-0000-00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17872</xdr:colOff>
          <xdr:row>57</xdr:row>
          <xdr:rowOff>241089</xdr:rowOff>
        </xdr:from>
        <xdr:to>
          <xdr:col>30</xdr:col>
          <xdr:colOff>594018</xdr:colOff>
          <xdr:row>84</xdr:row>
          <xdr:rowOff>170218</xdr:rowOff>
        </xdr:to>
        <xdr:pic>
          <xdr:nvPicPr>
            <xdr:cNvPr id="91" name="Picture 90">
              <a:extLst>
                <a:ext uri="{FF2B5EF4-FFF2-40B4-BE49-F238E27FC236}">
                  <a16:creationId xmlns:a16="http://schemas.microsoft.com/office/drawing/2014/main" id="{00000000-0008-0000-0000-00005B000000}"/>
                </a:ext>
              </a:extLst>
            </xdr:cNvPr>
            <xdr:cNvPicPr>
              <a:picLocks noChangeAspect="1" noChangeArrowheads="1"/>
              <a:extLst>
                <a:ext uri="{84589F7E-364E-4C9E-8A38-B11213B215E9}">
                  <a14:cameraTool cellRange="LoopLookup" spid="_x0000_s1806"/>
                </a:ext>
              </a:extLst>
            </xdr:cNvPicPr>
          </xdr:nvPicPr>
          <xdr:blipFill>
            <a:blip xmlns:r="http://schemas.openxmlformats.org/officeDocument/2006/relationships" r:embed="rId1"/>
            <a:srcRect/>
            <a:stretch>
              <a:fillRect/>
            </a:stretch>
          </xdr:blipFill>
          <xdr:spPr bwMode="auto">
            <a:xfrm>
              <a:off x="5237572" y="12937914"/>
              <a:ext cx="11979476" cy="586891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131952</xdr:colOff>
          <xdr:row>89</xdr:row>
          <xdr:rowOff>282846</xdr:rowOff>
        </xdr:from>
        <xdr:to>
          <xdr:col>30</xdr:col>
          <xdr:colOff>132404</xdr:colOff>
          <xdr:row>119</xdr:row>
          <xdr:rowOff>153490</xdr:rowOff>
        </xdr:to>
        <xdr:pic>
          <xdr:nvPicPr>
            <xdr:cNvPr id="27" name="Picture 8888">
              <a:extLst>
                <a:ext uri="{FF2B5EF4-FFF2-40B4-BE49-F238E27FC236}">
                  <a16:creationId xmlns:a16="http://schemas.microsoft.com/office/drawing/2014/main" id="{00000000-0008-0000-0000-00001B000000}"/>
                </a:ext>
              </a:extLst>
            </xdr:cNvPr>
            <xdr:cNvPicPr>
              <a:picLocks noChangeAspect="1" noChangeArrowheads="1"/>
              <a:extLst>
                <a:ext uri="{84589F7E-364E-4C9E-8A38-B11213B215E9}">
                  <a14:cameraTool cellRange="display_eff" spid="_x0000_s1807"/>
                </a:ext>
              </a:extLst>
            </xdr:cNvPicPr>
          </xdr:nvPicPr>
          <xdr:blipFill>
            <a:blip xmlns:r="http://schemas.openxmlformats.org/officeDocument/2006/relationships" r:embed="rId2"/>
            <a:srcRect/>
            <a:stretch>
              <a:fillRect/>
            </a:stretch>
          </xdr:blipFill>
          <xdr:spPr bwMode="auto">
            <a:xfrm>
              <a:off x="5376305" y="19834309"/>
              <a:ext cx="11441658" cy="6199166"/>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58</xdr:row>
          <xdr:rowOff>7620</xdr:rowOff>
        </xdr:from>
        <xdr:to>
          <xdr:col>9</xdr:col>
          <xdr:colOff>0</xdr:colOff>
          <xdr:row>59</xdr:row>
          <xdr:rowOff>99060</xdr:rowOff>
        </xdr:to>
        <xdr:sp macro="" textlink="">
          <xdr:nvSpPr>
            <xdr:cNvPr id="1060" name="Spinner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14</xdr:col>
      <xdr:colOff>112060</xdr:colOff>
      <xdr:row>57</xdr:row>
      <xdr:rowOff>125987</xdr:rowOff>
    </xdr:from>
    <xdr:to>
      <xdr:col>16</xdr:col>
      <xdr:colOff>381002</xdr:colOff>
      <xdr:row>59</xdr:row>
      <xdr:rowOff>76044</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9278472" y="12474869"/>
          <a:ext cx="784412" cy="4207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r>
            <a:rPr lang="en-US" sz="2400" baseline="-25000"/>
            <a:t>IN</a:t>
          </a:r>
          <a:r>
            <a:rPr lang="en-US" sz="2400"/>
            <a:t> =</a:t>
          </a:r>
        </a:p>
      </xdr:txBody>
    </xdr:sp>
    <xdr:clientData/>
  </xdr:twoCellAnchor>
  <xdr:twoCellAnchor>
    <xdr:from>
      <xdr:col>12</xdr:col>
      <xdr:colOff>6735</xdr:colOff>
      <xdr:row>90</xdr:row>
      <xdr:rowOff>145675</xdr:rowOff>
    </xdr:from>
    <xdr:to>
      <xdr:col>13</xdr:col>
      <xdr:colOff>598405</xdr:colOff>
      <xdr:row>93</xdr:row>
      <xdr:rowOff>67234</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6887147" y="19655116"/>
          <a:ext cx="2014817" cy="5154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r>
            <a:rPr lang="en-US" sz="2400" baseline="-25000"/>
            <a:t>IN</a:t>
          </a:r>
          <a:r>
            <a:rPr lang="en-US" sz="2400"/>
            <a:t> =</a:t>
          </a:r>
        </a:p>
      </xdr:txBody>
    </xdr:sp>
    <xdr:clientData/>
  </xdr:twoCellAnchor>
  <xdr:twoCellAnchor>
    <xdr:from>
      <xdr:col>12</xdr:col>
      <xdr:colOff>657935</xdr:colOff>
      <xdr:row>90</xdr:row>
      <xdr:rowOff>145674</xdr:rowOff>
    </xdr:from>
    <xdr:to>
      <xdr:col>13</xdr:col>
      <xdr:colOff>320862</xdr:colOff>
      <xdr:row>93</xdr:row>
      <xdr:rowOff>67234</xdr:rowOff>
    </xdr:to>
    <xdr:sp macro="" textlink="VIN_nom">
      <xdr:nvSpPr>
        <xdr:cNvPr id="10" name="TextBox 9">
          <a:extLst>
            <a:ext uri="{FF2B5EF4-FFF2-40B4-BE49-F238E27FC236}">
              <a16:creationId xmlns:a16="http://schemas.microsoft.com/office/drawing/2014/main" id="{00000000-0008-0000-0000-00000A000000}"/>
            </a:ext>
          </a:extLst>
        </xdr:cNvPr>
        <xdr:cNvSpPr txBox="1"/>
      </xdr:nvSpPr>
      <xdr:spPr>
        <a:xfrm>
          <a:off x="7538347" y="19655115"/>
          <a:ext cx="1086074" cy="5154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B6E0D9B-34B5-4A81-8CB9-A88F658AFD78}" type="TxLink">
            <a:rPr lang="en-US" sz="2400" b="0" i="0" u="none" strike="noStrike">
              <a:solidFill>
                <a:srgbClr val="000000"/>
              </a:solidFill>
              <a:latin typeface="Calibri"/>
            </a:rPr>
            <a:pPr/>
            <a:t>24</a:t>
          </a:fld>
          <a:endParaRPr lang="en-US" sz="2400"/>
        </a:p>
      </xdr:txBody>
    </xdr:sp>
    <xdr:clientData/>
  </xdr:twoCellAnchor>
  <xdr:twoCellAnchor>
    <xdr:from>
      <xdr:col>12</xdr:col>
      <xdr:colOff>1077104</xdr:colOff>
      <xdr:row>90</xdr:row>
      <xdr:rowOff>145675</xdr:rowOff>
    </xdr:from>
    <xdr:to>
      <xdr:col>13</xdr:col>
      <xdr:colOff>495293</xdr:colOff>
      <xdr:row>93</xdr:row>
      <xdr:rowOff>67234</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7957516" y="19655116"/>
          <a:ext cx="841336" cy="5154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p>
      </xdr:txBody>
    </xdr:sp>
    <xdr:clientData/>
  </xdr:twoCellAnchor>
  <mc:AlternateContent xmlns:mc="http://schemas.openxmlformats.org/markup-compatibility/2006">
    <mc:Choice xmlns:a14="http://schemas.microsoft.com/office/drawing/2010/main" Requires="a14">
      <xdr:twoCellAnchor editAs="oneCell">
        <xdr:from>
          <xdr:col>7</xdr:col>
          <xdr:colOff>7620</xdr:colOff>
          <xdr:row>11</xdr:row>
          <xdr:rowOff>0</xdr:rowOff>
        </xdr:from>
        <xdr:to>
          <xdr:col>9</xdr:col>
          <xdr:colOff>15240</xdr:colOff>
          <xdr:row>12</xdr:row>
          <xdr:rowOff>93345</xdr:rowOff>
        </xdr:to>
        <xdr:sp macro="" textlink="">
          <xdr:nvSpPr>
            <xdr:cNvPr id="1064" name="Drop Down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61602</xdr:colOff>
          <xdr:row>4</xdr:row>
          <xdr:rowOff>179294</xdr:rowOff>
        </xdr:from>
        <xdr:to>
          <xdr:col>30</xdr:col>
          <xdr:colOff>517150</xdr:colOff>
          <xdr:row>36</xdr:row>
          <xdr:rowOff>54684</xdr:rowOff>
        </xdr:to>
        <xdr:pic>
          <xdr:nvPicPr>
            <xdr:cNvPr id="15" name="Picture 14">
              <a:extLst>
                <a:ext uri="{FF2B5EF4-FFF2-40B4-BE49-F238E27FC236}">
                  <a16:creationId xmlns:a16="http://schemas.microsoft.com/office/drawing/2014/main" id="{00000000-0008-0000-0000-00000F000000}"/>
                </a:ext>
              </a:extLst>
            </xdr:cNvPr>
            <xdr:cNvPicPr>
              <a:picLocks noChangeAspect="1"/>
              <a:extLst>
                <a:ext uri="{84589F7E-364E-4C9E-8A38-B11213B215E9}">
                  <a14:cameraTool cellRange="display_Sch" spid="_x0000_s1808"/>
                </a:ext>
              </a:extLst>
            </xdr:cNvPicPr>
          </xdr:nvPicPr>
          <xdr:blipFill rotWithShape="1">
            <a:blip xmlns:r="http://schemas.openxmlformats.org/officeDocument/2006/relationships" r:embed="rId3"/>
            <a:srcRect/>
            <a:stretch>
              <a:fillRect/>
            </a:stretch>
          </xdr:blipFill>
          <xdr:spPr>
            <a:xfrm>
              <a:off x="9485749" y="1333500"/>
              <a:ext cx="7726485" cy="6740001"/>
            </a:xfrm>
            <a:prstGeom prst="rect">
              <a:avLst/>
            </a:prstGeom>
          </xdr:spPr>
        </xdr:pic>
        <xdr:clientData/>
      </xdr:twoCellAnchor>
    </mc:Choice>
    <mc:Fallback/>
  </mc:AlternateContent>
  <xdr:twoCellAnchor>
    <xdr:from>
      <xdr:col>16</xdr:col>
      <xdr:colOff>205633</xdr:colOff>
      <xdr:row>57</xdr:row>
      <xdr:rowOff>140414</xdr:rowOff>
    </xdr:from>
    <xdr:to>
      <xdr:col>18</xdr:col>
      <xdr:colOff>285750</xdr:colOff>
      <xdr:row>59</xdr:row>
      <xdr:rowOff>64839</xdr:rowOff>
    </xdr:to>
    <xdr:sp macro="" textlink="VIN_nom">
      <xdr:nvSpPr>
        <xdr:cNvPr id="3" name="TextBox 2">
          <a:extLst>
            <a:ext uri="{FF2B5EF4-FFF2-40B4-BE49-F238E27FC236}">
              <a16:creationId xmlns:a16="http://schemas.microsoft.com/office/drawing/2014/main" id="{00000000-0008-0000-0000-000003000000}"/>
            </a:ext>
          </a:extLst>
        </xdr:cNvPr>
        <xdr:cNvSpPr txBox="1"/>
      </xdr:nvSpPr>
      <xdr:spPr>
        <a:xfrm>
          <a:off x="9854458" y="12589589"/>
          <a:ext cx="689717" cy="400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B6E0D9B-34B5-4A81-8CB9-A88F658AFD78}" type="TxLink">
            <a:rPr lang="en-US" sz="2400" b="0" i="0" u="none" strike="noStrike">
              <a:solidFill>
                <a:srgbClr val="000000"/>
              </a:solidFill>
              <a:latin typeface="Calibri"/>
            </a:rPr>
            <a:pPr/>
            <a:t>24</a:t>
          </a:fld>
          <a:endParaRPr lang="en-US" sz="2400"/>
        </a:p>
      </xdr:txBody>
    </xdr:sp>
    <xdr:clientData/>
  </xdr:twoCellAnchor>
  <mc:AlternateContent xmlns:mc="http://schemas.openxmlformats.org/markup-compatibility/2006">
    <mc:Choice xmlns:a14="http://schemas.microsoft.com/office/drawing/2010/main" Requires="a14">
      <xdr:twoCellAnchor editAs="oneCell">
        <xdr:from>
          <xdr:col>7</xdr:col>
          <xdr:colOff>7620</xdr:colOff>
          <xdr:row>9</xdr:row>
          <xdr:rowOff>30480</xdr:rowOff>
        </xdr:from>
        <xdr:to>
          <xdr:col>9</xdr:col>
          <xdr:colOff>0</xdr:colOff>
          <xdr:row>10</xdr:row>
          <xdr:rowOff>55245</xdr:rowOff>
        </xdr:to>
        <xdr:sp macro="" textlink="">
          <xdr:nvSpPr>
            <xdr:cNvPr id="1157" name="Drop Down 133" hidden="1">
              <a:extLst>
                <a:ext uri="{63B3BB69-23CF-44E3-9099-C40C66FF867C}">
                  <a14:compatExt spid="_x0000_s115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19</xdr:col>
      <xdr:colOff>0</xdr:colOff>
      <xdr:row>47</xdr:row>
      <xdr:rowOff>0</xdr:rowOff>
    </xdr:from>
    <xdr:to>
      <xdr:col>41</xdr:col>
      <xdr:colOff>436245</xdr:colOff>
      <xdr:row>73</xdr:row>
      <xdr:rowOff>97734</xdr:rowOff>
    </xdr:to>
    <xdr:sp macro="" textlink="">
      <xdr:nvSpPr>
        <xdr:cNvPr id="1296" name="AutoShape 272">
          <a:extLst>
            <a:ext uri="{FF2B5EF4-FFF2-40B4-BE49-F238E27FC236}">
              <a16:creationId xmlns:a16="http://schemas.microsoft.com/office/drawing/2014/main" id="{00000000-0008-0000-0000-000010050000}"/>
            </a:ext>
          </a:extLst>
        </xdr:cNvPr>
        <xdr:cNvSpPr>
          <a:spLocks noChangeAspect="1" noChangeArrowheads="1"/>
        </xdr:cNvSpPr>
      </xdr:nvSpPr>
      <xdr:spPr bwMode="auto">
        <a:xfrm>
          <a:off x="11325225" y="14592300"/>
          <a:ext cx="11887200" cy="5857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126980</xdr:colOff>
      <xdr:row>57</xdr:row>
      <xdr:rowOff>142186</xdr:rowOff>
    </xdr:from>
    <xdr:to>
      <xdr:col>18</xdr:col>
      <xdr:colOff>389655</xdr:colOff>
      <xdr:row>59</xdr:row>
      <xdr:rowOff>56993</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10385405" y="12591361"/>
          <a:ext cx="262675" cy="3910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tlCol="0" anchor="t"/>
        <a:lstStyle/>
        <a:p>
          <a:pPr algn="l"/>
          <a:r>
            <a:rPr lang="en-US" sz="2400"/>
            <a:t>V</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5</xdr:col>
          <xdr:colOff>6713220</xdr:colOff>
          <xdr:row>5</xdr:row>
          <xdr:rowOff>4732020</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A00-000001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3</xdr:col>
          <xdr:colOff>6713220</xdr:colOff>
          <xdr:row>5</xdr:row>
          <xdr:rowOff>4732020</xdr:rowOff>
        </xdr:to>
        <xdr:sp macro="" textlink="">
          <xdr:nvSpPr>
            <xdr:cNvPr id="21506" name="Object 2" hidden="1">
              <a:extLst>
                <a:ext uri="{63B3BB69-23CF-44E3-9099-C40C66FF867C}">
                  <a14:compatExt spid="_x0000_s21506"/>
                </a:ext>
                <a:ext uri="{FF2B5EF4-FFF2-40B4-BE49-F238E27FC236}">
                  <a16:creationId xmlns:a16="http://schemas.microsoft.com/office/drawing/2014/main" id="{00000000-0008-0000-0A00-000002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6713220</xdr:colOff>
          <xdr:row>5</xdr:row>
          <xdr:rowOff>4732020</xdr:rowOff>
        </xdr:to>
        <xdr:sp macro="" textlink="">
          <xdr:nvSpPr>
            <xdr:cNvPr id="21507" name="Object 3" hidden="1">
              <a:extLst>
                <a:ext uri="{63B3BB69-23CF-44E3-9099-C40C66FF867C}">
                  <a14:compatExt spid="_x0000_s21507"/>
                </a:ext>
                <a:ext uri="{FF2B5EF4-FFF2-40B4-BE49-F238E27FC236}">
                  <a16:creationId xmlns:a16="http://schemas.microsoft.com/office/drawing/2014/main" id="{00000000-0008-0000-0A00-000003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6469380</xdr:colOff>
          <xdr:row>3</xdr:row>
          <xdr:rowOff>4442460</xdr:rowOff>
        </xdr:to>
        <xdr:sp macro="" textlink="">
          <xdr:nvSpPr>
            <xdr:cNvPr id="21508" name="Object 4" hidden="1">
              <a:extLst>
                <a:ext uri="{63B3BB69-23CF-44E3-9099-C40C66FF867C}">
                  <a14:compatExt spid="_x0000_s21508"/>
                </a:ext>
                <a:ext uri="{FF2B5EF4-FFF2-40B4-BE49-F238E27FC236}">
                  <a16:creationId xmlns:a16="http://schemas.microsoft.com/office/drawing/2014/main" id="{00000000-0008-0000-0A00-000004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xdr:row>
          <xdr:rowOff>0</xdr:rowOff>
        </xdr:from>
        <xdr:to>
          <xdr:col>3</xdr:col>
          <xdr:colOff>6469380</xdr:colOff>
          <xdr:row>3</xdr:row>
          <xdr:rowOff>4442460</xdr:rowOff>
        </xdr:to>
        <xdr:sp macro="" textlink="">
          <xdr:nvSpPr>
            <xdr:cNvPr id="21509" name="Object 5" hidden="1">
              <a:extLst>
                <a:ext uri="{63B3BB69-23CF-44E3-9099-C40C66FF867C}">
                  <a14:compatExt spid="_x0000_s21509"/>
                </a:ext>
                <a:ext uri="{FF2B5EF4-FFF2-40B4-BE49-F238E27FC236}">
                  <a16:creationId xmlns:a16="http://schemas.microsoft.com/office/drawing/2014/main" id="{00000000-0008-0000-0A00-000005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xdr:row>
          <xdr:rowOff>0</xdr:rowOff>
        </xdr:from>
        <xdr:to>
          <xdr:col>5</xdr:col>
          <xdr:colOff>6469380</xdr:colOff>
          <xdr:row>3</xdr:row>
          <xdr:rowOff>4442460</xdr:rowOff>
        </xdr:to>
        <xdr:sp macro="" textlink="">
          <xdr:nvSpPr>
            <xdr:cNvPr id="21510" name="Object 6" hidden="1">
              <a:extLst>
                <a:ext uri="{63B3BB69-23CF-44E3-9099-C40C66FF867C}">
                  <a14:compatExt spid="_x0000_s21510"/>
                </a:ext>
                <a:ext uri="{FF2B5EF4-FFF2-40B4-BE49-F238E27FC236}">
                  <a16:creationId xmlns:a16="http://schemas.microsoft.com/office/drawing/2014/main" id="{00000000-0008-0000-0A00-000006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592455</xdr:colOff>
      <xdr:row>2</xdr:row>
      <xdr:rowOff>83771</xdr:rowOff>
    </xdr:to>
    <xdr:pic>
      <xdr:nvPicPr>
        <xdr:cNvPr id="2" name="Picture 1" descr="ti logo">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2400"/>
          <a:ext cx="2306955" cy="302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914525" y="114300"/>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About this tool...</a:t>
          </a:r>
        </a:p>
      </xdr:txBody>
    </xdr:sp>
    <xdr:clientData/>
  </xdr:oneCellAnchor>
  <xdr:oneCellAnchor>
    <xdr:from>
      <xdr:col>3</xdr:col>
      <xdr:colOff>323850</xdr:colOff>
      <xdr:row>1</xdr:row>
      <xdr:rowOff>28575</xdr:rowOff>
    </xdr:from>
    <xdr:ext cx="4719497" cy="254557"/>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100-000004000000}"/>
            </a:ext>
          </a:extLst>
        </xdr:cNvPr>
        <xdr:cNvSpPr txBox="1"/>
      </xdr:nvSpPr>
      <xdr:spPr>
        <a:xfrm>
          <a:off x="6419850" y="209550"/>
          <a:ext cx="471949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 Copyright 2021</a:t>
          </a:r>
          <a:r>
            <a:rPr lang="en-US" sz="1100" b="0" i="0">
              <a:solidFill>
                <a:schemeClr val="tx1"/>
              </a:solidFill>
              <a:effectLst/>
              <a:latin typeface="Arial" panose="020B0604020202020204" pitchFamily="34" charset="0"/>
              <a:ea typeface="+mn-ea"/>
              <a:cs typeface="Arial" panose="020B0604020202020204" pitchFamily="34" charset="0"/>
            </a:rPr>
            <a:t> Texas Instruments Incorporated. All rights reserved.</a:t>
          </a:r>
          <a:endParaRPr lang="en-US" sz="1100" b="0">
            <a:latin typeface="Arial" panose="020B0604020202020204" pitchFamily="34" charset="0"/>
            <a:cs typeface="Arial" panose="020B0604020202020204" pitchFamily="34" charset="0"/>
          </a:endParaRPr>
        </a:p>
      </xdr:txBody>
    </xdr:sp>
    <xdr:clientData/>
  </xdr:oneCellAnchor>
  <xdr:oneCellAnchor>
    <xdr:from>
      <xdr:col>0</xdr:col>
      <xdr:colOff>95247</xdr:colOff>
      <xdr:row>6</xdr:row>
      <xdr:rowOff>47623</xdr:rowOff>
    </xdr:from>
    <xdr:ext cx="11229977" cy="4086227"/>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95247" y="1114423"/>
          <a:ext cx="11229977" cy="408622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latin typeface="Arial" panose="020B0604020202020204" pitchFamily="34" charset="0"/>
              <a:cs typeface="Arial" panose="020B0604020202020204" pitchFamily="34" charset="0"/>
            </a:rPr>
            <a:t>LICENSE INFORMATION:</a:t>
          </a:r>
        </a:p>
        <a:p>
          <a:r>
            <a:rPr lang="en-US" sz="900">
              <a:solidFill>
                <a:schemeClr val="tx1"/>
              </a:solidFill>
              <a:effectLst/>
              <a:latin typeface="Arial" panose="020B0604020202020204" pitchFamily="34" charset="0"/>
              <a:ea typeface="+mn-ea"/>
              <a:cs typeface="Arial" panose="020B0604020202020204" pitchFamily="34" charset="0"/>
            </a:rPr>
            <a:t>Copyright (c) 2021 Texas Instruments Incorporated</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All rights reserved not granted herein.</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Limited License.  </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Texas Instruments Incorporated grants a world-wide, royalty-free, non-exclusive license under copyrights and patents it now or hereafter owns or controls to make, have made, use, import, offer to sell and sell ("Utilize") this software subject to the terms herein.  With respect to the foregoing patent license, such license is granted  solely to the extent that any such patent is necessary to Utilize the software alone.  The patent license shall not apply to any combinations which include this software, other than combinations with devices manufactured by or for TI (“TI Devices”).  No hardware patent is licensed hereunder.</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Redistributions must preserve existing copyright notices and reproduce this license (including the above copyright notice and the disclaimer and (if applicable) source code license limitations below) in the documentation and/or other materials provided with the distribution</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Redistribution and use in binary form, without modification, are permitted provided that the following conditions are met:</a:t>
          </a:r>
        </a:p>
        <a:p>
          <a:r>
            <a:rPr lang="en-US" sz="900">
              <a:solidFill>
                <a:schemeClr val="tx1"/>
              </a:solidFill>
              <a:effectLst/>
              <a:latin typeface="Arial" panose="020B0604020202020204" pitchFamily="34" charset="0"/>
              <a:ea typeface="+mn-ea"/>
              <a:cs typeface="Arial" panose="020B0604020202020204" pitchFamily="34" charset="0"/>
            </a:rPr>
            <a:t>*	No reverse engineering, decompilation, or disassembly of this software is permitted with respect to any software provided in binary form. </a:t>
          </a:r>
        </a:p>
        <a:p>
          <a:r>
            <a:rPr lang="en-US" sz="900">
              <a:solidFill>
                <a:schemeClr val="tx1"/>
              </a:solidFill>
              <a:effectLst/>
              <a:latin typeface="Arial" panose="020B0604020202020204" pitchFamily="34" charset="0"/>
              <a:ea typeface="+mn-ea"/>
              <a:cs typeface="Arial" panose="020B0604020202020204" pitchFamily="34" charset="0"/>
            </a:rPr>
            <a:t>*	Any redistribution and use are licensed by TI for use only with TI Devices.</a:t>
          </a:r>
        </a:p>
        <a:p>
          <a:r>
            <a:rPr lang="en-US" sz="900">
              <a:solidFill>
                <a:schemeClr val="tx1"/>
              </a:solidFill>
              <a:effectLst/>
              <a:latin typeface="Arial" panose="020B0604020202020204" pitchFamily="34" charset="0"/>
              <a:ea typeface="+mn-ea"/>
              <a:cs typeface="Arial" panose="020B0604020202020204" pitchFamily="34" charset="0"/>
            </a:rPr>
            <a:t>*	Nothing shall obligate TI to provide you with source code for the software licensed and provided to you in object code.</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If software source code is provided to you, modification and redistribution of the source code are permitted provided that the following conditions are met:</a:t>
          </a:r>
        </a:p>
        <a:p>
          <a:r>
            <a:rPr lang="en-US" sz="900">
              <a:solidFill>
                <a:schemeClr val="tx1"/>
              </a:solidFill>
              <a:effectLst/>
              <a:latin typeface="Arial" panose="020B0604020202020204" pitchFamily="34" charset="0"/>
              <a:ea typeface="+mn-ea"/>
              <a:cs typeface="Arial" panose="020B0604020202020204" pitchFamily="34" charset="0"/>
            </a:rPr>
            <a:t>*	Any redistribution and use of the source code, including any resulting derivative works, are licensed by TI for use only with TI Devices.</a:t>
          </a:r>
        </a:p>
        <a:p>
          <a:r>
            <a:rPr lang="en-US" sz="900">
              <a:solidFill>
                <a:schemeClr val="tx1"/>
              </a:solidFill>
              <a:effectLst/>
              <a:latin typeface="Arial" panose="020B0604020202020204" pitchFamily="34" charset="0"/>
              <a:ea typeface="+mn-ea"/>
              <a:cs typeface="Arial" panose="020B0604020202020204" pitchFamily="34" charset="0"/>
            </a:rPr>
            <a:t>*	Any redistribution and use of any object code compiled from the source code and any resulting derivative works, are licensed by TI for use only with TI Devices.</a:t>
          </a:r>
        </a:p>
        <a:p>
          <a:endParaRPr lang="en-US" sz="900">
            <a:solidFill>
              <a:schemeClr val="tx1"/>
            </a:solidFill>
            <a:effectLst/>
            <a:latin typeface="Arial" panose="020B0604020202020204" pitchFamily="34" charset="0"/>
            <a:ea typeface="+mn-ea"/>
            <a:cs typeface="Arial" panose="020B0604020202020204" pitchFamily="34" charset="0"/>
          </a:endParaRPr>
        </a:p>
        <a:p>
          <a:r>
            <a:rPr lang="en-US" sz="900">
              <a:solidFill>
                <a:schemeClr val="tx1"/>
              </a:solidFill>
              <a:effectLst/>
              <a:latin typeface="Arial" panose="020B0604020202020204" pitchFamily="34" charset="0"/>
              <a:ea typeface="+mn-ea"/>
              <a:cs typeface="Arial" panose="020B0604020202020204" pitchFamily="34" charset="0"/>
            </a:rPr>
            <a:t>Neither the name of Texas Instruments Incorporated nor the names of its suppliers may be used to endorse or promote products derived from this software without specific prior written permission.</a:t>
          </a:r>
          <a:endParaRPr lang="en-US" sz="1000" b="1">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000" baseline="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b="1" baseline="0">
              <a:latin typeface="Arial" panose="020B0604020202020204" pitchFamily="34" charset="0"/>
              <a:cs typeface="Arial" panose="020B0604020202020204" pitchFamily="34" charset="0"/>
            </a:rPr>
            <a:t>DISCLAMER:</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anose="020B0604020202020204" pitchFamily="34" charset="0"/>
              <a:cs typeface="Arial" panose="020B0604020202020204" pitchFamily="34" charset="0"/>
            </a:rPr>
            <a:t>THIS SOFTWARE IS PROVIDED BY TI AND TI’S LICENSORS "AS IS" AND ANY EXPRESS OR IMPLIED WARRANTIES, INCLUDING, BUT NOT LIMITED TO, THE IMPLIED WARRANTIES OF MERCHANTABILITY AND FITNESS FOR A PARTICULAR PURPOSE ARE DISCLAIMED. IN NO EVENT SHALL TI AND TI’S LICENSORS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a:t>
          </a:r>
        </a:p>
      </xdr:txBody>
    </xdr:sp>
    <xdr:clientData/>
  </xdr:oneCellAnchor>
  <xdr:oneCellAnchor>
    <xdr:from>
      <xdr:col>0</xdr:col>
      <xdr:colOff>95247</xdr:colOff>
      <xdr:row>29</xdr:row>
      <xdr:rowOff>47623</xdr:rowOff>
    </xdr:from>
    <xdr:ext cx="11229977" cy="809627"/>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95247" y="5276848"/>
          <a:ext cx="11229977" cy="80962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IMPORTANT</a:t>
          </a:r>
          <a:r>
            <a:rPr lang="en-US" sz="1100" b="1" baseline="0">
              <a:solidFill>
                <a:schemeClr val="tx1"/>
              </a:solidFill>
              <a:effectLst/>
              <a:latin typeface="+mn-lt"/>
              <a:ea typeface="+mn-ea"/>
              <a:cs typeface="+mn-cs"/>
            </a:rPr>
            <a:t>:   </a:t>
          </a:r>
          <a:endParaRPr lang="en-US" sz="800">
            <a:effectLst/>
          </a:endParaRPr>
        </a:p>
        <a:p>
          <a:r>
            <a:rPr lang="en-US" sz="1100" baseline="0">
              <a:solidFill>
                <a:schemeClr val="tx1"/>
              </a:solidFill>
              <a:effectLst/>
              <a:latin typeface="+mn-lt"/>
              <a:ea typeface="+mn-ea"/>
              <a:cs typeface="+mn-cs"/>
            </a:rPr>
            <a:t>1.  Do not delete this worksheet!</a:t>
          </a:r>
          <a:endParaRPr lang="en-US" sz="800">
            <a:effectLst/>
          </a:endParaRPr>
        </a:p>
        <a:p>
          <a:pPr eaLnBrk="1" fontAlgn="auto" latinLnBrk="0" hangingPunct="1"/>
          <a:r>
            <a:rPr lang="en-US" sz="1100" baseline="0">
              <a:solidFill>
                <a:schemeClr val="tx1"/>
              </a:solidFill>
              <a:effectLst/>
              <a:latin typeface="+mn-lt"/>
              <a:ea typeface="+mn-ea"/>
              <a:cs typeface="+mn-cs"/>
            </a:rPr>
            <a:t>2.  Redistributions must retain the above copyright and the following disclaimer.</a:t>
          </a:r>
          <a:endParaRPr lang="en-US" sz="800">
            <a:effectLst/>
          </a:endParaRPr>
        </a:p>
        <a:p>
          <a:endParaRPr lang="en-US" sz="800" baseline="0">
            <a:latin typeface="Arial" panose="020B0604020202020204" pitchFamily="34" charset="0"/>
            <a:cs typeface="Arial" panose="020B0604020202020204" pitchFamily="34" charset="0"/>
          </a:endParaRPr>
        </a:p>
      </xdr:txBody>
    </xdr:sp>
    <xdr:clientData/>
  </xdr:oneCellAnchor>
  <xdr:twoCellAnchor editAs="oneCell">
    <xdr:from>
      <xdr:col>0</xdr:col>
      <xdr:colOff>0</xdr:colOff>
      <xdr:row>0</xdr:row>
      <xdr:rowOff>152400</xdr:rowOff>
    </xdr:from>
    <xdr:to>
      <xdr:col>1</xdr:col>
      <xdr:colOff>592455</xdr:colOff>
      <xdr:row>2</xdr:row>
      <xdr:rowOff>93296</xdr:rowOff>
    </xdr:to>
    <xdr:pic>
      <xdr:nvPicPr>
        <xdr:cNvPr id="7" name="Picture 6" descr="ti logo">
          <a:hlinkClick xmlns:r="http://schemas.openxmlformats.org/officeDocument/2006/relationships" r:id="rId1"/>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2400"/>
          <a:ext cx="2306955" cy="302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914525" y="114300"/>
          <a:ext cx="3752850" cy="381708"/>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ysClr val="windowText" lastClr="000000"/>
              </a:solidFill>
              <a:effectLst/>
              <a:uLnTx/>
              <a:uFillTx/>
              <a:latin typeface="Arial Black" panose="020B0A04020102020204" pitchFamily="34" charset="0"/>
              <a:ea typeface="+mn-ea"/>
              <a:cs typeface="+mn-cs"/>
            </a:rPr>
            <a:t>About this tool...</a:t>
          </a:r>
        </a:p>
      </xdr:txBody>
    </xdr:sp>
    <xdr:clientData/>
  </xdr:oneCellAnchor>
  <xdr:oneCellAnchor>
    <xdr:from>
      <xdr:col>3</xdr:col>
      <xdr:colOff>323850</xdr:colOff>
      <xdr:row>1</xdr:row>
      <xdr:rowOff>28575</xdr:rowOff>
    </xdr:from>
    <xdr:ext cx="4719497" cy="254557"/>
    <xdr:sp macro="" textlink="">
      <xdr:nvSpPr>
        <xdr:cNvPr id="9" name="TextBox 8">
          <a:hlinkClick xmlns:r="http://schemas.openxmlformats.org/officeDocument/2006/relationships" r:id="rId3"/>
          <a:extLst>
            <a:ext uri="{FF2B5EF4-FFF2-40B4-BE49-F238E27FC236}">
              <a16:creationId xmlns:a16="http://schemas.microsoft.com/office/drawing/2014/main" id="{00000000-0008-0000-0100-000009000000}"/>
            </a:ext>
          </a:extLst>
        </xdr:cNvPr>
        <xdr:cNvSpPr txBox="1"/>
      </xdr:nvSpPr>
      <xdr:spPr>
        <a:xfrm>
          <a:off x="6419850" y="209550"/>
          <a:ext cx="4719497" cy="25455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hlinkClick xmlns:r="http://schemas.openxmlformats.org/officeDocument/2006/relationships" r:id=""/>
            </a:rPr>
            <a:t>© Copyright 2021</a:t>
          </a:r>
          <a:r>
            <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Texas Instruments Incorporated. All rights reserved.</a:t>
          </a:r>
        </a:p>
      </xdr:txBody>
    </xdr:sp>
    <xdr:clientData/>
  </xdr:oneCellAnchor>
  <xdr:oneCellAnchor>
    <xdr:from>
      <xdr:col>0</xdr:col>
      <xdr:colOff>95247</xdr:colOff>
      <xdr:row>6</xdr:row>
      <xdr:rowOff>47623</xdr:rowOff>
    </xdr:from>
    <xdr:ext cx="11229977" cy="4086227"/>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95247" y="1114423"/>
          <a:ext cx="11229977" cy="4086227"/>
        </a:xfrm>
        <a:prstGeom prst="rect">
          <a:avLst/>
        </a:prstGeom>
        <a:solidFill>
          <a:sysClr val="window" lastClr="FFFFFF">
            <a:lumMod val="85000"/>
          </a:sysClr>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LICENSE INFORMATION: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Copyright (c) 2021 Texas Instruments Incorporated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All rights reserved not granted herein.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Limited License.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Texas Instruments Incorporated grants a world-wide, royalty-free, non-exclusive license under copyrights and patents it now or hereafter owns or controls to make, have made, use, import, offer to sell and sell ("Utilize") this software subject to the terms herein.  With respect to the foregoing patent license, such license is granted  solely to the extent that any such patent is necessary to Utilize the software alone.  The patent license shall not apply to any combinations which include this software, other than combinations with devices manufactured by or for TI (“TI Devices”).  No hardware patent is licensed hereunder.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Redistributions must preserve existing copyright notices and reproduce this license (including the above copyright notice and the disclaimer and (if applicable) source code license limitations below) in the documentation and/or other materials provided with the distribution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Redistribution and use in binary form, without modification, are permitted provided that the following conditions are met: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No reverse engineering, decompilation, or disassembly of this software is permitted with respect to any software provided in binary form.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Any redistribution and use are licensed by TI for use only with TI Devices.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Nothing shall obligate TI to provide you with source code for the software licensed and provided to you in object code.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If software source code is provided to you, modification and redistribution of the source code are permitted provided that the following conditions are met: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Any redistribution and use of the source code, including any resulting derivative works, are licensed by TI for use only with TI Devices.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Any redistribution and use of any object code compiled from the source code and any resulting derivative works, are licensed by TI for use only with TI Devices.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Neither the name of Texas Instruments Incorporated nor the names of its suppliers may be used to endorse or promote products derived from this software without specific prior written permission.</a:t>
          </a:r>
          <a:endParaRPr kumimoji="0" lang="en-US"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DISCLAMER: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THIS SOFTWARE IS PROVIDED BY TI AND TI’S LICENSORS "AS IS" AND ANY EXPRESS OR IMPLIED WARRANTIES, INCLUDING, BUT NOT LIMITED TO, THE IMPLIED WARRANTIES OF MERCHANTABILITY AND FITNESS FOR A PARTICULAR PURPOSE ARE DISCLAIMED. IN NO EVENT SHALL TI AND TI’S LICENSORS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a:t>
          </a:r>
        </a:p>
      </xdr:txBody>
    </xdr:sp>
    <xdr:clientData/>
  </xdr:oneCellAnchor>
  <xdr:oneCellAnchor>
    <xdr:from>
      <xdr:col>0</xdr:col>
      <xdr:colOff>95247</xdr:colOff>
      <xdr:row>29</xdr:row>
      <xdr:rowOff>47623</xdr:rowOff>
    </xdr:from>
    <xdr:ext cx="11229977" cy="809627"/>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95247" y="5276848"/>
          <a:ext cx="11229977" cy="809627"/>
        </a:xfrm>
        <a:prstGeom prst="rect">
          <a:avLst/>
        </a:prstGeom>
        <a:solidFill>
          <a:sysClr val="window" lastClr="FFFFFF">
            <a:lumMod val="95000"/>
          </a:sysClr>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rPr>
            <a:t>IMPORTANT:   </a:t>
          </a:r>
          <a:endParaRPr kumimoji="0" lang="en-US" sz="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1.  Do not delete this worksheet!</a:t>
          </a:r>
          <a:endParaRPr kumimoji="0" lang="en-US" sz="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2.  Redistributions must retain the above copyright and the following disclaimer.</a:t>
          </a:r>
          <a:endParaRPr kumimoji="0" lang="en-US" sz="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60960</xdr:colOff>
          <xdr:row>129</xdr:row>
          <xdr:rowOff>137160</xdr:rowOff>
        </xdr:from>
        <xdr:to>
          <xdr:col>13</xdr:col>
          <xdr:colOff>160020</xdr:colOff>
          <xdr:row>132</xdr:row>
          <xdr:rowOff>22860</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8</xdr:col>
      <xdr:colOff>842683</xdr:colOff>
      <xdr:row>242</xdr:row>
      <xdr:rowOff>17930</xdr:rowOff>
    </xdr:from>
    <xdr:to>
      <xdr:col>14</xdr:col>
      <xdr:colOff>475130</xdr:colOff>
      <xdr:row>250</xdr:row>
      <xdr:rowOff>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9798424" y="23523389"/>
          <a:ext cx="3541059" cy="1335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Loop</a:t>
          </a:r>
          <a:r>
            <a:rPr lang="en-US" sz="1100" baseline="0"/>
            <a:t> compensation is calculated for the minimum input voltage. This ensure stability over the input votlage range</a:t>
          </a:r>
          <a:endParaRPr lang="en-US" sz="1100"/>
        </a:p>
      </xdr:txBody>
    </xdr:sp>
    <xdr:clientData/>
  </xdr:twoCellAnchor>
  <xdr:twoCellAnchor editAs="oneCell">
    <xdr:from>
      <xdr:col>8</xdr:col>
      <xdr:colOff>842683</xdr:colOff>
      <xdr:row>50</xdr:row>
      <xdr:rowOff>62753</xdr:rowOff>
    </xdr:from>
    <xdr:to>
      <xdr:col>12</xdr:col>
      <xdr:colOff>447547</xdr:colOff>
      <xdr:row>53</xdr:row>
      <xdr:rowOff>88800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9798424" y="6553200"/>
          <a:ext cx="2392888" cy="563929"/>
        </a:xfrm>
        <a:prstGeom prst="rect">
          <a:avLst/>
        </a:prstGeom>
      </xdr:spPr>
    </xdr:pic>
    <xdr:clientData/>
  </xdr:twoCellAnchor>
  <xdr:twoCellAnchor editAs="oneCell">
    <xdr:from>
      <xdr:col>9</xdr:col>
      <xdr:colOff>0</xdr:colOff>
      <xdr:row>62</xdr:row>
      <xdr:rowOff>0</xdr:rowOff>
    </xdr:from>
    <xdr:to>
      <xdr:col>14</xdr:col>
      <xdr:colOff>721</xdr:colOff>
      <xdr:row>66</xdr:row>
      <xdr:rowOff>31893</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9816353" y="7395882"/>
          <a:ext cx="3147333" cy="784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1051560</xdr:colOff>
      <xdr:row>49</xdr:row>
      <xdr:rowOff>45720</xdr:rowOff>
    </xdr:from>
    <xdr:to>
      <xdr:col>25</xdr:col>
      <xdr:colOff>563880</xdr:colOff>
      <xdr:row>73</xdr:row>
      <xdr:rowOff>19050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252153</xdr:colOff>
      <xdr:row>49</xdr:row>
      <xdr:rowOff>50916</xdr:rowOff>
    </xdr:from>
    <xdr:to>
      <xdr:col>38</xdr:col>
      <xdr:colOff>290945</xdr:colOff>
      <xdr:row>73</xdr:row>
      <xdr:rowOff>24247</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1036494</xdr:colOff>
      <xdr:row>20</xdr:row>
      <xdr:rowOff>65809</xdr:rowOff>
    </xdr:from>
    <xdr:to>
      <xdr:col>33</xdr:col>
      <xdr:colOff>315191</xdr:colOff>
      <xdr:row>49</xdr:row>
      <xdr:rowOff>1</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1051560</xdr:colOff>
      <xdr:row>49</xdr:row>
      <xdr:rowOff>45720</xdr:rowOff>
    </xdr:from>
    <xdr:to>
      <xdr:col>25</xdr:col>
      <xdr:colOff>563880</xdr:colOff>
      <xdr:row>73</xdr:row>
      <xdr:rowOff>19050</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32</xdr:col>
      <xdr:colOff>186690</xdr:colOff>
      <xdr:row>39</xdr:row>
      <xdr:rowOff>167640</xdr:rowOff>
    </xdr:from>
    <xdr:to>
      <xdr:col>34</xdr:col>
      <xdr:colOff>515247</xdr:colOff>
      <xdr:row>45</xdr:row>
      <xdr:rowOff>69934</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21541740" y="5482590"/>
          <a:ext cx="1840230" cy="1045293"/>
        </a:xfrm>
        <a:prstGeom prst="rect">
          <a:avLst/>
        </a:prstGeom>
      </xdr:spPr>
    </xdr:pic>
    <xdr:clientData/>
  </xdr:twoCellAnchor>
  <xdr:twoCellAnchor editAs="oneCell">
    <xdr:from>
      <xdr:col>34</xdr:col>
      <xdr:colOff>247650</xdr:colOff>
      <xdr:row>40</xdr:row>
      <xdr:rowOff>60960</xdr:rowOff>
    </xdr:from>
    <xdr:to>
      <xdr:col>38</xdr:col>
      <xdr:colOff>567929</xdr:colOff>
      <xdr:row>44</xdr:row>
      <xdr:rowOff>129612</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
        <a:stretch>
          <a:fillRect/>
        </a:stretch>
      </xdr:blipFill>
      <xdr:spPr>
        <a:xfrm>
          <a:off x="23888700" y="5566410"/>
          <a:ext cx="2758679" cy="830649"/>
        </a:xfrm>
        <a:prstGeom prst="rect">
          <a:avLst/>
        </a:prstGeom>
      </xdr:spPr>
    </xdr:pic>
    <xdr:clientData/>
  </xdr:twoCellAnchor>
  <xdr:twoCellAnchor>
    <xdr:from>
      <xdr:col>31</xdr:col>
      <xdr:colOff>30480</xdr:colOff>
      <xdr:row>49</xdr:row>
      <xdr:rowOff>64770</xdr:rowOff>
    </xdr:from>
    <xdr:to>
      <xdr:col>42</xdr:col>
      <xdr:colOff>144780</xdr:colOff>
      <xdr:row>73</xdr:row>
      <xdr:rowOff>38100</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7620</xdr:colOff>
      <xdr:row>21</xdr:row>
      <xdr:rowOff>121920</xdr:rowOff>
    </xdr:from>
    <xdr:to>
      <xdr:col>26</xdr:col>
      <xdr:colOff>45720</xdr:colOff>
      <xdr:row>45</xdr:row>
      <xdr:rowOff>80010</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22</xdr:row>
      <xdr:rowOff>147917</xdr:rowOff>
    </xdr:from>
    <xdr:to>
      <xdr:col>13</xdr:col>
      <xdr:colOff>397584</xdr:colOff>
      <xdr:row>49</xdr:row>
      <xdr:rowOff>125762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0</xdr:rowOff>
    </xdr:from>
    <xdr:to>
      <xdr:col>13</xdr:col>
      <xdr:colOff>397584</xdr:colOff>
      <xdr:row>79</xdr:row>
      <xdr:rowOff>157954</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82</xdr:row>
      <xdr:rowOff>0</xdr:rowOff>
    </xdr:from>
    <xdr:to>
      <xdr:col>13</xdr:col>
      <xdr:colOff>397584</xdr:colOff>
      <xdr:row>108</xdr:row>
      <xdr:rowOff>157953</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548640</xdr:colOff>
      <xdr:row>10</xdr:row>
      <xdr:rowOff>0</xdr:rowOff>
    </xdr:from>
    <xdr:to>
      <xdr:col>12</xdr:col>
      <xdr:colOff>449580</xdr:colOff>
      <xdr:row>12</xdr:row>
      <xdr:rowOff>123546</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7269480" y="1638300"/>
          <a:ext cx="2948940" cy="489306"/>
        </a:xfrm>
        <a:prstGeom prst="rect">
          <a:avLst/>
        </a:prstGeom>
      </xdr:spPr>
    </xdr:pic>
    <xdr:clientData/>
  </xdr:twoCellAnchor>
  <xdr:twoCellAnchor editAs="oneCell">
    <xdr:from>
      <xdr:col>8</xdr:col>
      <xdr:colOff>7620</xdr:colOff>
      <xdr:row>14</xdr:row>
      <xdr:rowOff>132742</xdr:rowOff>
    </xdr:from>
    <xdr:to>
      <xdr:col>13</xdr:col>
      <xdr:colOff>350520</xdr:colOff>
      <xdr:row>18</xdr:row>
      <xdr:rowOff>76286</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7338060" y="2502562"/>
          <a:ext cx="3390900" cy="675064"/>
        </a:xfrm>
        <a:prstGeom prst="rect">
          <a:avLst/>
        </a:prstGeom>
      </xdr:spPr>
    </xdr:pic>
    <xdr:clientData/>
  </xdr:twoCellAnchor>
  <xdr:twoCellAnchor editAs="oneCell">
    <xdr:from>
      <xdr:col>9</xdr:col>
      <xdr:colOff>129540</xdr:colOff>
      <xdr:row>24</xdr:row>
      <xdr:rowOff>0</xdr:rowOff>
    </xdr:from>
    <xdr:to>
      <xdr:col>13</xdr:col>
      <xdr:colOff>76200</xdr:colOff>
      <xdr:row>32</xdr:row>
      <xdr:rowOff>45369</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69580" y="4198620"/>
          <a:ext cx="2385060" cy="152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625927</xdr:colOff>
      <xdr:row>2</xdr:row>
      <xdr:rowOff>0</xdr:rowOff>
    </xdr:from>
    <xdr:to>
      <xdr:col>2</xdr:col>
      <xdr:colOff>9701892</xdr:colOff>
      <xdr:row>3</xdr:row>
      <xdr:rowOff>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31103</xdr:colOff>
      <xdr:row>5</xdr:row>
      <xdr:rowOff>23328</xdr:rowOff>
    </xdr:from>
    <xdr:to>
      <xdr:col>3</xdr:col>
      <xdr:colOff>0</xdr:colOff>
      <xdr:row>5</xdr:row>
      <xdr:rowOff>4803322</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625927</xdr:colOff>
      <xdr:row>8</xdr:row>
      <xdr:rowOff>0</xdr:rowOff>
    </xdr:from>
    <xdr:to>
      <xdr:col>2</xdr:col>
      <xdr:colOff>9701893</xdr:colOff>
      <xdr:row>8</xdr:row>
      <xdr:rowOff>4789714</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absolute">
        <xdr:from>
          <xdr:col>9</xdr:col>
          <xdr:colOff>0</xdr:colOff>
          <xdr:row>2</xdr:row>
          <xdr:rowOff>0</xdr:rowOff>
        </xdr:from>
        <xdr:to>
          <xdr:col>27</xdr:col>
          <xdr:colOff>311243</xdr:colOff>
          <xdr:row>5</xdr:row>
          <xdr:rowOff>681746</xdr:rowOff>
        </xdr:to>
        <xdr:pic>
          <xdr:nvPicPr>
            <xdr:cNvPr id="7" name="Picture 8888">
              <a:extLst>
                <a:ext uri="{FF2B5EF4-FFF2-40B4-BE49-F238E27FC236}">
                  <a16:creationId xmlns:a16="http://schemas.microsoft.com/office/drawing/2014/main" id="{00000000-0008-0000-0700-000007000000}"/>
                </a:ext>
              </a:extLst>
            </xdr:cNvPr>
            <xdr:cNvPicPr>
              <a:picLocks noChangeAspect="1" noChangeArrowheads="1"/>
              <a:extLst>
                <a:ext uri="{84589F7E-364E-4C9E-8A38-B11213B215E9}">
                  <a14:cameraTool cellRange="display_eff" spid="_x0000_s16515"/>
                </a:ext>
              </a:extLst>
            </xdr:cNvPicPr>
          </xdr:nvPicPr>
          <xdr:blipFill>
            <a:blip xmlns:r="http://schemas.openxmlformats.org/officeDocument/2006/relationships" r:embed="rId4"/>
            <a:srcRect/>
            <a:stretch>
              <a:fillRect/>
            </a:stretch>
          </xdr:blipFill>
          <xdr:spPr bwMode="auto">
            <a:xfrm>
              <a:off x="15543244" y="365449"/>
              <a:ext cx="12067815" cy="5875787"/>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281750</xdr:colOff>
      <xdr:row>1</xdr:row>
      <xdr:rowOff>134469</xdr:rowOff>
    </xdr:from>
    <xdr:to>
      <xdr:col>1</xdr:col>
      <xdr:colOff>10245380</xdr:colOff>
      <xdr:row>2</xdr:row>
      <xdr:rowOff>4738487</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76840</xdr:colOff>
          <xdr:row>2</xdr:row>
          <xdr:rowOff>384202</xdr:rowOff>
        </xdr:from>
        <xdr:to>
          <xdr:col>12</xdr:col>
          <xdr:colOff>593884</xdr:colOff>
          <xdr:row>2</xdr:row>
          <xdr:rowOff>2971159</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a:extLst>
                <a:ext uri="{84589F7E-364E-4C9E-8A38-B11213B215E9}">
                  <a14:cameraTool cellRange="LoopLookup" spid="_x0000_s18569"/>
                </a:ext>
              </a:extLst>
            </xdr:cNvPicPr>
          </xdr:nvPicPr>
          <xdr:blipFill>
            <a:blip xmlns:r="http://schemas.openxmlformats.org/officeDocument/2006/relationships" r:embed="rId2"/>
            <a:srcRect/>
            <a:stretch>
              <a:fillRect/>
            </a:stretch>
          </xdr:blipFill>
          <xdr:spPr bwMode="auto">
            <a:xfrm>
              <a:off x="13690386" y="749194"/>
              <a:ext cx="6164809" cy="258695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xdr:col>
      <xdr:colOff>0</xdr:colOff>
      <xdr:row>3</xdr:row>
      <xdr:rowOff>0</xdr:rowOff>
    </xdr:from>
    <xdr:to>
      <xdr:col>1</xdr:col>
      <xdr:colOff>10808874</xdr:colOff>
      <xdr:row>3</xdr:row>
      <xdr:rowOff>4386303</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ackage" Target="../embeddings/Microsoft_Visio_Drawing2.vsdx"/><Relationship Id="rId13" Type="http://schemas.openxmlformats.org/officeDocument/2006/relationships/image" Target="../media/image20.emf"/><Relationship Id="rId3" Type="http://schemas.openxmlformats.org/officeDocument/2006/relationships/vmlDrawing" Target="../drawings/vmlDrawing8.vml"/><Relationship Id="rId7" Type="http://schemas.openxmlformats.org/officeDocument/2006/relationships/image" Target="../media/image17.emf"/><Relationship Id="rId12" Type="http://schemas.openxmlformats.org/officeDocument/2006/relationships/package" Target="../embeddings/Microsoft_Visio_Drawing4.vsdx"/><Relationship Id="rId2" Type="http://schemas.openxmlformats.org/officeDocument/2006/relationships/drawing" Target="../drawings/drawing10.xml"/><Relationship Id="rId1" Type="http://schemas.openxmlformats.org/officeDocument/2006/relationships/printerSettings" Target="../printerSettings/printerSettings8.bin"/><Relationship Id="rId6" Type="http://schemas.openxmlformats.org/officeDocument/2006/relationships/package" Target="../embeddings/Microsoft_Visio_Drawing1.vsdx"/><Relationship Id="rId11" Type="http://schemas.openxmlformats.org/officeDocument/2006/relationships/image" Target="../media/image19.emf"/><Relationship Id="rId5" Type="http://schemas.openxmlformats.org/officeDocument/2006/relationships/image" Target="../media/image16.emf"/><Relationship Id="rId15" Type="http://schemas.openxmlformats.org/officeDocument/2006/relationships/image" Target="../media/image21.emf"/><Relationship Id="rId10" Type="http://schemas.openxmlformats.org/officeDocument/2006/relationships/package" Target="../embeddings/Microsoft_Visio_Drawing3.vsdx"/><Relationship Id="rId4" Type="http://schemas.openxmlformats.org/officeDocument/2006/relationships/package" Target="../embeddings/Microsoft_Visio_Drawing.vsdx"/><Relationship Id="rId9" Type="http://schemas.openxmlformats.org/officeDocument/2006/relationships/image" Target="../media/image18.emf"/><Relationship Id="rId14" Type="http://schemas.openxmlformats.org/officeDocument/2006/relationships/package" Target="../embeddings/Microsoft_Visio_Drawing5.vsd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8.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F123"/>
  <sheetViews>
    <sheetView tabSelected="1" zoomScale="90" zoomScaleNormal="90" workbookViewId="0">
      <selection activeCell="N8" sqref="N8"/>
    </sheetView>
  </sheetViews>
  <sheetFormatPr baseColWidth="10" defaultColWidth="8.88671875" defaultRowHeight="14.4" x14ac:dyDescent="0.3"/>
  <cols>
    <col min="1" max="6" width="8.88671875" style="79" customWidth="1"/>
    <col min="7" max="7" width="8.88671875" style="125" customWidth="1"/>
    <col min="8" max="8" width="12" style="79" bestFit="1" customWidth="1"/>
    <col min="9" max="9" width="4.33203125" style="79" customWidth="1"/>
    <col min="10" max="10" width="2.6640625" style="79" customWidth="1"/>
    <col min="11" max="11" width="6" style="79" customWidth="1"/>
    <col min="12" max="12" width="15.88671875" style="79" customWidth="1"/>
    <col min="13" max="13" width="21.33203125" style="79" customWidth="1"/>
    <col min="14" max="14" width="12.88671875" style="79" customWidth="1"/>
    <col min="15" max="16" width="3.88671875" style="79" customWidth="1"/>
    <col min="17" max="17" width="6.109375" style="79" customWidth="1"/>
    <col min="18" max="18" width="3" style="79" customWidth="1"/>
    <col min="19" max="19" width="14.33203125" style="79" customWidth="1"/>
    <col min="20" max="20" width="14.109375" style="79" customWidth="1"/>
    <col min="21" max="21" width="4.109375" style="79" customWidth="1"/>
    <col min="22" max="22" width="9.6640625" style="79" customWidth="1"/>
    <col min="23" max="23" width="4.6640625" style="79" customWidth="1"/>
    <col min="24" max="24" width="3" style="79" customWidth="1"/>
    <col min="25" max="25" width="7.33203125" style="79" hidden="1" customWidth="1"/>
    <col min="26" max="26" width="7.33203125" style="79" customWidth="1"/>
    <col min="27" max="27" width="13.6640625" style="79" customWidth="1"/>
    <col min="28" max="28" width="10.88671875" style="79" customWidth="1"/>
    <col min="29" max="29" width="4.88671875" style="79" customWidth="1"/>
    <col min="30" max="31" width="8.88671875" style="79" customWidth="1"/>
    <col min="32" max="32" width="1.6640625" style="126" customWidth="1"/>
    <col min="33" max="16384" width="8.88671875" style="79"/>
  </cols>
  <sheetData>
    <row r="1" spans="1:32" ht="46.95" customHeight="1" x14ac:dyDescent="0.3">
      <c r="A1" s="75"/>
      <c r="B1" s="75"/>
      <c r="C1" s="75"/>
      <c r="D1" s="75"/>
      <c r="E1" s="76" t="s">
        <v>670</v>
      </c>
      <c r="F1" s="75"/>
      <c r="G1" s="77"/>
      <c r="H1" s="75"/>
      <c r="I1" s="75"/>
      <c r="J1" s="75"/>
      <c r="K1" s="75"/>
      <c r="L1" s="75"/>
      <c r="M1" s="75"/>
      <c r="N1" s="75"/>
      <c r="O1" s="75"/>
      <c r="P1" s="75"/>
      <c r="Q1" s="75"/>
      <c r="R1" s="75"/>
      <c r="S1" s="75"/>
      <c r="T1" s="75"/>
      <c r="U1" s="75"/>
      <c r="V1" s="75"/>
      <c r="W1" s="75"/>
      <c r="X1" s="75"/>
      <c r="Y1" s="75"/>
      <c r="Z1" s="75"/>
      <c r="AA1" s="75"/>
      <c r="AB1" s="75"/>
      <c r="AC1" s="75"/>
      <c r="AD1" s="75"/>
      <c r="AE1" s="75"/>
      <c r="AF1" s="78"/>
    </row>
    <row r="2" spans="1:32" x14ac:dyDescent="0.3">
      <c r="A2" s="80"/>
      <c r="B2" s="80"/>
      <c r="C2" s="80"/>
      <c r="D2" s="80"/>
      <c r="E2" s="80"/>
      <c r="F2" s="80"/>
      <c r="G2" s="81"/>
      <c r="H2" s="80"/>
      <c r="I2" s="80"/>
      <c r="J2" s="80"/>
      <c r="K2" s="80"/>
      <c r="L2" s="80"/>
      <c r="M2" s="80"/>
      <c r="N2" s="80"/>
      <c r="O2" s="80"/>
      <c r="P2" s="80"/>
      <c r="Q2" s="80"/>
      <c r="R2" s="80"/>
      <c r="S2" s="80"/>
      <c r="T2" s="80"/>
      <c r="U2" s="80"/>
      <c r="V2" s="80"/>
      <c r="W2" s="80"/>
      <c r="X2" s="80"/>
      <c r="Y2" s="80"/>
      <c r="Z2" s="80"/>
      <c r="AA2" s="80"/>
      <c r="AB2" s="80"/>
      <c r="AC2" s="80"/>
      <c r="AD2" s="80"/>
      <c r="AE2" s="80"/>
      <c r="AF2" s="78"/>
    </row>
    <row r="3" spans="1:32" x14ac:dyDescent="0.3">
      <c r="A3" s="82" t="s">
        <v>1</v>
      </c>
      <c r="B3" s="80"/>
      <c r="C3" s="80"/>
      <c r="D3" s="80"/>
      <c r="E3" s="83"/>
      <c r="F3" s="84" t="s">
        <v>2</v>
      </c>
      <c r="G3" s="81"/>
      <c r="H3" s="80"/>
      <c r="I3" s="80"/>
      <c r="J3" s="80"/>
      <c r="K3" s="80"/>
      <c r="L3" s="80"/>
      <c r="M3" s="80"/>
      <c r="N3" s="80"/>
      <c r="O3" s="80"/>
      <c r="P3" s="219" t="s">
        <v>0</v>
      </c>
      <c r="Q3" s="219"/>
      <c r="R3" s="219"/>
      <c r="S3" s="80"/>
      <c r="T3" s="80"/>
      <c r="U3" s="80"/>
      <c r="V3" s="80"/>
      <c r="W3" s="80"/>
      <c r="X3" s="80"/>
      <c r="Y3" s="80"/>
      <c r="Z3" s="80"/>
      <c r="AA3" s="80"/>
      <c r="AB3" s="80"/>
      <c r="AC3" s="80"/>
      <c r="AD3" s="80"/>
      <c r="AE3" s="80"/>
      <c r="AF3" s="78"/>
    </row>
    <row r="4" spans="1:32" s="88" customFormat="1" x14ac:dyDescent="0.3">
      <c r="A4" s="85"/>
      <c r="B4" s="85"/>
      <c r="C4" s="85"/>
      <c r="D4" s="85"/>
      <c r="E4" s="85"/>
      <c r="F4" s="85"/>
      <c r="G4" s="86"/>
      <c r="H4" s="85"/>
      <c r="I4" s="85"/>
      <c r="J4" s="85"/>
      <c r="K4" s="85"/>
      <c r="L4" s="85"/>
      <c r="M4" s="85"/>
      <c r="N4" s="85"/>
      <c r="O4" s="85"/>
      <c r="P4" s="85"/>
      <c r="Q4" s="85"/>
      <c r="R4" s="85"/>
      <c r="S4" s="85"/>
      <c r="T4" s="85"/>
      <c r="U4" s="85"/>
      <c r="V4" s="85"/>
      <c r="W4" s="85"/>
      <c r="X4" s="85"/>
      <c r="Y4" s="85"/>
      <c r="Z4" s="85"/>
      <c r="AA4" s="85"/>
      <c r="AB4" s="85"/>
      <c r="AC4" s="85"/>
      <c r="AD4" s="85"/>
      <c r="AE4" s="85"/>
      <c r="AF4" s="87"/>
    </row>
    <row r="5" spans="1:32" x14ac:dyDescent="0.3">
      <c r="A5" s="89"/>
      <c r="B5" s="89"/>
      <c r="C5" s="89"/>
      <c r="D5" s="89"/>
      <c r="E5" s="89"/>
      <c r="F5" s="89"/>
      <c r="G5" s="90"/>
      <c r="H5" s="89"/>
      <c r="I5" s="89"/>
      <c r="J5" s="89"/>
      <c r="K5" s="89"/>
      <c r="L5" s="89"/>
      <c r="M5" s="89"/>
      <c r="N5" s="89"/>
      <c r="O5" s="89"/>
      <c r="P5" s="90" t="s">
        <v>706</v>
      </c>
      <c r="Q5" s="218" t="s">
        <v>710</v>
      </c>
      <c r="R5" s="89"/>
      <c r="S5" s="89"/>
      <c r="T5" s="89"/>
      <c r="U5" s="89"/>
      <c r="V5" s="89"/>
      <c r="W5" s="89"/>
      <c r="X5" s="89"/>
      <c r="Y5" s="89"/>
      <c r="Z5" s="89"/>
      <c r="AA5" s="89"/>
      <c r="AB5" s="89"/>
      <c r="AC5" s="89"/>
      <c r="AD5" s="89" t="s">
        <v>3</v>
      </c>
      <c r="AE5" s="195" t="s">
        <v>698</v>
      </c>
      <c r="AF5" s="78"/>
    </row>
    <row r="6" spans="1:32" ht="18.600000000000001" thickBot="1" x14ac:dyDescent="0.4">
      <c r="A6" s="196" t="s">
        <v>4</v>
      </c>
      <c r="B6" s="89"/>
      <c r="C6" s="89"/>
      <c r="D6" s="89"/>
      <c r="E6" s="89"/>
      <c r="F6" s="89"/>
      <c r="G6" s="90"/>
      <c r="H6" s="89"/>
      <c r="I6" s="89"/>
      <c r="J6" s="89"/>
      <c r="K6" s="89"/>
      <c r="L6" s="89"/>
      <c r="M6" s="185" t="s">
        <v>644</v>
      </c>
      <c r="N6" s="183"/>
      <c r="O6" s="183"/>
      <c r="P6" s="89"/>
      <c r="Q6" s="89"/>
      <c r="R6" s="89"/>
      <c r="S6" s="89"/>
      <c r="T6" s="89"/>
      <c r="U6" s="89"/>
      <c r="V6" s="89"/>
      <c r="W6" s="89"/>
      <c r="X6" s="89"/>
      <c r="Y6" s="89"/>
      <c r="Z6" s="89"/>
      <c r="AA6" s="89"/>
      <c r="AB6" s="89"/>
      <c r="AC6" s="89"/>
      <c r="AD6" s="89"/>
      <c r="AE6" s="89"/>
      <c r="AF6" s="78"/>
    </row>
    <row r="7" spans="1:32" ht="15" x14ac:dyDescent="0.35">
      <c r="A7" s="92"/>
      <c r="B7" s="93"/>
      <c r="C7" s="93"/>
      <c r="D7" s="93"/>
      <c r="E7" s="93"/>
      <c r="F7" s="93"/>
      <c r="G7" s="94" t="s">
        <v>5</v>
      </c>
      <c r="H7" s="128">
        <v>9</v>
      </c>
      <c r="I7" s="149" t="s">
        <v>11</v>
      </c>
      <c r="J7" s="89"/>
      <c r="K7" s="89"/>
      <c r="L7" s="193"/>
      <c r="M7" s="94" t="s">
        <v>8</v>
      </c>
      <c r="N7" s="128">
        <v>160</v>
      </c>
      <c r="O7" s="95" t="s">
        <v>11</v>
      </c>
      <c r="P7" s="89"/>
      <c r="Q7" s="89"/>
      <c r="R7" s="91"/>
      <c r="S7" s="89"/>
      <c r="T7" s="89"/>
      <c r="U7" s="89"/>
      <c r="V7" s="89"/>
      <c r="W7" s="89"/>
      <c r="X7" s="89"/>
      <c r="Y7" s="89"/>
      <c r="Z7" s="89"/>
      <c r="AA7" s="89"/>
      <c r="AB7" s="89"/>
      <c r="AC7" s="89"/>
      <c r="AD7" s="89"/>
      <c r="AE7" s="89"/>
      <c r="AF7" s="78"/>
    </row>
    <row r="8" spans="1:32" ht="15" x14ac:dyDescent="0.35">
      <c r="A8" s="96"/>
      <c r="B8" s="89"/>
      <c r="C8" s="89"/>
      <c r="D8" s="89"/>
      <c r="E8" s="89"/>
      <c r="F8" s="89"/>
      <c r="G8" s="97" t="s">
        <v>6</v>
      </c>
      <c r="H8" s="129">
        <v>24</v>
      </c>
      <c r="I8" s="131" t="s">
        <v>11</v>
      </c>
      <c r="J8" s="89"/>
      <c r="K8" s="89"/>
      <c r="L8" s="96"/>
      <c r="M8" s="97" t="s">
        <v>9</v>
      </c>
      <c r="N8" s="129">
        <v>0.5</v>
      </c>
      <c r="O8" s="98" t="s">
        <v>12</v>
      </c>
      <c r="P8" s="89"/>
      <c r="Q8" s="89"/>
      <c r="R8" s="91"/>
      <c r="S8" s="89"/>
      <c r="T8" s="89"/>
      <c r="U8" s="89"/>
      <c r="V8" s="89"/>
      <c r="W8" s="89"/>
      <c r="X8" s="89"/>
      <c r="Y8" s="89"/>
      <c r="Z8" s="89"/>
      <c r="AA8" s="89"/>
      <c r="AB8" s="89"/>
      <c r="AC8" s="89"/>
      <c r="AD8" s="89"/>
      <c r="AE8" s="89"/>
      <c r="AF8" s="78"/>
    </row>
    <row r="9" spans="1:32" ht="15.6" x14ac:dyDescent="0.35">
      <c r="A9" s="96"/>
      <c r="B9" s="89"/>
      <c r="C9" s="89"/>
      <c r="D9" s="89"/>
      <c r="E9" s="89"/>
      <c r="F9" s="89"/>
      <c r="G9" s="97" t="s">
        <v>7</v>
      </c>
      <c r="H9" s="129">
        <v>30</v>
      </c>
      <c r="I9" s="131" t="s">
        <v>11</v>
      </c>
      <c r="J9" s="89"/>
      <c r="K9" s="89"/>
      <c r="L9" s="96"/>
      <c r="M9" s="90" t="s">
        <v>678</v>
      </c>
      <c r="N9" s="130">
        <f>Variable_Management!B53</f>
        <v>7.6190476190476204</v>
      </c>
      <c r="O9" s="98"/>
      <c r="P9" s="89"/>
      <c r="Q9" s="89"/>
      <c r="R9" s="91"/>
      <c r="S9" s="89"/>
      <c r="T9" s="89"/>
      <c r="U9" s="89"/>
      <c r="V9" s="89"/>
      <c r="W9" s="89"/>
      <c r="X9" s="89"/>
      <c r="Y9" s="89"/>
      <c r="Z9" s="89"/>
      <c r="AA9" s="89"/>
      <c r="AB9" s="89"/>
      <c r="AC9" s="89"/>
      <c r="AD9" s="89"/>
      <c r="AE9" s="89"/>
      <c r="AF9" s="78"/>
    </row>
    <row r="10" spans="1:32" ht="15.6" x14ac:dyDescent="0.35">
      <c r="A10" s="96"/>
      <c r="B10" s="89"/>
      <c r="C10" s="89"/>
      <c r="D10" s="89"/>
      <c r="E10" s="89"/>
      <c r="F10" s="89"/>
      <c r="G10" s="97" t="s">
        <v>642</v>
      </c>
      <c r="H10" s="131"/>
      <c r="I10" s="131"/>
      <c r="J10" s="89"/>
      <c r="K10" s="89"/>
      <c r="L10" s="96"/>
      <c r="M10" s="90" t="s">
        <v>677</v>
      </c>
      <c r="N10" s="129">
        <v>10</v>
      </c>
      <c r="O10" s="98"/>
      <c r="P10" s="89"/>
      <c r="Q10" s="89"/>
      <c r="R10" s="91"/>
      <c r="S10" s="89"/>
      <c r="T10" s="89"/>
      <c r="U10" s="89"/>
      <c r="V10" s="89"/>
      <c r="W10" s="89"/>
      <c r="X10" s="89"/>
      <c r="Y10" s="89"/>
      <c r="Z10" s="89"/>
      <c r="AA10" s="89"/>
      <c r="AB10" s="89"/>
      <c r="AC10" s="89"/>
      <c r="AD10" s="89"/>
      <c r="AE10" s="89"/>
      <c r="AF10" s="78"/>
    </row>
    <row r="11" spans="1:32" ht="16.2" thickBot="1" x14ac:dyDescent="0.4">
      <c r="A11" s="96"/>
      <c r="B11" s="89"/>
      <c r="C11" s="89"/>
      <c r="D11" s="89"/>
      <c r="E11" s="89"/>
      <c r="F11" s="89"/>
      <c r="G11" s="97"/>
      <c r="H11" s="131"/>
      <c r="I11" s="131"/>
      <c r="J11" s="89"/>
      <c r="K11" s="89"/>
      <c r="L11" s="102"/>
      <c r="M11" s="105" t="s">
        <v>676</v>
      </c>
      <c r="N11" s="134">
        <v>12</v>
      </c>
      <c r="O11" s="101" t="s">
        <v>81</v>
      </c>
      <c r="P11" s="89"/>
      <c r="Q11" s="89"/>
      <c r="R11" s="91"/>
      <c r="S11" s="89"/>
      <c r="T11" s="89"/>
      <c r="U11" s="89"/>
      <c r="V11" s="89"/>
      <c r="W11" s="89"/>
      <c r="X11" s="89"/>
      <c r="Y11" s="89"/>
      <c r="Z11" s="89"/>
      <c r="AA11" s="89"/>
      <c r="AB11" s="89"/>
      <c r="AC11" s="89"/>
      <c r="AD11" s="89"/>
      <c r="AE11" s="89"/>
      <c r="AF11" s="78"/>
    </row>
    <row r="12" spans="1:32" x14ac:dyDescent="0.3">
      <c r="A12" s="96"/>
      <c r="B12" s="89"/>
      <c r="C12" s="89"/>
      <c r="D12" s="89"/>
      <c r="E12" s="89"/>
      <c r="F12" s="89"/>
      <c r="G12" s="181" t="s">
        <v>513</v>
      </c>
      <c r="H12" s="131"/>
      <c r="I12" s="131"/>
      <c r="J12" s="89"/>
      <c r="K12" s="89"/>
      <c r="L12" s="89"/>
      <c r="M12" s="89"/>
      <c r="N12" s="89"/>
      <c r="O12" s="89"/>
      <c r="P12" s="89"/>
      <c r="Q12" s="89"/>
      <c r="R12" s="91"/>
      <c r="S12" s="89"/>
      <c r="T12" s="89"/>
      <c r="U12" s="89"/>
      <c r="V12" s="89"/>
      <c r="W12" s="89"/>
      <c r="X12" s="89"/>
      <c r="Y12" s="89"/>
      <c r="Z12" s="89"/>
      <c r="AA12" s="89"/>
      <c r="AB12" s="89"/>
      <c r="AC12" s="89"/>
      <c r="AD12" s="89"/>
      <c r="AE12" s="89"/>
      <c r="AF12" s="78"/>
    </row>
    <row r="13" spans="1:32" ht="16.2" thickBot="1" x14ac:dyDescent="0.35">
      <c r="A13" s="96"/>
      <c r="B13" s="89"/>
      <c r="C13" s="89"/>
      <c r="D13" s="89"/>
      <c r="E13" s="89"/>
      <c r="F13" s="89"/>
      <c r="G13" s="97"/>
      <c r="H13" s="155"/>
      <c r="I13" s="131"/>
      <c r="J13" s="89"/>
      <c r="K13" s="89"/>
      <c r="L13" s="89"/>
      <c r="M13" s="185" t="s">
        <v>643</v>
      </c>
      <c r="N13" s="183"/>
      <c r="O13" s="183"/>
      <c r="P13" s="89"/>
      <c r="Q13" s="89"/>
      <c r="R13" s="91"/>
      <c r="S13" s="89"/>
      <c r="T13" s="89"/>
      <c r="U13" s="89"/>
      <c r="V13" s="89"/>
      <c r="W13" s="89"/>
      <c r="X13" s="89"/>
      <c r="Y13" s="89"/>
      <c r="Z13" s="89"/>
      <c r="AA13" s="89"/>
      <c r="AB13" s="89"/>
      <c r="AC13" s="89"/>
      <c r="AD13" s="89"/>
      <c r="AE13" s="89"/>
      <c r="AF13" s="78"/>
    </row>
    <row r="14" spans="1:32" ht="15" x14ac:dyDescent="0.35">
      <c r="A14" s="96"/>
      <c r="B14" s="89"/>
      <c r="C14" s="89"/>
      <c r="D14" s="89"/>
      <c r="E14" s="89"/>
      <c r="F14" s="89"/>
      <c r="G14" s="97" t="s">
        <v>10</v>
      </c>
      <c r="H14" s="128">
        <v>1000</v>
      </c>
      <c r="I14" s="149" t="s">
        <v>13</v>
      </c>
      <c r="J14" s="89"/>
      <c r="K14" s="89"/>
      <c r="L14" s="92"/>
      <c r="M14" s="94" t="s">
        <v>640</v>
      </c>
      <c r="N14" s="128">
        <v>10</v>
      </c>
      <c r="O14" s="95" t="s">
        <v>11</v>
      </c>
      <c r="P14" s="89"/>
      <c r="Q14" s="89"/>
      <c r="R14" s="91"/>
      <c r="S14" s="89"/>
      <c r="T14" s="89"/>
      <c r="U14" s="89"/>
      <c r="V14" s="89"/>
      <c r="W14" s="89"/>
      <c r="X14" s="89"/>
      <c r="Y14" s="89"/>
      <c r="Z14" s="89"/>
      <c r="AA14" s="89"/>
      <c r="AB14" s="89"/>
      <c r="AC14" s="89"/>
      <c r="AD14" s="89"/>
      <c r="AE14" s="89"/>
      <c r="AF14" s="78"/>
    </row>
    <row r="15" spans="1:32" ht="15.6" thickBot="1" x14ac:dyDescent="0.4">
      <c r="A15" s="96"/>
      <c r="B15" s="89"/>
      <c r="C15" s="89"/>
      <c r="D15" s="89"/>
      <c r="E15" s="89"/>
      <c r="F15" s="89"/>
      <c r="G15" s="97" t="s">
        <v>67</v>
      </c>
      <c r="H15" s="133">
        <f>RT/1000</f>
        <v>21.145</v>
      </c>
      <c r="I15" s="143" t="s">
        <v>68</v>
      </c>
      <c r="J15" s="89"/>
      <c r="K15" s="89"/>
      <c r="L15" s="96"/>
      <c r="M15" s="97" t="s">
        <v>639</v>
      </c>
      <c r="N15" s="129">
        <v>0.02</v>
      </c>
      <c r="O15" s="98" t="s">
        <v>12</v>
      </c>
      <c r="P15" s="89"/>
      <c r="Q15" s="89"/>
      <c r="R15" s="91"/>
      <c r="S15" s="89"/>
      <c r="T15" s="89"/>
      <c r="U15" s="89"/>
      <c r="V15" s="89"/>
      <c r="W15" s="89"/>
      <c r="X15" s="89"/>
      <c r="Y15" s="89"/>
      <c r="Z15" s="89"/>
      <c r="AA15" s="89"/>
      <c r="AB15" s="89"/>
      <c r="AC15" s="89"/>
      <c r="AD15" s="89"/>
      <c r="AE15" s="89"/>
      <c r="AF15" s="78"/>
    </row>
    <row r="16" spans="1:32" ht="16.2" thickBot="1" x14ac:dyDescent="0.4">
      <c r="A16" s="96"/>
      <c r="B16" s="89"/>
      <c r="C16" s="89"/>
      <c r="D16" s="89"/>
      <c r="E16" s="89"/>
      <c r="F16" s="89"/>
      <c r="G16" s="97"/>
      <c r="H16" s="155"/>
      <c r="I16" s="131"/>
      <c r="J16" s="89"/>
      <c r="K16" s="89"/>
      <c r="L16" s="96"/>
      <c r="M16" s="90" t="s">
        <v>638</v>
      </c>
      <c r="N16" s="130">
        <f>Variable_Management!B63</f>
        <v>0</v>
      </c>
      <c r="O16" s="98"/>
      <c r="P16" s="89"/>
      <c r="Q16" s="89"/>
      <c r="R16" s="91"/>
      <c r="S16" s="89"/>
      <c r="T16" s="89"/>
      <c r="U16" s="89"/>
      <c r="V16" s="89"/>
      <c r="W16" s="89"/>
      <c r="X16" s="89"/>
      <c r="Y16" s="89"/>
      <c r="Z16" s="89"/>
      <c r="AA16" s="89"/>
      <c r="AB16" s="89"/>
      <c r="AC16" s="89"/>
      <c r="AD16" s="89"/>
      <c r="AE16" s="89"/>
      <c r="AF16" s="78"/>
    </row>
    <row r="17" spans="1:32" ht="15.6" x14ac:dyDescent="0.35">
      <c r="A17" s="96"/>
      <c r="B17" s="89"/>
      <c r="C17" s="89"/>
      <c r="D17" s="89"/>
      <c r="E17" s="89"/>
      <c r="F17" s="89"/>
      <c r="G17" s="90" t="s">
        <v>445</v>
      </c>
      <c r="H17" s="128">
        <v>70</v>
      </c>
      <c r="I17" s="149" t="s">
        <v>14</v>
      </c>
      <c r="J17" s="89"/>
      <c r="K17" s="89"/>
      <c r="L17" s="96"/>
      <c r="M17" s="90" t="s">
        <v>641</v>
      </c>
      <c r="N17" s="129">
        <v>0.6</v>
      </c>
      <c r="O17" s="98"/>
      <c r="P17" s="89"/>
      <c r="Q17" s="89"/>
      <c r="R17" s="91"/>
      <c r="S17" s="89"/>
      <c r="T17" s="89"/>
      <c r="U17" s="89"/>
      <c r="V17" s="89"/>
      <c r="W17" s="89"/>
      <c r="X17" s="89"/>
      <c r="Y17" s="89"/>
      <c r="Z17" s="89"/>
      <c r="AA17" s="89"/>
      <c r="AB17" s="89"/>
      <c r="AC17" s="89"/>
      <c r="AD17" s="89"/>
      <c r="AE17" s="89"/>
      <c r="AF17" s="78"/>
    </row>
    <row r="18" spans="1:32" ht="15.6" x14ac:dyDescent="0.35">
      <c r="A18" s="96"/>
      <c r="B18" s="89"/>
      <c r="C18" s="89"/>
      <c r="D18" s="89"/>
      <c r="E18" s="89"/>
      <c r="F18" s="89"/>
      <c r="G18" s="90" t="s">
        <v>472</v>
      </c>
      <c r="H18" s="167">
        <f>Variable_Management!B57*100</f>
        <v>64</v>
      </c>
      <c r="I18" s="131" t="s">
        <v>14</v>
      </c>
      <c r="J18" s="89"/>
      <c r="K18" s="89"/>
      <c r="L18" s="96"/>
      <c r="M18" s="90" t="s">
        <v>603</v>
      </c>
      <c r="N18" s="129">
        <v>12</v>
      </c>
      <c r="O18" s="98" t="s">
        <v>81</v>
      </c>
      <c r="P18" s="89"/>
      <c r="Q18" s="89"/>
      <c r="R18" s="91"/>
      <c r="S18" s="89"/>
      <c r="T18" s="89"/>
      <c r="U18" s="89"/>
      <c r="V18" s="89"/>
      <c r="W18" s="89"/>
      <c r="X18" s="89"/>
      <c r="Y18" s="89"/>
      <c r="Z18" s="89"/>
      <c r="AA18" s="89"/>
      <c r="AB18" s="89"/>
      <c r="AC18" s="89"/>
      <c r="AD18" s="89"/>
      <c r="AE18" s="89"/>
      <c r="AF18" s="78"/>
    </row>
    <row r="19" spans="1:32" ht="16.2" thickBot="1" x14ac:dyDescent="0.4">
      <c r="A19" s="102"/>
      <c r="B19" s="100"/>
      <c r="C19" s="100"/>
      <c r="D19" s="100"/>
      <c r="E19" s="100"/>
      <c r="F19" s="100"/>
      <c r="G19" s="103" t="s">
        <v>15</v>
      </c>
      <c r="H19" s="143">
        <f>POUT_Total</f>
        <v>80</v>
      </c>
      <c r="I19" s="143" t="s">
        <v>36</v>
      </c>
      <c r="J19" s="89"/>
      <c r="K19" s="89"/>
      <c r="L19" s="102"/>
      <c r="M19" s="105" t="s">
        <v>467</v>
      </c>
      <c r="N19" s="133">
        <f>Variable_Management!B65</f>
        <v>0</v>
      </c>
      <c r="O19" s="101" t="s">
        <v>11</v>
      </c>
      <c r="P19" s="89"/>
      <c r="Q19" s="89"/>
      <c r="R19" s="91"/>
      <c r="S19" s="89"/>
      <c r="T19" s="89"/>
      <c r="U19" s="89"/>
      <c r="V19" s="89"/>
      <c r="W19" s="89"/>
      <c r="X19" s="89"/>
      <c r="Y19" s="89"/>
      <c r="Z19" s="89"/>
      <c r="AA19" s="89"/>
      <c r="AB19" s="89"/>
      <c r="AC19" s="89"/>
      <c r="AD19" s="89"/>
      <c r="AE19" s="89"/>
      <c r="AF19" s="78"/>
    </row>
    <row r="20" spans="1:32" x14ac:dyDescent="0.3">
      <c r="A20" s="89"/>
      <c r="B20" s="89"/>
      <c r="C20" s="89"/>
      <c r="D20" s="89"/>
      <c r="E20" s="89"/>
      <c r="F20" s="89"/>
      <c r="G20" s="90"/>
      <c r="H20" s="89"/>
      <c r="I20" s="89"/>
      <c r="J20" s="89"/>
      <c r="K20" s="89"/>
      <c r="L20" s="89"/>
      <c r="M20" s="89"/>
      <c r="N20" s="89"/>
      <c r="O20" s="89"/>
      <c r="P20" s="89"/>
      <c r="Q20" s="89"/>
      <c r="R20" s="91"/>
      <c r="S20" s="89"/>
      <c r="T20" s="89"/>
      <c r="U20" s="89"/>
      <c r="V20" s="89"/>
      <c r="W20" s="89"/>
      <c r="X20" s="89"/>
      <c r="Y20" s="89"/>
      <c r="Z20" s="89"/>
      <c r="AA20" s="89"/>
      <c r="AB20" s="89"/>
      <c r="AC20" s="89"/>
      <c r="AD20" s="89"/>
      <c r="AE20" s="89"/>
      <c r="AF20" s="78"/>
    </row>
    <row r="21" spans="1:32" ht="18.600000000000001" thickBot="1" x14ac:dyDescent="0.4">
      <c r="A21" s="196" t="s">
        <v>438</v>
      </c>
      <c r="B21" s="99"/>
      <c r="C21" s="99"/>
      <c r="D21" s="99"/>
      <c r="E21" s="99"/>
      <c r="F21" s="89"/>
      <c r="G21" s="90"/>
      <c r="H21" s="89"/>
      <c r="I21" s="89"/>
      <c r="J21" s="89"/>
      <c r="K21" s="89"/>
      <c r="L21" s="89"/>
      <c r="M21" s="185" t="s">
        <v>645</v>
      </c>
      <c r="N21" s="112"/>
      <c r="O21" s="89"/>
      <c r="P21" s="89"/>
      <c r="Q21" s="89"/>
      <c r="R21" s="91"/>
      <c r="S21" s="89"/>
      <c r="T21" s="89"/>
      <c r="U21" s="89"/>
      <c r="V21" s="89"/>
      <c r="W21" s="89"/>
      <c r="X21" s="89"/>
      <c r="Y21" s="89"/>
      <c r="Z21" s="89"/>
      <c r="AA21" s="89"/>
      <c r="AB21" s="89"/>
      <c r="AC21" s="89"/>
      <c r="AD21" s="89"/>
      <c r="AE21" s="89"/>
      <c r="AF21" s="78"/>
    </row>
    <row r="22" spans="1:32" ht="15" x14ac:dyDescent="0.35">
      <c r="A22" s="184"/>
      <c r="B22" s="166"/>
      <c r="C22" s="166"/>
      <c r="D22" s="166"/>
      <c r="E22" s="166"/>
      <c r="F22" s="93"/>
      <c r="G22" s="94" t="s">
        <v>412</v>
      </c>
      <c r="H22" s="128">
        <v>30</v>
      </c>
      <c r="I22" s="95" t="s">
        <v>14</v>
      </c>
      <c r="J22" s="89"/>
      <c r="K22" s="89"/>
      <c r="L22" s="92"/>
      <c r="M22" s="94" t="s">
        <v>8</v>
      </c>
      <c r="N22" s="128">
        <v>-7</v>
      </c>
      <c r="O22" s="95" t="s">
        <v>11</v>
      </c>
      <c r="P22" s="89"/>
      <c r="Q22" s="89"/>
      <c r="R22" s="91"/>
      <c r="S22" s="89"/>
      <c r="T22" s="89"/>
      <c r="U22" s="89"/>
      <c r="V22" s="89"/>
      <c r="W22" s="89"/>
      <c r="X22" s="89"/>
      <c r="Y22" s="89"/>
      <c r="Z22" s="89"/>
      <c r="AA22" s="89"/>
      <c r="AB22" s="89"/>
      <c r="AC22" s="89"/>
      <c r="AD22" s="89"/>
      <c r="AE22" s="89"/>
      <c r="AF22" s="78"/>
    </row>
    <row r="23" spans="1:32" ht="15" x14ac:dyDescent="0.35">
      <c r="A23" s="96"/>
      <c r="B23" s="89"/>
      <c r="C23" s="89"/>
      <c r="D23" s="89"/>
      <c r="E23" s="89"/>
      <c r="F23" s="89"/>
      <c r="G23" s="97" t="s">
        <v>439</v>
      </c>
      <c r="H23" s="167">
        <f>Variable_Management!B75*(10^6)</f>
        <v>4.5368620037807181</v>
      </c>
      <c r="I23" s="98" t="s">
        <v>79</v>
      </c>
      <c r="J23" s="89"/>
      <c r="K23" s="89"/>
      <c r="L23" s="96"/>
      <c r="M23" s="97" t="s">
        <v>9</v>
      </c>
      <c r="N23" s="129">
        <v>1</v>
      </c>
      <c r="O23" s="98" t="s">
        <v>12</v>
      </c>
      <c r="P23" s="89"/>
      <c r="Q23" s="89"/>
      <c r="R23" s="91"/>
      <c r="S23" s="89"/>
      <c r="T23" s="89"/>
      <c r="U23" s="89"/>
      <c r="V23" s="89"/>
      <c r="W23" s="89"/>
      <c r="X23" s="89"/>
      <c r="Y23" s="89"/>
      <c r="Z23" s="89"/>
      <c r="AA23" s="89"/>
      <c r="AB23" s="89"/>
      <c r="AC23" s="89"/>
      <c r="AD23" s="89"/>
      <c r="AE23" s="89"/>
      <c r="AF23" s="78"/>
    </row>
    <row r="24" spans="1:32" ht="15.6" x14ac:dyDescent="0.35">
      <c r="A24" s="96"/>
      <c r="B24" s="89"/>
      <c r="C24" s="89"/>
      <c r="D24" s="89"/>
      <c r="E24" s="89"/>
      <c r="F24" s="89"/>
      <c r="G24" s="97" t="s">
        <v>440</v>
      </c>
      <c r="H24" s="129">
        <v>5</v>
      </c>
      <c r="I24" s="98" t="s">
        <v>79</v>
      </c>
      <c r="J24" s="89"/>
      <c r="K24" s="89"/>
      <c r="L24" s="96"/>
      <c r="M24" s="90" t="s">
        <v>461</v>
      </c>
      <c r="N24" s="130">
        <f>Variable_Management!B68</f>
        <v>0</v>
      </c>
      <c r="O24" s="98"/>
      <c r="P24" s="89"/>
      <c r="Q24" s="89"/>
      <c r="R24" s="91"/>
      <c r="S24" s="89"/>
      <c r="T24" s="89"/>
      <c r="U24" s="89"/>
      <c r="V24" s="89"/>
      <c r="W24" s="89"/>
      <c r="X24" s="89"/>
      <c r="Y24" s="89"/>
      <c r="Z24" s="89"/>
      <c r="AA24" s="89"/>
      <c r="AB24" s="89"/>
      <c r="AC24" s="89"/>
      <c r="AD24" s="89"/>
      <c r="AE24" s="89"/>
      <c r="AF24" s="78"/>
    </row>
    <row r="25" spans="1:32" ht="15.6" x14ac:dyDescent="0.35">
      <c r="A25" s="96"/>
      <c r="B25" s="89"/>
      <c r="C25" s="89"/>
      <c r="D25" s="89"/>
      <c r="E25" s="89"/>
      <c r="F25" s="89"/>
      <c r="G25" s="97" t="s">
        <v>697</v>
      </c>
      <c r="H25" s="129">
        <v>10</v>
      </c>
      <c r="I25" s="98" t="s">
        <v>81</v>
      </c>
      <c r="J25" s="89"/>
      <c r="K25" s="89"/>
      <c r="L25" s="96"/>
      <c r="M25" s="90" t="s">
        <v>462</v>
      </c>
      <c r="N25" s="129">
        <v>0.42</v>
      </c>
      <c r="O25" s="98"/>
      <c r="P25" s="89"/>
      <c r="Q25" s="89"/>
      <c r="R25" s="91"/>
      <c r="S25" s="89"/>
      <c r="T25" s="89"/>
      <c r="U25" s="89"/>
      <c r="V25" s="89"/>
      <c r="W25" s="89"/>
      <c r="X25" s="89"/>
      <c r="Y25" s="89"/>
      <c r="Z25" s="89"/>
      <c r="AA25" s="89"/>
      <c r="AB25" s="89"/>
      <c r="AC25" s="89"/>
      <c r="AD25" s="89"/>
      <c r="AE25" s="89"/>
      <c r="AF25" s="78"/>
    </row>
    <row r="26" spans="1:32" ht="15.6" thickBot="1" x14ac:dyDescent="0.4">
      <c r="A26" s="102"/>
      <c r="B26" s="100"/>
      <c r="C26" s="100"/>
      <c r="D26" s="100"/>
      <c r="E26" s="100"/>
      <c r="F26" s="100"/>
      <c r="G26" s="103" t="s">
        <v>672</v>
      </c>
      <c r="H26" s="168">
        <f>ILp_VINmin</f>
        <v>14.46488888888889</v>
      </c>
      <c r="I26" s="101" t="s">
        <v>12</v>
      </c>
      <c r="J26" s="89"/>
      <c r="K26" s="89"/>
      <c r="L26" s="96"/>
      <c r="M26" s="90" t="s">
        <v>603</v>
      </c>
      <c r="N26" s="129">
        <v>100</v>
      </c>
      <c r="O26" s="98" t="s">
        <v>81</v>
      </c>
      <c r="P26" s="89"/>
      <c r="Q26" s="89"/>
      <c r="R26" s="91"/>
      <c r="S26" s="89"/>
      <c r="T26" s="89"/>
      <c r="U26" s="89"/>
      <c r="V26" s="89"/>
      <c r="W26" s="89"/>
      <c r="X26" s="89"/>
      <c r="Y26" s="89"/>
      <c r="Z26" s="89"/>
      <c r="AA26" s="89"/>
      <c r="AB26" s="89"/>
      <c r="AC26" s="89"/>
      <c r="AD26" s="89"/>
      <c r="AE26" s="89"/>
      <c r="AF26" s="78"/>
    </row>
    <row r="27" spans="1:32" ht="16.2" thickBot="1" x14ac:dyDescent="0.4">
      <c r="A27" s="89"/>
      <c r="B27" s="89"/>
      <c r="C27" s="89"/>
      <c r="D27" s="89"/>
      <c r="E27" s="89"/>
      <c r="F27" s="89"/>
      <c r="G27" s="90"/>
      <c r="H27" s="89"/>
      <c r="I27" s="89"/>
      <c r="J27" s="89"/>
      <c r="K27" s="89"/>
      <c r="L27" s="102"/>
      <c r="M27" s="105" t="s">
        <v>467</v>
      </c>
      <c r="N27" s="133">
        <f>Variable_Management!B70</f>
        <v>0</v>
      </c>
      <c r="O27" s="101" t="s">
        <v>11</v>
      </c>
      <c r="P27" s="89"/>
      <c r="Q27" s="89"/>
      <c r="R27" s="91"/>
      <c r="S27" s="89"/>
      <c r="T27" s="89"/>
      <c r="U27" s="89"/>
      <c r="V27" s="89"/>
      <c r="W27" s="89"/>
      <c r="X27" s="89"/>
      <c r="Y27" s="89"/>
      <c r="Z27" s="89"/>
      <c r="AA27" s="89"/>
      <c r="AB27" s="89"/>
      <c r="AC27" s="89"/>
      <c r="AD27" s="89"/>
      <c r="AE27" s="89"/>
      <c r="AF27" s="78"/>
    </row>
    <row r="28" spans="1:32" x14ac:dyDescent="0.3">
      <c r="A28" s="89"/>
      <c r="B28" s="89"/>
      <c r="C28" s="89"/>
      <c r="D28" s="89"/>
      <c r="E28" s="89"/>
      <c r="F28" s="89"/>
      <c r="G28" s="90"/>
      <c r="H28" s="89"/>
      <c r="I28" s="89"/>
      <c r="J28" s="89"/>
      <c r="K28" s="89"/>
      <c r="L28" s="89"/>
      <c r="M28" s="90"/>
      <c r="N28" s="148"/>
      <c r="O28" s="89"/>
      <c r="P28" s="89"/>
      <c r="Q28" s="89"/>
      <c r="R28" s="91"/>
      <c r="S28" s="89"/>
      <c r="T28" s="89"/>
      <c r="U28" s="89"/>
      <c r="V28" s="89"/>
      <c r="W28" s="89"/>
      <c r="X28" s="89"/>
      <c r="Y28" s="89"/>
      <c r="Z28" s="89"/>
      <c r="AA28" s="89"/>
      <c r="AB28" s="89"/>
      <c r="AC28" s="89"/>
      <c r="AD28" s="89"/>
      <c r="AE28" s="89"/>
      <c r="AF28" s="78"/>
    </row>
    <row r="29" spans="1:32" ht="18.600000000000001" thickBot="1" x14ac:dyDescent="0.4">
      <c r="A29" s="196" t="s">
        <v>97</v>
      </c>
      <c r="B29" s="89"/>
      <c r="C29" s="89"/>
      <c r="D29" s="89"/>
      <c r="E29" s="89"/>
      <c r="F29" s="89"/>
      <c r="G29" s="90"/>
      <c r="H29" s="89"/>
      <c r="I29" s="89"/>
      <c r="J29" s="89"/>
      <c r="K29" s="89"/>
      <c r="L29" s="89"/>
      <c r="M29" s="89"/>
      <c r="N29" s="89"/>
      <c r="O29" s="89"/>
      <c r="P29" s="89"/>
      <c r="Q29" s="89"/>
      <c r="R29" s="91"/>
      <c r="S29" s="89"/>
      <c r="T29" s="89"/>
      <c r="U29" s="89"/>
      <c r="V29" s="89"/>
      <c r="W29" s="89"/>
      <c r="X29" s="89"/>
      <c r="Y29" s="89"/>
      <c r="Z29" s="89"/>
      <c r="AA29" s="89"/>
      <c r="AB29" s="89"/>
      <c r="AC29" s="89"/>
      <c r="AD29" s="89"/>
      <c r="AE29" s="89"/>
      <c r="AF29" s="78"/>
    </row>
    <row r="30" spans="1:32" x14ac:dyDescent="0.3">
      <c r="A30" s="92"/>
      <c r="B30" s="93"/>
      <c r="C30" s="93"/>
      <c r="D30" s="93"/>
      <c r="E30" s="93"/>
      <c r="F30" s="93"/>
      <c r="G30" s="201" t="s">
        <v>413</v>
      </c>
      <c r="H30" s="128">
        <v>30</v>
      </c>
      <c r="I30" s="95" t="s">
        <v>14</v>
      </c>
      <c r="J30" s="89"/>
      <c r="K30" s="89"/>
      <c r="L30" s="89"/>
      <c r="M30" s="89"/>
      <c r="N30" s="89"/>
      <c r="O30" s="89"/>
      <c r="P30" s="89"/>
      <c r="Q30" s="89"/>
      <c r="R30" s="89"/>
      <c r="S30" s="89"/>
      <c r="T30" s="89"/>
      <c r="U30" s="89"/>
      <c r="V30" s="89"/>
      <c r="W30" s="89"/>
      <c r="X30" s="89"/>
      <c r="Y30" s="89"/>
      <c r="Z30" s="89"/>
      <c r="AA30" s="89"/>
      <c r="AB30" s="89"/>
      <c r="AC30" s="89"/>
      <c r="AD30" s="89"/>
      <c r="AE30" s="89"/>
      <c r="AF30" s="78"/>
    </row>
    <row r="31" spans="1:32" ht="15.6" x14ac:dyDescent="0.35">
      <c r="A31" s="96"/>
      <c r="B31" s="89"/>
      <c r="C31" s="89"/>
      <c r="D31" s="89"/>
      <c r="E31" s="89"/>
      <c r="F31" s="89"/>
      <c r="G31" s="90" t="s">
        <v>158</v>
      </c>
      <c r="H31" s="130">
        <f>Ipk_selected</f>
        <v>18.804355555555556</v>
      </c>
      <c r="I31" s="98" t="s">
        <v>12</v>
      </c>
      <c r="J31" s="89"/>
      <c r="K31" s="89"/>
      <c r="L31" s="89"/>
      <c r="M31" s="89"/>
      <c r="N31" s="89"/>
      <c r="O31" s="89"/>
      <c r="P31" s="89"/>
      <c r="Q31" s="89"/>
      <c r="R31" s="89"/>
      <c r="S31" s="89"/>
      <c r="T31" s="89"/>
      <c r="U31" s="89"/>
      <c r="V31" s="89"/>
      <c r="W31" s="89"/>
      <c r="X31" s="89"/>
      <c r="Y31" s="89"/>
      <c r="Z31" s="89"/>
      <c r="AA31" s="89"/>
      <c r="AB31" s="89"/>
      <c r="AC31" s="89"/>
      <c r="AD31" s="89"/>
      <c r="AE31" s="89"/>
      <c r="AF31" s="78"/>
    </row>
    <row r="32" spans="1:32" ht="15.6" x14ac:dyDescent="0.35">
      <c r="A32" s="96"/>
      <c r="B32" s="89"/>
      <c r="C32" s="89"/>
      <c r="D32" s="89"/>
      <c r="E32" s="89"/>
      <c r="F32" s="89"/>
      <c r="G32" s="90" t="s">
        <v>417</v>
      </c>
      <c r="H32" s="130">
        <f>Variable_Management!B106*1000</f>
        <v>5.3179168892313369</v>
      </c>
      <c r="I32" s="98" t="s">
        <v>81</v>
      </c>
      <c r="J32" s="89"/>
      <c r="K32" s="89"/>
      <c r="L32" s="89"/>
      <c r="M32" s="90"/>
      <c r="N32" s="178"/>
      <c r="O32" s="89"/>
      <c r="P32" s="89"/>
      <c r="Q32" s="89"/>
      <c r="R32" s="89"/>
      <c r="S32" s="89"/>
      <c r="T32" s="89"/>
      <c r="U32" s="89"/>
      <c r="V32" s="89"/>
      <c r="W32" s="89"/>
      <c r="X32" s="89"/>
      <c r="Y32" s="89"/>
      <c r="Z32" s="89"/>
      <c r="AA32" s="89"/>
      <c r="AB32" s="89"/>
      <c r="AC32" s="89"/>
      <c r="AD32" s="89"/>
      <c r="AE32" s="89"/>
      <c r="AF32" s="78"/>
    </row>
    <row r="33" spans="1:32" ht="15.6" x14ac:dyDescent="0.35">
      <c r="A33" s="96"/>
      <c r="B33" s="89"/>
      <c r="C33" s="89"/>
      <c r="D33" s="89"/>
      <c r="E33" s="89"/>
      <c r="F33" s="89"/>
      <c r="G33" s="90" t="s">
        <v>130</v>
      </c>
      <c r="H33" s="132">
        <f>Variable_Management!B107</f>
        <v>0</v>
      </c>
      <c r="I33" s="104" t="s">
        <v>35</v>
      </c>
      <c r="J33" s="89"/>
      <c r="K33" s="89"/>
      <c r="L33" s="89"/>
      <c r="M33" s="89"/>
      <c r="N33" s="89"/>
      <c r="O33" s="89"/>
      <c r="P33" s="89"/>
      <c r="Q33" s="89"/>
      <c r="R33" s="89"/>
      <c r="S33" s="89"/>
      <c r="T33" s="89"/>
      <c r="U33" s="89"/>
      <c r="V33" s="89"/>
      <c r="W33" s="89"/>
      <c r="X33" s="89"/>
      <c r="Y33" s="89"/>
      <c r="Z33" s="89"/>
      <c r="AA33" s="89"/>
      <c r="AB33" s="89"/>
      <c r="AC33" s="89"/>
      <c r="AD33" s="89"/>
      <c r="AE33" s="89"/>
      <c r="AF33" s="78"/>
    </row>
    <row r="34" spans="1:32" ht="15.6" x14ac:dyDescent="0.35">
      <c r="A34" s="96"/>
      <c r="B34" s="89"/>
      <c r="C34" s="89"/>
      <c r="D34" s="89"/>
      <c r="E34" s="89"/>
      <c r="F34" s="89"/>
      <c r="G34" s="90" t="s">
        <v>418</v>
      </c>
      <c r="H34" s="129">
        <v>6</v>
      </c>
      <c r="I34" s="98" t="s">
        <v>81</v>
      </c>
      <c r="J34" s="89"/>
      <c r="K34" s="89"/>
      <c r="L34" s="89"/>
      <c r="M34" s="89"/>
      <c r="N34" s="89"/>
      <c r="O34" s="89"/>
      <c r="P34" s="89"/>
      <c r="Q34" s="89"/>
      <c r="R34" s="89"/>
      <c r="S34" s="89"/>
      <c r="T34" s="89"/>
      <c r="U34" s="89"/>
      <c r="V34" s="89"/>
      <c r="W34" s="89"/>
      <c r="X34" s="89"/>
      <c r="Y34" s="89"/>
      <c r="Z34" s="89"/>
      <c r="AA34" s="89"/>
      <c r="AB34" s="89"/>
      <c r="AC34" s="89"/>
      <c r="AD34" s="89"/>
      <c r="AE34" s="89"/>
      <c r="AF34" s="78"/>
    </row>
    <row r="35" spans="1:32" ht="15.6" x14ac:dyDescent="0.35">
      <c r="A35" s="96"/>
      <c r="B35" s="89"/>
      <c r="C35" s="89"/>
      <c r="D35" s="89"/>
      <c r="E35" s="89"/>
      <c r="F35" s="89"/>
      <c r="G35" s="90" t="s">
        <v>133</v>
      </c>
      <c r="H35" s="129">
        <v>0</v>
      </c>
      <c r="I35" s="104" t="s">
        <v>35</v>
      </c>
      <c r="J35" s="89"/>
      <c r="K35" s="89"/>
      <c r="L35" s="89"/>
      <c r="M35" s="89"/>
      <c r="N35" s="89"/>
      <c r="O35" s="89"/>
      <c r="P35" s="89"/>
      <c r="Q35" s="89"/>
      <c r="R35" s="89"/>
      <c r="S35" s="89"/>
      <c r="T35" s="89"/>
      <c r="U35" s="89"/>
      <c r="V35" s="89"/>
      <c r="W35" s="89"/>
      <c r="X35" s="89"/>
      <c r="Y35" s="89"/>
      <c r="Z35" s="89"/>
      <c r="AA35" s="89"/>
      <c r="AB35" s="89"/>
      <c r="AC35" s="89"/>
      <c r="AD35" s="89"/>
      <c r="AE35" s="89"/>
      <c r="AF35" s="78"/>
    </row>
    <row r="36" spans="1:32" ht="15" thickBot="1" x14ac:dyDescent="0.35">
      <c r="A36" s="102"/>
      <c r="B36" s="100"/>
      <c r="C36" s="100"/>
      <c r="D36" s="100"/>
      <c r="E36" s="100"/>
      <c r="F36" s="100"/>
      <c r="G36" s="105" t="s">
        <v>137</v>
      </c>
      <c r="H36" s="133">
        <f>IL_pk_max</f>
        <v>16.666666666666668</v>
      </c>
      <c r="I36" s="106" t="s">
        <v>12</v>
      </c>
      <c r="J36" s="89"/>
      <c r="K36" s="89"/>
      <c r="L36" s="89"/>
      <c r="M36" s="89"/>
      <c r="N36" s="89"/>
      <c r="O36" s="89"/>
      <c r="P36" s="89"/>
      <c r="Q36" s="89"/>
      <c r="R36" s="89"/>
      <c r="S36" s="89"/>
      <c r="T36" s="89"/>
      <c r="U36" s="89"/>
      <c r="V36" s="89"/>
      <c r="W36" s="89"/>
      <c r="X36" s="89"/>
      <c r="Y36" s="89"/>
      <c r="Z36" s="89"/>
      <c r="AA36" s="89"/>
      <c r="AB36" s="89"/>
      <c r="AC36" s="89"/>
      <c r="AD36" s="89"/>
      <c r="AE36" s="89"/>
      <c r="AF36" s="78"/>
    </row>
    <row r="37" spans="1:32" x14ac:dyDescent="0.3">
      <c r="A37" s="89"/>
      <c r="B37" s="89"/>
      <c r="C37" s="89"/>
      <c r="D37" s="89"/>
      <c r="E37" s="89"/>
      <c r="F37" s="89"/>
      <c r="G37" s="90"/>
      <c r="H37" s="148"/>
      <c r="I37" s="179"/>
      <c r="J37" s="179"/>
      <c r="K37" s="89"/>
      <c r="L37" s="89"/>
      <c r="M37" s="89"/>
      <c r="N37" s="89"/>
      <c r="O37" s="89"/>
      <c r="P37" s="89"/>
      <c r="Q37" s="89"/>
      <c r="R37" s="89"/>
      <c r="S37" s="89"/>
      <c r="T37" s="89"/>
      <c r="U37" s="89"/>
      <c r="V37" s="89"/>
      <c r="W37" s="89"/>
      <c r="X37" s="89"/>
      <c r="Y37" s="89"/>
      <c r="Z37" s="89"/>
      <c r="AA37" s="89"/>
      <c r="AB37" s="89"/>
      <c r="AC37" s="89"/>
      <c r="AD37" s="89"/>
      <c r="AE37" s="89"/>
      <c r="AF37" s="78"/>
    </row>
    <row r="38" spans="1:32" ht="18" x14ac:dyDescent="0.35">
      <c r="A38" s="196" t="s">
        <v>146</v>
      </c>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78"/>
    </row>
    <row r="39" spans="1:32" ht="15" thickBot="1" x14ac:dyDescent="0.35">
      <c r="A39" s="89"/>
      <c r="B39" s="89"/>
      <c r="C39" s="89"/>
      <c r="D39" s="89"/>
      <c r="E39" s="89"/>
      <c r="F39" s="89"/>
      <c r="G39" s="89"/>
      <c r="H39" s="188" t="s">
        <v>644</v>
      </c>
      <c r="I39" s="89"/>
      <c r="J39" s="89"/>
      <c r="K39" s="89"/>
      <c r="L39" s="182"/>
      <c r="M39" s="182"/>
      <c r="N39" s="188" t="s">
        <v>671</v>
      </c>
      <c r="O39" s="183"/>
      <c r="P39" s="182"/>
      <c r="Q39" s="89"/>
      <c r="R39" s="89"/>
      <c r="S39" s="89"/>
      <c r="T39" s="89"/>
      <c r="U39" s="89"/>
      <c r="V39" s="188" t="s">
        <v>679</v>
      </c>
      <c r="W39" s="89"/>
      <c r="X39" s="89"/>
      <c r="Y39" s="89"/>
      <c r="Z39" s="89"/>
      <c r="AA39" s="89"/>
      <c r="AB39" s="89"/>
      <c r="AC39" s="89"/>
      <c r="AD39" s="89"/>
      <c r="AE39" s="89"/>
      <c r="AF39" s="78"/>
    </row>
    <row r="40" spans="1:32" ht="15.6" x14ac:dyDescent="0.35">
      <c r="A40" s="92"/>
      <c r="B40" s="93"/>
      <c r="C40" s="93"/>
      <c r="D40" s="93"/>
      <c r="E40" s="93"/>
      <c r="F40" s="93"/>
      <c r="G40" s="107" t="s">
        <v>590</v>
      </c>
      <c r="H40" s="128">
        <v>100</v>
      </c>
      <c r="I40" s="95" t="s">
        <v>147</v>
      </c>
      <c r="J40" s="89"/>
      <c r="K40" s="89"/>
      <c r="L40" s="92"/>
      <c r="M40" s="107" t="s">
        <v>590</v>
      </c>
      <c r="N40" s="128">
        <v>100</v>
      </c>
      <c r="O40" s="95" t="s">
        <v>147</v>
      </c>
      <c r="P40" s="89"/>
      <c r="Q40" s="89"/>
      <c r="R40" s="92"/>
      <c r="S40" s="93"/>
      <c r="T40" s="93"/>
      <c r="U40" s="107" t="s">
        <v>590</v>
      </c>
      <c r="V40" s="128">
        <v>700</v>
      </c>
      <c r="W40" s="95" t="s">
        <v>147</v>
      </c>
      <c r="X40" s="89"/>
      <c r="Y40" s="89"/>
      <c r="Z40" s="89"/>
      <c r="AA40" s="89"/>
      <c r="AB40" s="89"/>
      <c r="AC40" s="89"/>
      <c r="AD40" s="89"/>
      <c r="AE40" s="89"/>
      <c r="AF40" s="78"/>
    </row>
    <row r="41" spans="1:32" x14ac:dyDescent="0.3">
      <c r="A41" s="96"/>
      <c r="B41" s="89"/>
      <c r="C41" s="89"/>
      <c r="D41" s="89"/>
      <c r="E41" s="89"/>
      <c r="F41" s="89"/>
      <c r="G41" s="90" t="s">
        <v>680</v>
      </c>
      <c r="H41" s="132">
        <f>Cout1_min*10^6</f>
        <v>96.450617283950592</v>
      </c>
      <c r="I41" s="98" t="s">
        <v>148</v>
      </c>
      <c r="J41" s="89"/>
      <c r="K41" s="89"/>
      <c r="L41" s="96"/>
      <c r="M41" s="90" t="s">
        <v>681</v>
      </c>
      <c r="N41" s="132">
        <f>Cout2_min*(10^6)</f>
        <v>0</v>
      </c>
      <c r="O41" s="98" t="s">
        <v>148</v>
      </c>
      <c r="P41" s="89"/>
      <c r="Q41" s="89"/>
      <c r="R41" s="96"/>
      <c r="S41" s="89"/>
      <c r="T41" s="89"/>
      <c r="U41" s="90" t="s">
        <v>682</v>
      </c>
      <c r="V41" s="132">
        <f>Cout3_min*(10^6)</f>
        <v>0</v>
      </c>
      <c r="W41" s="98" t="s">
        <v>148</v>
      </c>
      <c r="X41" s="89"/>
      <c r="Y41" s="89"/>
      <c r="Z41" s="89"/>
      <c r="AA41" s="89"/>
      <c r="AB41" s="89"/>
      <c r="AC41" s="89"/>
      <c r="AD41" s="89"/>
      <c r="AE41" s="89"/>
      <c r="AF41" s="78"/>
    </row>
    <row r="42" spans="1:32" ht="15.6" x14ac:dyDescent="0.35">
      <c r="A42" s="96"/>
      <c r="B42" s="89"/>
      <c r="C42" s="89"/>
      <c r="D42" s="187"/>
      <c r="E42" s="89"/>
      <c r="F42" s="89"/>
      <c r="G42" s="90" t="s">
        <v>149</v>
      </c>
      <c r="H42" s="129">
        <v>100</v>
      </c>
      <c r="I42" s="98" t="s">
        <v>148</v>
      </c>
      <c r="J42" s="89"/>
      <c r="K42" s="89"/>
      <c r="L42" s="96"/>
      <c r="M42" s="90" t="s">
        <v>149</v>
      </c>
      <c r="N42" s="129">
        <v>2</v>
      </c>
      <c r="O42" s="98" t="s">
        <v>148</v>
      </c>
      <c r="P42" s="89"/>
      <c r="Q42" s="89"/>
      <c r="R42" s="96"/>
      <c r="S42" s="89"/>
      <c r="T42" s="89"/>
      <c r="U42" s="90" t="s">
        <v>149</v>
      </c>
      <c r="V42" s="129">
        <v>100</v>
      </c>
      <c r="W42" s="98" t="s">
        <v>148</v>
      </c>
      <c r="X42" s="89"/>
      <c r="Y42" s="89"/>
      <c r="Z42" s="89"/>
      <c r="AA42" s="89"/>
      <c r="AB42" s="89"/>
      <c r="AC42" s="89"/>
      <c r="AD42" s="89"/>
      <c r="AE42" s="89"/>
      <c r="AF42" s="78"/>
    </row>
    <row r="43" spans="1:32" ht="16.2" thickBot="1" x14ac:dyDescent="0.4">
      <c r="A43" s="102"/>
      <c r="B43" s="100"/>
      <c r="C43" s="100"/>
      <c r="D43" s="100"/>
      <c r="E43" s="100"/>
      <c r="F43" s="100"/>
      <c r="G43" s="105" t="s">
        <v>155</v>
      </c>
      <c r="H43" s="134">
        <v>2</v>
      </c>
      <c r="I43" s="101" t="s">
        <v>81</v>
      </c>
      <c r="J43" s="89"/>
      <c r="K43" s="89"/>
      <c r="L43" s="102"/>
      <c r="M43" s="105" t="s">
        <v>155</v>
      </c>
      <c r="N43" s="134">
        <v>1</v>
      </c>
      <c r="O43" s="101" t="s">
        <v>81</v>
      </c>
      <c r="P43" s="89"/>
      <c r="Q43" s="89"/>
      <c r="R43" s="102"/>
      <c r="S43" s="100"/>
      <c r="T43" s="100"/>
      <c r="U43" s="105" t="s">
        <v>155</v>
      </c>
      <c r="V43" s="134">
        <v>2</v>
      </c>
      <c r="W43" s="101" t="s">
        <v>81</v>
      </c>
      <c r="X43" s="89"/>
      <c r="Y43" s="89"/>
      <c r="Z43" s="89"/>
      <c r="AA43" s="89"/>
      <c r="AB43" s="89"/>
      <c r="AC43" s="89"/>
      <c r="AD43" s="89"/>
      <c r="AE43" s="89"/>
      <c r="AF43" s="78"/>
    </row>
    <row r="44" spans="1:32" x14ac:dyDescent="0.3">
      <c r="A44" s="89"/>
      <c r="B44" s="89"/>
      <c r="C44" s="89"/>
      <c r="D44" s="89"/>
      <c r="E44" s="89"/>
      <c r="F44" s="89"/>
      <c r="G44" s="90"/>
      <c r="H44" s="148"/>
      <c r="I44" s="179"/>
      <c r="J44" s="179"/>
      <c r="K44" s="89"/>
      <c r="L44" s="89"/>
      <c r="M44" s="89"/>
      <c r="N44" s="89"/>
      <c r="O44" s="89"/>
      <c r="P44" s="89"/>
      <c r="Q44" s="89"/>
      <c r="R44" s="89"/>
      <c r="S44" s="89"/>
      <c r="T44" s="89"/>
      <c r="U44" s="89"/>
      <c r="V44" s="89"/>
      <c r="W44" s="89"/>
      <c r="X44" s="89"/>
      <c r="Y44" s="89"/>
      <c r="Z44" s="89"/>
      <c r="AA44" s="89"/>
      <c r="AB44" s="89"/>
      <c r="AC44" s="89"/>
      <c r="AD44" s="89"/>
      <c r="AE44" s="89"/>
      <c r="AF44" s="78"/>
    </row>
    <row r="45" spans="1:32" x14ac:dyDescent="0.3">
      <c r="A45" s="89"/>
      <c r="B45" s="89"/>
      <c r="C45" s="89"/>
      <c r="D45" s="89"/>
      <c r="E45" s="89"/>
      <c r="F45" s="89"/>
      <c r="G45" s="89"/>
      <c r="H45" s="89"/>
      <c r="I45" s="89"/>
      <c r="J45" s="179"/>
      <c r="K45" s="89"/>
      <c r="L45" s="89"/>
      <c r="M45" s="89"/>
      <c r="N45" s="89"/>
      <c r="O45" s="89"/>
      <c r="P45" s="89"/>
      <c r="Q45" s="89"/>
      <c r="R45" s="89"/>
      <c r="S45" s="89"/>
      <c r="T45" s="89"/>
      <c r="U45" s="89"/>
      <c r="V45" s="89"/>
      <c r="W45" s="89"/>
      <c r="X45" s="89"/>
      <c r="Y45" s="89"/>
      <c r="Z45" s="89"/>
      <c r="AA45" s="89"/>
      <c r="AB45" s="89"/>
      <c r="AC45" s="89"/>
      <c r="AD45" s="89"/>
      <c r="AE45" s="89"/>
      <c r="AF45" s="78"/>
    </row>
    <row r="46" spans="1:32" ht="18.600000000000001" thickBot="1" x14ac:dyDescent="0.4">
      <c r="A46" s="196" t="s">
        <v>272</v>
      </c>
      <c r="B46" s="89"/>
      <c r="C46" s="89"/>
      <c r="D46" s="89"/>
      <c r="E46" s="89"/>
      <c r="F46" s="89"/>
      <c r="G46" s="90"/>
      <c r="H46" s="89"/>
      <c r="I46" s="89"/>
      <c r="J46" s="89"/>
      <c r="K46" s="89"/>
      <c r="L46" s="89"/>
      <c r="M46" s="89"/>
      <c r="N46" s="89"/>
      <c r="O46" s="89"/>
      <c r="P46" s="89"/>
      <c r="Q46" s="89"/>
      <c r="R46" s="89"/>
      <c r="S46" s="89"/>
      <c r="T46" s="89"/>
      <c r="U46" s="89"/>
      <c r="V46" s="89"/>
      <c r="W46" s="89"/>
      <c r="X46" s="89"/>
      <c r="Y46" s="89"/>
      <c r="Z46" s="89"/>
      <c r="AA46" s="89"/>
      <c r="AB46" s="89"/>
      <c r="AC46" s="89"/>
      <c r="AD46" s="89"/>
      <c r="AE46" s="89"/>
      <c r="AF46" s="78"/>
    </row>
    <row r="47" spans="1:32" ht="15.6" x14ac:dyDescent="0.35">
      <c r="A47" s="92"/>
      <c r="B47" s="93"/>
      <c r="C47" s="93"/>
      <c r="D47" s="93"/>
      <c r="E47" s="93"/>
      <c r="F47" s="93"/>
      <c r="G47" s="107" t="s">
        <v>294</v>
      </c>
      <c r="H47" s="137">
        <f>Variable_Management!B156*(10^9)</f>
        <v>319.99999999999994</v>
      </c>
      <c r="I47" s="95" t="s">
        <v>172</v>
      </c>
      <c r="J47" s="89"/>
      <c r="K47" s="89"/>
      <c r="L47" s="89"/>
      <c r="M47" s="89"/>
      <c r="N47" s="89"/>
      <c r="O47" s="89"/>
      <c r="P47" s="89"/>
      <c r="Q47" s="89"/>
      <c r="R47" s="89"/>
      <c r="S47" s="89"/>
      <c r="T47" s="89"/>
      <c r="U47" s="89"/>
      <c r="V47" s="89"/>
      <c r="W47" s="89"/>
      <c r="X47" s="89"/>
      <c r="Y47" s="89"/>
      <c r="Z47" s="89"/>
      <c r="AA47" s="89"/>
      <c r="AB47" s="89"/>
      <c r="AC47" s="89"/>
      <c r="AD47" s="89"/>
      <c r="AE47" s="89"/>
      <c r="AF47" s="78"/>
    </row>
    <row r="48" spans="1:32" ht="15.6" x14ac:dyDescent="0.35">
      <c r="A48" s="96"/>
      <c r="B48" s="89"/>
      <c r="C48" s="89"/>
      <c r="D48" s="89"/>
      <c r="E48" s="89"/>
      <c r="F48" s="89"/>
      <c r="G48" s="90" t="s">
        <v>299</v>
      </c>
      <c r="H48" s="129">
        <v>32</v>
      </c>
      <c r="I48" s="98" t="s">
        <v>295</v>
      </c>
      <c r="J48" s="89"/>
      <c r="K48" s="89"/>
      <c r="L48" s="89"/>
      <c r="M48" s="89"/>
      <c r="N48" s="89"/>
      <c r="O48" s="89"/>
      <c r="P48" s="89"/>
      <c r="Q48" s="89"/>
      <c r="R48" s="89"/>
      <c r="S48" s="89"/>
      <c r="T48" s="89"/>
      <c r="U48" s="89"/>
      <c r="V48" s="89"/>
      <c r="W48" s="89"/>
      <c r="X48" s="89"/>
      <c r="Y48" s="89"/>
      <c r="Z48" s="89"/>
      <c r="AA48" s="89"/>
      <c r="AB48" s="89"/>
      <c r="AC48" s="89"/>
      <c r="AD48" s="89"/>
      <c r="AE48" s="89"/>
      <c r="AF48" s="78"/>
    </row>
    <row r="49" spans="1:32" ht="16.2" thickBot="1" x14ac:dyDescent="0.4">
      <c r="A49" s="102"/>
      <c r="B49" s="100"/>
      <c r="C49" s="100"/>
      <c r="D49" s="100"/>
      <c r="E49" s="100"/>
      <c r="F49" s="100"/>
      <c r="G49" s="105" t="s">
        <v>298</v>
      </c>
      <c r="H49" s="138">
        <f>Variable_Management!B158*(10^9)</f>
        <v>319.99999999999994</v>
      </c>
      <c r="I49" s="101" t="s">
        <v>172</v>
      </c>
      <c r="J49" s="89"/>
      <c r="K49" s="89"/>
      <c r="L49" s="89"/>
      <c r="M49" s="89"/>
      <c r="N49" s="89"/>
      <c r="O49" s="89"/>
      <c r="P49" s="89"/>
      <c r="Q49" s="89"/>
      <c r="R49" s="89"/>
      <c r="S49" s="89"/>
      <c r="T49" s="89"/>
      <c r="U49" s="89"/>
      <c r="V49" s="89"/>
      <c r="W49" s="89"/>
      <c r="X49" s="89"/>
      <c r="Y49" s="89"/>
      <c r="Z49" s="89"/>
      <c r="AA49" s="89"/>
      <c r="AB49" s="89"/>
      <c r="AC49" s="89"/>
      <c r="AD49" s="89"/>
      <c r="AE49" s="89"/>
      <c r="AF49" s="78"/>
    </row>
    <row r="50" spans="1:32" x14ac:dyDescent="0.3">
      <c r="A50" s="89"/>
      <c r="B50" s="89"/>
      <c r="C50" s="89"/>
      <c r="D50" s="89"/>
      <c r="E50" s="89"/>
      <c r="F50" s="89"/>
      <c r="G50" s="90"/>
      <c r="H50" s="89"/>
      <c r="I50" s="89"/>
      <c r="J50" s="89"/>
      <c r="K50" s="89"/>
      <c r="L50" s="89"/>
      <c r="M50" s="89"/>
      <c r="N50" s="89"/>
      <c r="O50" s="89"/>
      <c r="P50" s="89"/>
      <c r="Q50" s="89"/>
      <c r="R50" s="89"/>
      <c r="S50" s="89"/>
      <c r="T50" s="89"/>
      <c r="U50" s="89"/>
      <c r="V50" s="89"/>
      <c r="W50" s="89"/>
      <c r="X50" s="89"/>
      <c r="Y50" s="89"/>
      <c r="Z50" s="89"/>
      <c r="AA50" s="89"/>
      <c r="AB50" s="89"/>
      <c r="AC50" s="89"/>
      <c r="AD50" s="89"/>
      <c r="AE50" s="89"/>
      <c r="AF50" s="78"/>
    </row>
    <row r="51" spans="1:32" ht="18.600000000000001" thickBot="1" x14ac:dyDescent="0.4">
      <c r="A51" s="196" t="s">
        <v>273</v>
      </c>
      <c r="B51" s="89"/>
      <c r="C51" s="89"/>
      <c r="D51" s="89"/>
      <c r="E51" s="89"/>
      <c r="F51" s="89"/>
      <c r="G51" s="90"/>
      <c r="H51" s="89"/>
      <c r="I51" s="89"/>
      <c r="J51" s="89"/>
      <c r="K51" s="89"/>
      <c r="L51" s="89"/>
      <c r="M51" s="89"/>
      <c r="N51" s="89"/>
      <c r="O51" s="89"/>
      <c r="P51" s="89"/>
      <c r="Q51" s="89"/>
      <c r="R51" s="89"/>
      <c r="S51" s="89"/>
      <c r="T51" s="89"/>
      <c r="U51" s="89"/>
      <c r="V51" s="89"/>
      <c r="W51" s="89"/>
      <c r="X51" s="89"/>
      <c r="Y51" s="89"/>
      <c r="Z51" s="89"/>
      <c r="AA51" s="89"/>
      <c r="AB51" s="89"/>
      <c r="AC51" s="89"/>
      <c r="AD51" s="89"/>
      <c r="AE51" s="89"/>
      <c r="AF51" s="78"/>
    </row>
    <row r="52" spans="1:32" ht="15.6" x14ac:dyDescent="0.35">
      <c r="A52" s="92"/>
      <c r="B52" s="93"/>
      <c r="C52" s="93"/>
      <c r="D52" s="93"/>
      <c r="E52" s="93"/>
      <c r="F52" s="93"/>
      <c r="G52" s="107" t="s">
        <v>301</v>
      </c>
      <c r="H52" s="128">
        <v>5.8</v>
      </c>
      <c r="I52" s="95" t="s">
        <v>11</v>
      </c>
      <c r="J52" s="89"/>
      <c r="K52" s="89"/>
      <c r="L52" s="89"/>
      <c r="M52" s="89"/>
      <c r="N52" s="89"/>
      <c r="O52" s="89"/>
      <c r="P52" s="89"/>
      <c r="Q52" s="89"/>
      <c r="R52" s="89"/>
      <c r="S52" s="89"/>
      <c r="T52" s="89"/>
      <c r="U52" s="89"/>
      <c r="V52" s="89"/>
      <c r="W52" s="89"/>
      <c r="X52" s="89"/>
      <c r="Y52" s="89"/>
      <c r="Z52" s="89"/>
      <c r="AA52" s="89"/>
      <c r="AB52" s="89"/>
      <c r="AC52" s="89"/>
      <c r="AD52" s="89"/>
      <c r="AE52" s="89"/>
      <c r="AF52" s="78"/>
    </row>
    <row r="53" spans="1:32" ht="15.6" x14ac:dyDescent="0.35">
      <c r="A53" s="96"/>
      <c r="B53" s="89"/>
      <c r="C53" s="89"/>
      <c r="D53" s="89"/>
      <c r="E53" s="89"/>
      <c r="F53" s="89"/>
      <c r="G53" s="90" t="s">
        <v>300</v>
      </c>
      <c r="H53" s="129">
        <v>5.4</v>
      </c>
      <c r="I53" s="98" t="s">
        <v>11</v>
      </c>
      <c r="J53" s="89"/>
      <c r="K53" s="89"/>
      <c r="L53" s="89"/>
      <c r="M53" s="89"/>
      <c r="N53" s="89"/>
      <c r="O53" s="89"/>
      <c r="P53" s="89"/>
      <c r="Q53" s="89"/>
      <c r="R53" s="89"/>
      <c r="S53" s="127"/>
      <c r="T53" s="89"/>
      <c r="U53" s="89"/>
      <c r="V53" s="89"/>
      <c r="W53" s="89"/>
      <c r="X53" s="89"/>
      <c r="Y53" s="89"/>
      <c r="Z53" s="89"/>
      <c r="AA53" s="89"/>
      <c r="AB53" s="89"/>
      <c r="AC53" s="89"/>
      <c r="AD53" s="89"/>
      <c r="AE53" s="89"/>
      <c r="AF53" s="78"/>
    </row>
    <row r="54" spans="1:32" ht="15.6" x14ac:dyDescent="0.35">
      <c r="A54" s="96"/>
      <c r="B54" s="89"/>
      <c r="C54" s="89"/>
      <c r="D54" s="89"/>
      <c r="E54" s="89"/>
      <c r="F54" s="89"/>
      <c r="G54" s="90" t="s">
        <v>389</v>
      </c>
      <c r="H54" s="135">
        <f>Ruvlo_top_calc/1000</f>
        <v>41.719999999999942</v>
      </c>
      <c r="I54" s="104" t="s">
        <v>169</v>
      </c>
      <c r="J54" s="179"/>
      <c r="K54" s="89"/>
      <c r="L54" s="89"/>
      <c r="M54" s="89"/>
      <c r="N54" s="89"/>
      <c r="O54" s="89"/>
      <c r="P54" s="89"/>
      <c r="Q54" s="89"/>
      <c r="R54" s="89"/>
      <c r="S54" s="89"/>
      <c r="T54" s="89"/>
      <c r="U54" s="89"/>
      <c r="V54" s="89"/>
      <c r="W54" s="89"/>
      <c r="X54" s="89"/>
      <c r="Y54" s="89"/>
      <c r="Z54" s="89"/>
      <c r="AA54" s="89"/>
      <c r="AB54" s="89"/>
      <c r="AC54" s="89"/>
      <c r="AD54" s="89"/>
      <c r="AE54" s="89"/>
      <c r="AF54" s="78"/>
    </row>
    <row r="55" spans="1:32" ht="15.6" x14ac:dyDescent="0.35">
      <c r="A55" s="96"/>
      <c r="B55" s="89"/>
      <c r="C55" s="89"/>
      <c r="D55" s="89"/>
      <c r="E55" s="89"/>
      <c r="F55" s="89"/>
      <c r="G55" s="90" t="s">
        <v>390</v>
      </c>
      <c r="H55" s="129">
        <v>41.72</v>
      </c>
      <c r="I55" s="104" t="s">
        <v>169</v>
      </c>
      <c r="J55" s="179"/>
      <c r="K55" s="89"/>
      <c r="L55" s="89"/>
      <c r="M55" s="89"/>
      <c r="N55" s="89"/>
      <c r="O55" s="89"/>
      <c r="P55" s="89"/>
      <c r="Q55" s="89"/>
      <c r="R55" s="89"/>
      <c r="S55" s="89"/>
      <c r="T55" s="89"/>
      <c r="U55" s="89"/>
      <c r="V55" s="89"/>
      <c r="W55" s="89"/>
      <c r="X55" s="89"/>
      <c r="Y55" s="89"/>
      <c r="Z55" s="89"/>
      <c r="AA55" s="89"/>
      <c r="AB55" s="89"/>
      <c r="AC55" s="89"/>
      <c r="AD55" s="89"/>
      <c r="AE55" s="89"/>
      <c r="AF55" s="78"/>
    </row>
    <row r="56" spans="1:32" ht="16.2" thickBot="1" x14ac:dyDescent="0.4">
      <c r="A56" s="102"/>
      <c r="B56" s="100"/>
      <c r="C56" s="100"/>
      <c r="D56" s="100"/>
      <c r="E56" s="100"/>
      <c r="F56" s="100"/>
      <c r="G56" s="105" t="s">
        <v>391</v>
      </c>
      <c r="H56" s="136">
        <f>Ruvlo_bottom_calc/1000</f>
        <v>14.553488372093025</v>
      </c>
      <c r="I56" s="106" t="s">
        <v>169</v>
      </c>
      <c r="J56" s="179"/>
      <c r="K56" s="89"/>
      <c r="L56" s="89"/>
      <c r="M56" s="89"/>
      <c r="N56" s="89"/>
      <c r="O56" s="89"/>
      <c r="P56" s="89"/>
      <c r="Q56" s="89"/>
      <c r="R56" s="89"/>
      <c r="S56" s="89"/>
      <c r="T56" s="89"/>
      <c r="U56" s="89"/>
      <c r="V56" s="89"/>
      <c r="W56" s="89"/>
      <c r="X56" s="89"/>
      <c r="Y56" s="89"/>
      <c r="Z56" s="89"/>
      <c r="AA56" s="89"/>
      <c r="AB56" s="89"/>
      <c r="AC56" s="89"/>
      <c r="AD56" s="89"/>
      <c r="AE56" s="89"/>
      <c r="AF56" s="78"/>
    </row>
    <row r="57" spans="1:32" x14ac:dyDescent="0.3">
      <c r="A57" s="89"/>
      <c r="B57" s="89"/>
      <c r="C57" s="89"/>
      <c r="D57" s="89"/>
      <c r="E57" s="89"/>
      <c r="F57" s="89"/>
      <c r="G57" s="90"/>
      <c r="H57" s="89"/>
      <c r="I57" s="89"/>
      <c r="J57" s="89"/>
      <c r="K57" s="89"/>
      <c r="L57" s="89"/>
      <c r="M57" s="89"/>
      <c r="N57" s="89"/>
      <c r="O57" s="89"/>
      <c r="P57" s="89"/>
      <c r="Q57" s="89"/>
      <c r="R57" s="89"/>
      <c r="S57" s="89"/>
      <c r="T57" s="89"/>
      <c r="U57" s="89"/>
      <c r="V57" s="89"/>
      <c r="W57" s="89"/>
      <c r="X57" s="89"/>
      <c r="Y57" s="89"/>
      <c r="Z57" s="89"/>
      <c r="AA57" s="89"/>
      <c r="AB57" s="89"/>
      <c r="AC57" s="89"/>
      <c r="AD57" s="89"/>
      <c r="AE57" s="89"/>
      <c r="AF57" s="78"/>
    </row>
    <row r="58" spans="1:32" ht="18.600000000000001" thickBot="1" x14ac:dyDescent="0.4">
      <c r="A58" s="196" t="s">
        <v>324</v>
      </c>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78"/>
    </row>
    <row r="59" spans="1:32" ht="15.6" x14ac:dyDescent="0.35">
      <c r="A59" s="108"/>
      <c r="B59" s="93"/>
      <c r="C59" s="93"/>
      <c r="D59" s="93"/>
      <c r="E59" s="93"/>
      <c r="F59" s="93"/>
      <c r="G59" s="109" t="s">
        <v>414</v>
      </c>
      <c r="H59" s="163">
        <f>VIN_nom</f>
        <v>24</v>
      </c>
      <c r="I59" s="149"/>
      <c r="J59" s="89"/>
      <c r="K59" s="89"/>
      <c r="L59" s="89"/>
      <c r="M59" s="89"/>
      <c r="N59" s="89"/>
      <c r="O59" s="89"/>
      <c r="P59" s="89"/>
      <c r="Q59" s="89"/>
      <c r="R59" s="89"/>
      <c r="S59" s="89"/>
      <c r="T59" s="89"/>
      <c r="U59" s="89"/>
      <c r="V59" s="89"/>
      <c r="W59" s="89"/>
      <c r="X59" s="89"/>
      <c r="Y59" s="89"/>
      <c r="Z59" s="89"/>
      <c r="AA59" s="89"/>
      <c r="AB59" s="89"/>
      <c r="AC59" s="89"/>
      <c r="AD59" s="89"/>
      <c r="AE59" s="89"/>
      <c r="AF59" s="78"/>
    </row>
    <row r="60" spans="1:32" x14ac:dyDescent="0.3">
      <c r="A60" s="110"/>
      <c r="B60" s="89"/>
      <c r="C60" s="89"/>
      <c r="D60" s="89"/>
      <c r="E60" s="89"/>
      <c r="F60" s="89"/>
      <c r="G60" s="162"/>
      <c r="H60" s="154"/>
      <c r="I60" s="131"/>
      <c r="J60" s="89"/>
      <c r="K60" s="89"/>
      <c r="L60" s="89"/>
      <c r="M60" s="89"/>
      <c r="N60" s="89"/>
      <c r="O60" s="89"/>
      <c r="P60" s="89"/>
      <c r="Q60" s="89"/>
      <c r="R60" s="89"/>
      <c r="S60" s="89"/>
      <c r="T60" s="89"/>
      <c r="U60" s="89"/>
      <c r="V60" s="89"/>
      <c r="W60" s="89"/>
      <c r="X60" s="89"/>
      <c r="Y60" s="89"/>
      <c r="Z60" s="89"/>
      <c r="AA60" s="89"/>
      <c r="AB60" s="89"/>
      <c r="AC60" s="89"/>
      <c r="AD60" s="89"/>
      <c r="AE60" s="89"/>
      <c r="AF60" s="78"/>
    </row>
    <row r="61" spans="1:32" ht="15" thickBot="1" x14ac:dyDescent="0.35">
      <c r="A61" s="110"/>
      <c r="B61" s="89"/>
      <c r="C61" s="89"/>
      <c r="D61" s="89"/>
      <c r="E61" s="89"/>
      <c r="F61" s="89"/>
      <c r="G61" s="111" t="s">
        <v>170</v>
      </c>
      <c r="H61" s="131"/>
      <c r="I61" s="131"/>
      <c r="J61" s="89"/>
      <c r="K61" s="89"/>
      <c r="L61" s="89"/>
      <c r="M61" s="89"/>
      <c r="N61" s="89"/>
      <c r="O61" s="89"/>
      <c r="P61" s="89"/>
      <c r="Q61" s="89"/>
      <c r="R61" s="89"/>
      <c r="S61" s="89"/>
      <c r="T61" s="89"/>
      <c r="U61" s="89"/>
      <c r="V61" s="89"/>
      <c r="W61" s="89"/>
      <c r="X61" s="89"/>
      <c r="Y61" s="89"/>
      <c r="Z61" s="89"/>
      <c r="AA61" s="89"/>
      <c r="AB61" s="89"/>
      <c r="AC61" s="89"/>
      <c r="AD61" s="89"/>
      <c r="AE61" s="89"/>
      <c r="AF61" s="78"/>
    </row>
    <row r="62" spans="1:32" ht="15.6" x14ac:dyDescent="0.35">
      <c r="A62" s="110"/>
      <c r="B62" s="89"/>
      <c r="C62" s="89"/>
      <c r="D62" s="89"/>
      <c r="E62" s="89"/>
      <c r="F62" s="89"/>
      <c r="G62" s="90" t="s">
        <v>508</v>
      </c>
      <c r="H62" s="128">
        <v>1.24</v>
      </c>
      <c r="I62" s="149" t="s">
        <v>11</v>
      </c>
      <c r="J62" s="89"/>
      <c r="K62" s="89"/>
      <c r="L62" s="89"/>
      <c r="M62" s="89"/>
      <c r="N62" s="89"/>
      <c r="O62" s="89"/>
      <c r="P62" s="89"/>
      <c r="Q62" s="89"/>
      <c r="R62" s="89"/>
      <c r="S62" s="89"/>
      <c r="T62" s="89"/>
      <c r="U62" s="89"/>
      <c r="V62" s="89"/>
      <c r="W62" s="89"/>
      <c r="X62" s="89"/>
      <c r="Y62" s="89"/>
      <c r="Z62" s="89"/>
      <c r="AA62" s="89"/>
      <c r="AB62" s="89"/>
      <c r="AC62" s="89"/>
      <c r="AD62" s="89"/>
      <c r="AE62" s="89"/>
      <c r="AF62" s="78"/>
    </row>
    <row r="63" spans="1:32" ht="15.6" x14ac:dyDescent="0.35">
      <c r="A63" s="110"/>
      <c r="B63" s="89"/>
      <c r="C63" s="89"/>
      <c r="D63" s="89"/>
      <c r="E63" s="89"/>
      <c r="F63" s="89"/>
      <c r="G63" s="90" t="s">
        <v>270</v>
      </c>
      <c r="H63" s="129">
        <v>100</v>
      </c>
      <c r="I63" s="161" t="s">
        <v>169</v>
      </c>
      <c r="J63" s="179"/>
      <c r="K63" s="89"/>
      <c r="L63" s="89"/>
      <c r="M63" s="89"/>
      <c r="N63" s="89"/>
      <c r="O63" s="89"/>
      <c r="P63" s="89"/>
      <c r="Q63" s="89"/>
      <c r="R63" s="89"/>
      <c r="S63" s="89"/>
      <c r="T63" s="89"/>
      <c r="U63" s="89"/>
      <c r="V63" s="89"/>
      <c r="W63" s="89"/>
      <c r="X63" s="89"/>
      <c r="Y63" s="89"/>
      <c r="Z63" s="89"/>
      <c r="AA63" s="89"/>
      <c r="AB63" s="89"/>
      <c r="AC63" s="89"/>
      <c r="AD63" s="89"/>
      <c r="AE63" s="89"/>
      <c r="AF63" s="78"/>
    </row>
    <row r="64" spans="1:32" ht="15.6" x14ac:dyDescent="0.35">
      <c r="A64" s="110"/>
      <c r="B64" s="89"/>
      <c r="C64" s="89"/>
      <c r="D64" s="89"/>
      <c r="E64" s="89"/>
      <c r="F64" s="89"/>
      <c r="G64" s="90" t="s">
        <v>246</v>
      </c>
      <c r="H64" s="135">
        <f>CHOOSE(FB_type,RFBB_iso_calc/1000,RFBB_calc/1000)</f>
        <v>0.62893081761006298</v>
      </c>
      <c r="I64" s="161" t="s">
        <v>169</v>
      </c>
      <c r="J64" s="179"/>
      <c r="K64" s="89"/>
      <c r="L64" s="89"/>
      <c r="M64" s="89"/>
      <c r="N64" s="89"/>
      <c r="O64" s="89"/>
      <c r="P64" s="89"/>
      <c r="Q64" s="89"/>
      <c r="R64" s="89"/>
      <c r="S64" s="89"/>
      <c r="T64" s="89"/>
      <c r="U64" s="89"/>
      <c r="V64" s="89"/>
      <c r="W64" s="89"/>
      <c r="X64" s="89"/>
      <c r="Y64" s="89"/>
      <c r="Z64" s="89"/>
      <c r="AA64" s="89"/>
      <c r="AB64" s="89"/>
      <c r="AC64" s="89"/>
      <c r="AD64" s="89"/>
      <c r="AE64" s="89"/>
      <c r="AF64" s="78"/>
    </row>
    <row r="65" spans="1:32" ht="16.2" thickBot="1" x14ac:dyDescent="0.4">
      <c r="A65" s="110"/>
      <c r="B65" s="89"/>
      <c r="C65" s="89"/>
      <c r="D65" s="89"/>
      <c r="E65" s="89"/>
      <c r="F65" s="89"/>
      <c r="G65" s="90" t="s">
        <v>271</v>
      </c>
      <c r="H65" s="134">
        <v>0.63</v>
      </c>
      <c r="I65" s="198" t="s">
        <v>169</v>
      </c>
      <c r="J65" s="179"/>
      <c r="K65" s="89"/>
      <c r="L65" s="89"/>
      <c r="M65" s="89"/>
      <c r="N65" s="89"/>
      <c r="O65" s="89"/>
      <c r="P65" s="89"/>
      <c r="Q65" s="89"/>
      <c r="R65" s="89"/>
      <c r="S65" s="89"/>
      <c r="T65" s="89"/>
      <c r="U65" s="89"/>
      <c r="V65" s="89"/>
      <c r="W65" s="89"/>
      <c r="X65" s="89"/>
      <c r="Y65" s="89"/>
      <c r="Z65" s="89"/>
      <c r="AA65" s="89"/>
      <c r="AB65" s="89"/>
      <c r="AC65" s="89"/>
      <c r="AD65" s="89"/>
      <c r="AE65" s="89"/>
      <c r="AF65" s="78"/>
    </row>
    <row r="66" spans="1:32" x14ac:dyDescent="0.3">
      <c r="A66" s="96"/>
      <c r="B66" s="89"/>
      <c r="C66" s="89"/>
      <c r="D66" s="89"/>
      <c r="E66" s="89"/>
      <c r="F66" s="89"/>
      <c r="G66" s="90"/>
      <c r="H66" s="131"/>
      <c r="I66" s="131"/>
      <c r="J66" s="89"/>
      <c r="K66" s="89"/>
      <c r="L66" s="89"/>
      <c r="M66" s="89"/>
      <c r="N66" s="89"/>
      <c r="O66" s="89"/>
      <c r="P66" s="89"/>
      <c r="Q66" s="89"/>
      <c r="R66" s="89"/>
      <c r="S66" s="89"/>
      <c r="T66" s="89"/>
      <c r="U66" s="89"/>
      <c r="V66" s="89"/>
      <c r="W66" s="89"/>
      <c r="X66" s="89"/>
      <c r="Y66" s="89"/>
      <c r="Z66" s="89"/>
      <c r="AA66" s="89"/>
      <c r="AB66" s="89"/>
      <c r="AC66" s="89"/>
      <c r="AD66" s="89"/>
      <c r="AE66" s="89"/>
      <c r="AF66" s="78"/>
    </row>
    <row r="67" spans="1:32" ht="15" thickBot="1" x14ac:dyDescent="0.35">
      <c r="A67" s="96"/>
      <c r="B67" s="89"/>
      <c r="C67" s="89"/>
      <c r="D67" s="89"/>
      <c r="E67" s="89"/>
      <c r="F67" s="89"/>
      <c r="G67" s="111" t="s">
        <v>509</v>
      </c>
      <c r="H67" s="131"/>
      <c r="I67" s="131"/>
      <c r="J67" s="89"/>
      <c r="K67" s="89"/>
      <c r="L67" s="89"/>
      <c r="M67" s="89"/>
      <c r="N67" s="89"/>
      <c r="O67" s="89"/>
      <c r="P67" s="89"/>
      <c r="Q67" s="89"/>
      <c r="R67" s="89"/>
      <c r="S67" s="89"/>
      <c r="T67" s="89"/>
      <c r="U67" s="89"/>
      <c r="V67" s="89"/>
      <c r="W67" s="89"/>
      <c r="X67" s="89"/>
      <c r="Y67" s="89"/>
      <c r="Z67" s="89"/>
      <c r="AA67" s="89"/>
      <c r="AB67" s="89"/>
      <c r="AC67" s="89"/>
      <c r="AD67" s="89"/>
      <c r="AE67" s="89"/>
      <c r="AF67" s="78"/>
    </row>
    <row r="68" spans="1:32" ht="15.6" x14ac:dyDescent="0.35">
      <c r="A68" s="96"/>
      <c r="B68" s="89"/>
      <c r="C68" s="89"/>
      <c r="D68" s="89"/>
      <c r="E68" s="89"/>
      <c r="F68" s="89"/>
      <c r="G68" s="90" t="s">
        <v>510</v>
      </c>
      <c r="H68" s="128">
        <v>1</v>
      </c>
      <c r="I68" s="149" t="s">
        <v>528</v>
      </c>
      <c r="J68" s="89"/>
      <c r="K68" s="89"/>
      <c r="L68" s="89"/>
      <c r="M68" s="89"/>
      <c r="N68" s="89"/>
      <c r="O68" s="89"/>
      <c r="P68" s="89"/>
      <c r="Q68" s="89"/>
      <c r="R68" s="89"/>
      <c r="S68" s="89"/>
      <c r="T68" s="89"/>
      <c r="U68" s="89"/>
      <c r="V68" s="89"/>
      <c r="W68" s="89"/>
      <c r="X68" s="89"/>
      <c r="Y68" s="89"/>
      <c r="Z68" s="89"/>
      <c r="AA68" s="89"/>
      <c r="AB68" s="89"/>
      <c r="AC68" s="89"/>
      <c r="AD68" s="89"/>
      <c r="AE68" s="89"/>
      <c r="AF68" s="78"/>
    </row>
    <row r="69" spans="1:32" ht="15.6" x14ac:dyDescent="0.35">
      <c r="A69" s="96"/>
      <c r="B69" s="89"/>
      <c r="C69" s="89"/>
      <c r="D69" s="89"/>
      <c r="E69" s="89"/>
      <c r="F69" s="89"/>
      <c r="G69" s="90" t="s">
        <v>511</v>
      </c>
      <c r="H69" s="129">
        <v>2</v>
      </c>
      <c r="I69" s="131" t="s">
        <v>528</v>
      </c>
      <c r="J69" s="89"/>
      <c r="K69" s="89"/>
      <c r="L69" s="89"/>
      <c r="M69" s="89"/>
      <c r="N69" s="89"/>
      <c r="O69" s="89"/>
      <c r="P69" s="89"/>
      <c r="Q69" s="89"/>
      <c r="R69" s="89"/>
      <c r="S69" s="89"/>
      <c r="T69" s="89"/>
      <c r="U69" s="89"/>
      <c r="V69" s="89"/>
      <c r="W69" s="89"/>
      <c r="X69" s="89"/>
      <c r="Y69" s="89"/>
      <c r="Z69" s="89"/>
      <c r="AA69" s="89"/>
      <c r="AB69" s="89"/>
      <c r="AC69" s="89"/>
      <c r="AD69" s="89"/>
      <c r="AE69" s="89"/>
      <c r="AF69" s="78"/>
    </row>
    <row r="70" spans="1:32" ht="15.6" x14ac:dyDescent="0.35">
      <c r="A70" s="96"/>
      <c r="B70" s="89"/>
      <c r="C70" s="89"/>
      <c r="D70" s="89"/>
      <c r="E70" s="89"/>
      <c r="F70" s="89"/>
      <c r="G70" s="90" t="s">
        <v>512</v>
      </c>
      <c r="H70" s="129">
        <v>1.4</v>
      </c>
      <c r="I70" s="131" t="s">
        <v>11</v>
      </c>
      <c r="J70" s="89"/>
      <c r="K70" s="89"/>
      <c r="L70" s="89"/>
      <c r="M70" s="89"/>
      <c r="N70" s="89"/>
      <c r="O70" s="89"/>
      <c r="P70" s="89"/>
      <c r="Q70" s="89"/>
      <c r="R70" s="89"/>
      <c r="S70" s="89"/>
      <c r="T70" s="89"/>
      <c r="U70" s="89"/>
      <c r="V70" s="89"/>
      <c r="W70" s="89"/>
      <c r="X70" s="89"/>
      <c r="Y70" s="89"/>
      <c r="Z70" s="89"/>
      <c r="AA70" s="89"/>
      <c r="AB70" s="89"/>
      <c r="AC70" s="89"/>
      <c r="AD70" s="89"/>
      <c r="AE70" s="89"/>
      <c r="AF70" s="78"/>
    </row>
    <row r="71" spans="1:32" ht="15.6" x14ac:dyDescent="0.35">
      <c r="A71" s="96"/>
      <c r="B71" s="89"/>
      <c r="C71" s="89"/>
      <c r="D71" s="89"/>
      <c r="E71" s="89"/>
      <c r="F71" s="89"/>
      <c r="G71" s="90" t="s">
        <v>689</v>
      </c>
      <c r="H71" s="129">
        <v>3.3</v>
      </c>
      <c r="I71" s="131" t="s">
        <v>172</v>
      </c>
      <c r="J71" s="89"/>
      <c r="K71" s="89"/>
      <c r="L71" s="89"/>
      <c r="M71" s="89"/>
      <c r="N71" s="89"/>
      <c r="O71" s="89"/>
      <c r="P71" s="89"/>
      <c r="Q71" s="89"/>
      <c r="R71" s="89"/>
      <c r="S71" s="89"/>
      <c r="T71" s="89"/>
      <c r="U71" s="89"/>
      <c r="V71" s="89"/>
      <c r="W71" s="89"/>
      <c r="X71" s="89"/>
      <c r="Y71" s="89"/>
      <c r="Z71" s="89"/>
      <c r="AA71" s="89"/>
      <c r="AB71" s="89"/>
      <c r="AC71" s="89"/>
      <c r="AD71" s="89"/>
      <c r="AE71" s="89"/>
      <c r="AF71" s="78"/>
    </row>
    <row r="72" spans="1:32" ht="16.2" thickBot="1" x14ac:dyDescent="0.4">
      <c r="A72" s="96"/>
      <c r="B72" s="89"/>
      <c r="C72" s="89"/>
      <c r="D72" s="89"/>
      <c r="E72" s="89"/>
      <c r="F72" s="89"/>
      <c r="G72" s="90" t="s">
        <v>690</v>
      </c>
      <c r="H72" s="134">
        <v>200</v>
      </c>
      <c r="I72" s="143" t="s">
        <v>147</v>
      </c>
      <c r="J72" s="89"/>
      <c r="K72" s="89"/>
      <c r="L72" s="89"/>
      <c r="M72" s="89"/>
      <c r="N72" s="89"/>
      <c r="O72" s="89"/>
      <c r="P72" s="89"/>
      <c r="Q72" s="89"/>
      <c r="R72" s="89"/>
      <c r="S72" s="89"/>
      <c r="T72" s="89"/>
      <c r="U72" s="89"/>
      <c r="V72" s="89"/>
      <c r="W72" s="89"/>
      <c r="X72" s="89"/>
      <c r="Y72" s="89"/>
      <c r="Z72" s="89"/>
      <c r="AA72" s="89"/>
      <c r="AB72" s="89"/>
      <c r="AC72" s="89"/>
      <c r="AD72" s="89"/>
      <c r="AE72" s="89"/>
      <c r="AF72" s="78"/>
    </row>
    <row r="73" spans="1:32" x14ac:dyDescent="0.3">
      <c r="A73" s="96"/>
      <c r="B73" s="89"/>
      <c r="C73" s="89"/>
      <c r="D73" s="89"/>
      <c r="E73" s="89"/>
      <c r="F73" s="89"/>
      <c r="G73" s="90"/>
      <c r="H73" s="131"/>
      <c r="I73" s="131"/>
      <c r="J73" s="89"/>
      <c r="K73" s="89"/>
      <c r="L73" s="89"/>
      <c r="M73" s="89"/>
      <c r="N73" s="89"/>
      <c r="O73" s="89"/>
      <c r="P73" s="89"/>
      <c r="Q73" s="89"/>
      <c r="R73" s="89"/>
      <c r="S73" s="89"/>
      <c r="T73" s="89"/>
      <c r="U73" s="89"/>
      <c r="V73" s="89"/>
      <c r="W73" s="89"/>
      <c r="X73" s="89"/>
      <c r="Y73" s="89"/>
      <c r="Z73" s="89"/>
      <c r="AA73" s="89"/>
      <c r="AB73" s="89"/>
      <c r="AC73" s="89"/>
      <c r="AD73" s="89"/>
      <c r="AE73" s="89"/>
      <c r="AF73" s="78"/>
    </row>
    <row r="74" spans="1:32" ht="16.2" thickBot="1" x14ac:dyDescent="0.4">
      <c r="A74" s="96"/>
      <c r="B74" s="89"/>
      <c r="C74" s="89"/>
      <c r="D74" s="89"/>
      <c r="E74" s="89"/>
      <c r="F74" s="89"/>
      <c r="G74" s="111" t="s">
        <v>569</v>
      </c>
      <c r="H74" s="131"/>
      <c r="I74" s="131"/>
      <c r="J74" s="89"/>
      <c r="K74" s="89"/>
      <c r="L74" s="89"/>
      <c r="M74" s="89"/>
      <c r="N74" s="89"/>
      <c r="O74" s="89"/>
      <c r="P74" s="89"/>
      <c r="Q74" s="89"/>
      <c r="R74" s="89"/>
      <c r="S74" s="89"/>
      <c r="T74" s="89"/>
      <c r="U74" s="89"/>
      <c r="V74" s="89"/>
      <c r="W74" s="89"/>
      <c r="X74" s="89"/>
      <c r="Y74" s="89"/>
      <c r="Z74" s="89"/>
      <c r="AA74" s="89"/>
      <c r="AB74" s="89"/>
      <c r="AC74" s="89"/>
      <c r="AD74" s="89"/>
      <c r="AE74" s="89"/>
      <c r="AF74" s="78"/>
    </row>
    <row r="75" spans="1:32" ht="15.6" x14ac:dyDescent="0.35">
      <c r="A75" s="96"/>
      <c r="B75" s="89"/>
      <c r="C75" s="89"/>
      <c r="D75" s="89"/>
      <c r="E75" s="89"/>
      <c r="F75" s="89"/>
      <c r="G75" s="160" t="s">
        <v>545</v>
      </c>
      <c r="H75" s="128">
        <v>6.8</v>
      </c>
      <c r="I75" s="199" t="s">
        <v>11</v>
      </c>
      <c r="J75" s="114"/>
      <c r="K75" s="89"/>
      <c r="L75" s="89"/>
      <c r="M75" s="89"/>
      <c r="N75" s="89"/>
      <c r="O75" s="89"/>
      <c r="P75" s="89"/>
      <c r="Q75" s="89"/>
      <c r="R75" s="89"/>
      <c r="S75" s="89"/>
      <c r="T75" s="89"/>
      <c r="U75" s="89"/>
      <c r="V75" s="89"/>
      <c r="W75" s="89"/>
      <c r="X75" s="89"/>
      <c r="Y75" s="89"/>
      <c r="Z75" s="89"/>
      <c r="AA75" s="89"/>
      <c r="AB75" s="89"/>
      <c r="AC75" s="89"/>
      <c r="AD75" s="89"/>
      <c r="AE75" s="89"/>
      <c r="AF75" s="78"/>
    </row>
    <row r="76" spans="1:32" ht="15.6" x14ac:dyDescent="0.35">
      <c r="A76" s="96"/>
      <c r="B76" s="89"/>
      <c r="C76" s="89"/>
      <c r="D76" s="89"/>
      <c r="E76" s="89"/>
      <c r="F76" s="89"/>
      <c r="G76" s="90" t="s">
        <v>529</v>
      </c>
      <c r="H76" s="130">
        <f>Rpullup_min/1000</f>
        <v>2.6874999999999996</v>
      </c>
      <c r="I76" s="161" t="s">
        <v>169</v>
      </c>
      <c r="J76" s="179"/>
      <c r="K76" s="89"/>
      <c r="L76" s="89"/>
      <c r="M76" s="89"/>
      <c r="N76" s="89"/>
      <c r="O76" s="89"/>
      <c r="P76" s="89"/>
      <c r="Q76" s="89"/>
      <c r="R76" s="89"/>
      <c r="S76" s="89"/>
      <c r="T76" s="89"/>
      <c r="U76" s="89"/>
      <c r="V76" s="89"/>
      <c r="W76" s="89"/>
      <c r="X76" s="89"/>
      <c r="Y76" s="89"/>
      <c r="Z76" s="89"/>
      <c r="AA76" s="89"/>
      <c r="AB76" s="89"/>
      <c r="AC76" s="89"/>
      <c r="AD76" s="89"/>
      <c r="AE76" s="89"/>
      <c r="AF76" s="78"/>
    </row>
    <row r="77" spans="1:32" ht="15.6" x14ac:dyDescent="0.35">
      <c r="A77" s="96"/>
      <c r="B77" s="89"/>
      <c r="C77" s="89"/>
      <c r="D77" s="89"/>
      <c r="E77" s="89"/>
      <c r="F77" s="89"/>
      <c r="G77" s="90" t="s">
        <v>549</v>
      </c>
      <c r="H77" s="129">
        <v>4.99</v>
      </c>
      <c r="I77" s="161" t="s">
        <v>169</v>
      </c>
      <c r="J77" s="179"/>
      <c r="K77" s="89"/>
      <c r="L77" s="89"/>
      <c r="M77" s="89"/>
      <c r="N77" s="89"/>
      <c r="O77" s="89"/>
      <c r="P77" s="89"/>
      <c r="Q77" s="89"/>
      <c r="R77" s="89"/>
      <c r="S77" s="89"/>
      <c r="T77" s="89"/>
      <c r="U77" s="89"/>
      <c r="V77" s="89"/>
      <c r="W77" s="89"/>
      <c r="X77" s="89"/>
      <c r="Y77" s="89"/>
      <c r="Z77" s="89"/>
      <c r="AA77" s="89"/>
      <c r="AB77" s="89"/>
      <c r="AC77" s="89"/>
      <c r="AD77" s="89"/>
      <c r="AE77" s="89"/>
      <c r="AF77" s="78"/>
    </row>
    <row r="78" spans="1:32" ht="15.6" x14ac:dyDescent="0.35">
      <c r="A78" s="96"/>
      <c r="B78" s="89"/>
      <c r="C78" s="89"/>
      <c r="D78" s="89"/>
      <c r="E78" s="89"/>
      <c r="F78" s="89"/>
      <c r="G78" s="90" t="s">
        <v>591</v>
      </c>
      <c r="H78" s="130">
        <f>Variable_Management!B219/1000</f>
        <v>118.97369696969696</v>
      </c>
      <c r="I78" s="161" t="s">
        <v>169</v>
      </c>
      <c r="J78" s="179"/>
      <c r="K78" s="89"/>
      <c r="L78" s="89"/>
      <c r="M78" s="89"/>
      <c r="N78" s="89"/>
      <c r="O78" s="89"/>
      <c r="P78" s="89"/>
      <c r="Q78" s="89"/>
      <c r="R78" s="89"/>
      <c r="S78" s="89"/>
      <c r="T78" s="89"/>
      <c r="U78" s="89"/>
      <c r="V78" s="89"/>
      <c r="W78" s="89"/>
      <c r="X78" s="89"/>
      <c r="Y78" s="89"/>
      <c r="Z78" s="89"/>
      <c r="AA78" s="89"/>
      <c r="AB78" s="89"/>
      <c r="AC78" s="89"/>
      <c r="AD78" s="89"/>
      <c r="AE78" s="89"/>
      <c r="AF78" s="78"/>
    </row>
    <row r="79" spans="1:32" ht="16.2" thickBot="1" x14ac:dyDescent="0.4">
      <c r="A79" s="96"/>
      <c r="B79" s="89"/>
      <c r="C79" s="89"/>
      <c r="D79" s="89"/>
      <c r="E79" s="89"/>
      <c r="F79" s="89"/>
      <c r="G79" s="90" t="s">
        <v>570</v>
      </c>
      <c r="H79" s="134">
        <v>1</v>
      </c>
      <c r="I79" s="198" t="s">
        <v>169</v>
      </c>
      <c r="J79" s="179"/>
      <c r="K79" s="89"/>
      <c r="L79" s="89"/>
      <c r="M79" s="89"/>
      <c r="N79" s="89"/>
      <c r="O79" s="89"/>
      <c r="P79" s="89"/>
      <c r="Q79" s="89"/>
      <c r="R79" s="89"/>
      <c r="S79" s="89"/>
      <c r="T79" s="89"/>
      <c r="U79" s="89"/>
      <c r="V79" s="89"/>
      <c r="W79" s="89"/>
      <c r="X79" s="89"/>
      <c r="Y79" s="89"/>
      <c r="Z79" s="89"/>
      <c r="AA79" s="89"/>
      <c r="AB79" s="89"/>
      <c r="AC79" s="89"/>
      <c r="AD79" s="89"/>
      <c r="AE79" s="89"/>
      <c r="AF79" s="78"/>
    </row>
    <row r="80" spans="1:32" x14ac:dyDescent="0.3">
      <c r="A80" s="96"/>
      <c r="B80" s="89"/>
      <c r="C80" s="89"/>
      <c r="D80" s="89"/>
      <c r="E80" s="89"/>
      <c r="F80" s="89"/>
      <c r="G80" s="90"/>
      <c r="H80" s="131"/>
      <c r="I80" s="131"/>
      <c r="J80" s="89"/>
      <c r="K80" s="89"/>
      <c r="L80" s="89"/>
      <c r="M80" s="89"/>
      <c r="N80" s="89"/>
      <c r="O80" s="89"/>
      <c r="P80" s="89"/>
      <c r="Q80" s="89"/>
      <c r="R80" s="89"/>
      <c r="S80" s="89"/>
      <c r="T80" s="89"/>
      <c r="U80" s="89"/>
      <c r="V80" s="89"/>
      <c r="W80" s="89"/>
      <c r="X80" s="89"/>
      <c r="Y80" s="89"/>
      <c r="Z80" s="89"/>
      <c r="AA80" s="89"/>
      <c r="AB80" s="89"/>
      <c r="AC80" s="89"/>
      <c r="AD80" s="89"/>
      <c r="AE80" s="89"/>
      <c r="AF80" s="78"/>
    </row>
    <row r="81" spans="1:32" ht="15" thickBot="1" x14ac:dyDescent="0.35">
      <c r="A81" s="96"/>
      <c r="B81" s="89"/>
      <c r="C81" s="89"/>
      <c r="D81" s="89"/>
      <c r="E81" s="89"/>
      <c r="F81" s="89"/>
      <c r="G81" s="111" t="s">
        <v>553</v>
      </c>
      <c r="H81" s="131"/>
      <c r="I81" s="131"/>
      <c r="J81" s="89"/>
      <c r="K81" s="89"/>
      <c r="L81" s="89"/>
      <c r="M81" s="89"/>
      <c r="N81" s="89"/>
      <c r="O81" s="89"/>
      <c r="P81" s="89"/>
      <c r="Q81" s="89"/>
      <c r="R81" s="89"/>
      <c r="S81" s="89"/>
      <c r="T81" s="89"/>
      <c r="U81" s="89"/>
      <c r="V81" s="89"/>
      <c r="W81" s="89"/>
      <c r="X81" s="89"/>
      <c r="Y81" s="89"/>
      <c r="Z81" s="89"/>
      <c r="AA81" s="89"/>
      <c r="AB81" s="89"/>
      <c r="AC81" s="89"/>
      <c r="AD81" s="89"/>
      <c r="AE81" s="89"/>
      <c r="AF81" s="78"/>
    </row>
    <row r="82" spans="1:32" x14ac:dyDescent="0.3">
      <c r="A82" s="96"/>
      <c r="B82" s="89"/>
      <c r="C82" s="89"/>
      <c r="D82" s="89"/>
      <c r="E82" s="89"/>
      <c r="F82" s="89"/>
      <c r="G82" s="90" t="s">
        <v>589</v>
      </c>
      <c r="H82" s="200">
        <f>CHOOSE(FB_type,Variable_Management!B225,fcross_est)/1000</f>
        <v>4.1252961249419275</v>
      </c>
      <c r="I82" s="149" t="s">
        <v>13</v>
      </c>
      <c r="J82" s="89"/>
      <c r="K82" s="89"/>
      <c r="L82" s="89"/>
      <c r="M82" s="89"/>
      <c r="N82" s="89"/>
      <c r="O82" s="89"/>
      <c r="P82" s="89"/>
      <c r="Q82" s="89"/>
      <c r="R82" s="89"/>
      <c r="S82" s="89"/>
      <c r="T82" s="89"/>
      <c r="U82" s="89"/>
      <c r="V82" s="89"/>
      <c r="W82" s="89"/>
      <c r="X82" s="89"/>
      <c r="Y82" s="89"/>
      <c r="Z82" s="89"/>
      <c r="AA82" s="89"/>
      <c r="AB82" s="89"/>
      <c r="AC82" s="89"/>
      <c r="AD82" s="89"/>
      <c r="AE82" s="89"/>
      <c r="AF82" s="78"/>
    </row>
    <row r="83" spans="1:32" ht="16.2" thickBot="1" x14ac:dyDescent="0.4">
      <c r="A83" s="96"/>
      <c r="B83" s="89"/>
      <c r="C83" s="89"/>
      <c r="D83" s="89"/>
      <c r="E83" s="89"/>
      <c r="F83" s="89"/>
      <c r="G83" s="90" t="s">
        <v>388</v>
      </c>
      <c r="H83" s="134">
        <v>4</v>
      </c>
      <c r="I83" s="143" t="s">
        <v>13</v>
      </c>
      <c r="J83" s="89"/>
      <c r="K83" s="89"/>
      <c r="L83" s="89"/>
      <c r="M83" s="89"/>
      <c r="N83" s="89"/>
      <c r="O83" s="89"/>
      <c r="P83" s="89"/>
      <c r="Q83" s="89"/>
      <c r="R83" s="89"/>
      <c r="S83" s="89"/>
      <c r="T83" s="89"/>
      <c r="U83" s="89"/>
      <c r="V83" s="89"/>
      <c r="W83" s="89"/>
      <c r="X83" s="89"/>
      <c r="Y83" s="89"/>
      <c r="Z83" s="89"/>
      <c r="AA83" s="89"/>
      <c r="AB83" s="89"/>
      <c r="AC83" s="89"/>
      <c r="AD83" s="89"/>
      <c r="AE83" s="89"/>
      <c r="AF83" s="78"/>
    </row>
    <row r="84" spans="1:32" x14ac:dyDescent="0.3">
      <c r="A84" s="96"/>
      <c r="B84" s="89"/>
      <c r="C84" s="89"/>
      <c r="D84" s="89"/>
      <c r="E84" s="89"/>
      <c r="F84" s="89"/>
      <c r="G84" s="90"/>
      <c r="H84" s="131"/>
      <c r="I84" s="131"/>
      <c r="J84" s="89"/>
      <c r="K84" s="89"/>
      <c r="L84" s="89"/>
      <c r="M84" s="89"/>
      <c r="N84" s="89"/>
      <c r="O84" s="89"/>
      <c r="P84" s="89"/>
      <c r="Q84" s="89"/>
      <c r="R84" s="89"/>
      <c r="S84" s="89"/>
      <c r="T84" s="89"/>
      <c r="U84" s="89"/>
      <c r="V84" s="89"/>
      <c r="W84" s="89"/>
      <c r="X84" s="89"/>
      <c r="Y84" s="89"/>
      <c r="Z84" s="89"/>
      <c r="AA84" s="89"/>
      <c r="AB84" s="89"/>
      <c r="AC84" s="89"/>
      <c r="AD84" s="89"/>
      <c r="AE84" s="89"/>
      <c r="AF84" s="78"/>
    </row>
    <row r="85" spans="1:32" ht="15" thickBot="1" x14ac:dyDescent="0.35">
      <c r="A85" s="96"/>
      <c r="B85" s="89"/>
      <c r="C85" s="89"/>
      <c r="D85" s="89"/>
      <c r="E85" s="89"/>
      <c r="F85" s="112" t="s">
        <v>276</v>
      </c>
      <c r="G85" s="112"/>
      <c r="H85" s="139" t="s">
        <v>277</v>
      </c>
      <c r="I85" s="139"/>
      <c r="J85" s="112"/>
      <c r="K85" s="89"/>
      <c r="L85" s="89"/>
      <c r="M85" s="89"/>
      <c r="N85" s="89"/>
      <c r="O85" s="89"/>
      <c r="P85" s="89"/>
      <c r="Q85" s="89"/>
      <c r="R85" s="89"/>
      <c r="S85" s="89"/>
      <c r="T85" s="89"/>
      <c r="U85" s="89"/>
      <c r="V85" s="89"/>
      <c r="W85" s="89"/>
      <c r="X85" s="89"/>
      <c r="Y85" s="89"/>
      <c r="Z85" s="89"/>
      <c r="AA85" s="89"/>
      <c r="AB85" s="89"/>
      <c r="AC85" s="89"/>
      <c r="AD85" s="89"/>
      <c r="AE85" s="89"/>
      <c r="AF85" s="78"/>
    </row>
    <row r="86" spans="1:32" ht="16.2" thickBot="1" x14ac:dyDescent="0.4">
      <c r="A86" s="96"/>
      <c r="B86" s="89"/>
      <c r="C86" s="89"/>
      <c r="D86" s="89"/>
      <c r="E86" s="90" t="s">
        <v>275</v>
      </c>
      <c r="F86" s="142">
        <f>CHOOSE(FB_type,Variable_Management!B228,Rcomp_calc)/1000</f>
        <v>235.98818055134601</v>
      </c>
      <c r="G86" s="156" t="s">
        <v>169</v>
      </c>
      <c r="H86" s="141">
        <v>236</v>
      </c>
      <c r="I86" s="202" t="s">
        <v>169</v>
      </c>
      <c r="J86" s="179"/>
      <c r="K86" s="89"/>
      <c r="L86" s="89"/>
      <c r="M86" s="89"/>
      <c r="N86" s="89"/>
      <c r="O86" s="89"/>
      <c r="P86" s="89"/>
      <c r="Q86" s="89"/>
      <c r="R86" s="89"/>
      <c r="S86" s="89"/>
      <c r="T86" s="89"/>
      <c r="U86" s="89"/>
      <c r="V86" s="89"/>
      <c r="W86" s="89"/>
      <c r="X86" s="89"/>
      <c r="Y86" s="89"/>
      <c r="Z86" s="89"/>
      <c r="AA86" s="89"/>
      <c r="AB86" s="89"/>
      <c r="AC86" s="89"/>
      <c r="AD86" s="89"/>
      <c r="AE86" s="89"/>
      <c r="AF86" s="78"/>
    </row>
    <row r="87" spans="1:32" ht="16.2" thickBot="1" x14ac:dyDescent="0.4">
      <c r="A87" s="96"/>
      <c r="B87" s="89"/>
      <c r="C87" s="89"/>
      <c r="D87" s="89"/>
      <c r="E87" s="90" t="s">
        <v>379</v>
      </c>
      <c r="F87" s="142">
        <f>CHOOSE(FB_type,Ccomp_iso_calc,CComp_calc)*10^9</f>
        <v>3.73354278309403</v>
      </c>
      <c r="G87" s="156" t="s">
        <v>172</v>
      </c>
      <c r="H87" s="141">
        <v>4.8</v>
      </c>
      <c r="I87" s="131" t="s">
        <v>172</v>
      </c>
      <c r="J87" s="89"/>
      <c r="K87" s="89"/>
      <c r="L87" s="89"/>
      <c r="M87" s="89"/>
      <c r="N87" s="89"/>
      <c r="O87" s="89"/>
      <c r="P87" s="89"/>
      <c r="Q87" s="89"/>
      <c r="R87" s="89"/>
      <c r="S87" s="89"/>
      <c r="T87" s="89"/>
      <c r="U87" s="89"/>
      <c r="V87" s="89"/>
      <c r="W87" s="89"/>
      <c r="X87" s="89"/>
      <c r="Y87" s="89"/>
      <c r="Z87" s="89"/>
      <c r="AA87" s="89"/>
      <c r="AB87" s="89"/>
      <c r="AC87" s="89"/>
      <c r="AD87" s="89"/>
      <c r="AE87" s="89"/>
      <c r="AF87" s="78"/>
    </row>
    <row r="88" spans="1:32" ht="16.2" thickBot="1" x14ac:dyDescent="0.4">
      <c r="A88" s="102"/>
      <c r="B88" s="100"/>
      <c r="C88" s="100"/>
      <c r="D88" s="100"/>
      <c r="E88" s="105" t="s">
        <v>380</v>
      </c>
      <c r="F88" s="140">
        <f>CHOOSE(FB_type,0,Variable_Management!B271)*(10^12)</f>
        <v>32.695124503034108</v>
      </c>
      <c r="G88" s="157" t="s">
        <v>171</v>
      </c>
      <c r="H88" s="134">
        <v>33</v>
      </c>
      <c r="I88" s="143" t="s">
        <v>171</v>
      </c>
      <c r="J88" s="89"/>
      <c r="K88" s="89"/>
      <c r="L88" s="89"/>
      <c r="M88" s="89"/>
      <c r="N88" s="89"/>
      <c r="O88" s="89"/>
      <c r="P88" s="89"/>
      <c r="Q88" s="89"/>
      <c r="R88" s="89"/>
      <c r="S88" s="89"/>
      <c r="T88" s="89"/>
      <c r="U88" s="89"/>
      <c r="V88" s="89"/>
      <c r="W88" s="89"/>
      <c r="X88" s="89"/>
      <c r="Y88" s="89"/>
      <c r="Z88" s="89"/>
      <c r="AA88" s="89"/>
      <c r="AB88" s="89"/>
      <c r="AC88" s="89"/>
      <c r="AD88" s="89"/>
      <c r="AE88" s="89"/>
      <c r="AF88" s="78"/>
    </row>
    <row r="89" spans="1:32" x14ac:dyDescent="0.3">
      <c r="A89" s="89"/>
      <c r="B89" s="89"/>
      <c r="C89" s="89"/>
      <c r="D89" s="89"/>
      <c r="E89" s="90"/>
      <c r="F89" s="113"/>
      <c r="G89" s="90"/>
      <c r="H89" s="114"/>
      <c r="I89" s="89"/>
      <c r="J89" s="89"/>
      <c r="K89" s="89"/>
      <c r="L89" s="89"/>
      <c r="M89" s="89"/>
      <c r="N89" s="89"/>
      <c r="O89" s="89"/>
      <c r="P89" s="89"/>
      <c r="Q89" s="89"/>
      <c r="R89" s="89"/>
      <c r="S89" s="89"/>
      <c r="T89" s="89"/>
      <c r="U89" s="89"/>
      <c r="V89" s="89"/>
      <c r="W89" s="89"/>
      <c r="X89" s="89"/>
      <c r="Y89" s="89"/>
      <c r="Z89" s="89"/>
      <c r="AA89" s="89"/>
      <c r="AB89" s="89"/>
      <c r="AC89" s="89"/>
      <c r="AD89" s="89"/>
      <c r="AE89" s="89"/>
      <c r="AF89" s="78"/>
    </row>
    <row r="90" spans="1:32" ht="23.4" x14ac:dyDescent="0.45">
      <c r="A90" s="115" t="s">
        <v>274</v>
      </c>
      <c r="B90" s="116"/>
      <c r="C90" s="116"/>
      <c r="D90" s="116"/>
      <c r="E90" s="116"/>
      <c r="F90" s="116"/>
      <c r="G90" s="117"/>
      <c r="H90" s="116"/>
      <c r="I90" s="116"/>
      <c r="J90" s="116"/>
      <c r="K90" s="116"/>
      <c r="L90" s="116"/>
      <c r="M90" s="116"/>
      <c r="N90" s="116"/>
      <c r="O90" s="116"/>
      <c r="P90" s="116"/>
      <c r="Q90" s="116"/>
      <c r="R90" s="116"/>
      <c r="S90" s="116"/>
      <c r="T90" s="116"/>
      <c r="U90" s="116"/>
      <c r="V90" s="116"/>
      <c r="W90" s="118"/>
      <c r="X90" s="118"/>
      <c r="Y90" s="118"/>
      <c r="Z90" s="118"/>
      <c r="AA90" s="118"/>
      <c r="AB90" s="118"/>
      <c r="AC90" s="118"/>
      <c r="AD90" s="118"/>
      <c r="AE90" s="118"/>
    </row>
    <row r="91" spans="1:32" x14ac:dyDescent="0.3">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78"/>
    </row>
    <row r="92" spans="1:32" ht="18.600000000000001" thickBot="1" x14ac:dyDescent="0.4">
      <c r="A92" s="197" t="s">
        <v>344</v>
      </c>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78"/>
    </row>
    <row r="93" spans="1:32" ht="15.6" x14ac:dyDescent="0.35">
      <c r="A93" s="92"/>
      <c r="B93" s="93"/>
      <c r="C93" s="93"/>
      <c r="D93" s="93"/>
      <c r="E93" s="93"/>
      <c r="F93" s="93"/>
      <c r="G93" s="119" t="s">
        <v>333</v>
      </c>
      <c r="H93" s="128"/>
      <c r="I93" s="120" t="s">
        <v>339</v>
      </c>
      <c r="J93" s="180"/>
      <c r="K93" s="89"/>
      <c r="L93" s="89"/>
      <c r="M93" s="89"/>
      <c r="N93" s="89"/>
      <c r="O93" s="89"/>
      <c r="P93" s="89"/>
      <c r="Q93" s="89"/>
      <c r="R93" s="89"/>
      <c r="S93" s="89"/>
      <c r="T93" s="89"/>
      <c r="U93" s="89"/>
      <c r="V93" s="89"/>
      <c r="W93" s="89"/>
      <c r="X93" s="89"/>
      <c r="Y93" s="89"/>
      <c r="Z93" s="89"/>
      <c r="AA93" s="89"/>
      <c r="AB93" s="89"/>
      <c r="AC93" s="89"/>
      <c r="AD93" s="89"/>
      <c r="AE93" s="89"/>
      <c r="AF93" s="78"/>
    </row>
    <row r="94" spans="1:32" ht="15.6" x14ac:dyDescent="0.35">
      <c r="A94" s="110"/>
      <c r="B94" s="89"/>
      <c r="C94" s="89"/>
      <c r="D94" s="89"/>
      <c r="E94" s="89"/>
      <c r="F94" s="89"/>
      <c r="G94" s="121" t="s">
        <v>334</v>
      </c>
      <c r="H94" s="129">
        <v>35</v>
      </c>
      <c r="I94" s="122" t="s">
        <v>340</v>
      </c>
      <c r="J94" s="180"/>
      <c r="K94" s="89"/>
      <c r="L94" s="89"/>
      <c r="M94" s="89"/>
      <c r="N94" s="89"/>
      <c r="O94" s="89"/>
      <c r="P94" s="89"/>
      <c r="Q94" s="89"/>
      <c r="R94" s="89"/>
      <c r="S94" s="89"/>
      <c r="T94" s="89"/>
      <c r="U94" s="89"/>
      <c r="V94" s="89"/>
      <c r="W94" s="89"/>
      <c r="X94" s="89"/>
      <c r="Y94" s="89"/>
      <c r="Z94" s="89"/>
      <c r="AA94" s="89"/>
      <c r="AB94" s="89"/>
      <c r="AC94" s="89"/>
      <c r="AD94" s="89"/>
      <c r="AE94" s="89"/>
      <c r="AF94" s="78"/>
    </row>
    <row r="95" spans="1:32" ht="15.6" x14ac:dyDescent="0.35">
      <c r="A95" s="110"/>
      <c r="B95" s="89"/>
      <c r="C95" s="89"/>
      <c r="D95" s="89"/>
      <c r="E95" s="89"/>
      <c r="F95" s="89"/>
      <c r="G95" s="121" t="s">
        <v>335</v>
      </c>
      <c r="H95" s="129">
        <v>4.9000000000000004</v>
      </c>
      <c r="I95" s="122" t="s">
        <v>340</v>
      </c>
      <c r="J95" s="180"/>
      <c r="K95" s="89"/>
      <c r="L95" s="89"/>
      <c r="M95" s="89"/>
      <c r="N95" s="89"/>
      <c r="O95" s="89"/>
      <c r="P95" s="89"/>
      <c r="Q95" s="89"/>
      <c r="R95" s="89"/>
      <c r="S95" s="89"/>
      <c r="T95" s="89"/>
      <c r="U95" s="89"/>
      <c r="V95" s="89"/>
      <c r="W95" s="89"/>
      <c r="X95" s="89"/>
      <c r="Y95" s="89"/>
      <c r="Z95" s="89"/>
      <c r="AA95" s="89"/>
      <c r="AB95" s="89"/>
      <c r="AC95" s="89"/>
      <c r="AD95" s="89"/>
      <c r="AE95" s="89"/>
      <c r="AF95" s="78"/>
    </row>
    <row r="96" spans="1:32" ht="15.6" x14ac:dyDescent="0.35">
      <c r="A96" s="96"/>
      <c r="B96" s="89"/>
      <c r="C96" s="89"/>
      <c r="D96" s="89"/>
      <c r="E96" s="89"/>
      <c r="F96" s="89"/>
      <c r="G96" s="121" t="s">
        <v>336</v>
      </c>
      <c r="H96" s="129">
        <v>7.9</v>
      </c>
      <c r="I96" s="122" t="s">
        <v>340</v>
      </c>
      <c r="J96" s="180"/>
      <c r="K96" s="89"/>
      <c r="L96" s="89"/>
      <c r="M96" s="89"/>
      <c r="N96" s="89"/>
      <c r="O96" s="89"/>
      <c r="P96" s="89"/>
      <c r="Q96" s="89"/>
      <c r="R96" s="89"/>
      <c r="S96" s="89"/>
      <c r="T96" s="89"/>
      <c r="U96" s="89"/>
      <c r="V96" s="89"/>
      <c r="W96" s="89"/>
      <c r="X96" s="89"/>
      <c r="Y96" s="89"/>
      <c r="Z96" s="89"/>
      <c r="AA96" s="89"/>
      <c r="AB96" s="89"/>
      <c r="AC96" s="89"/>
      <c r="AD96" s="89"/>
      <c r="AE96" s="89"/>
      <c r="AF96" s="78"/>
    </row>
    <row r="97" spans="1:32" ht="15.6" x14ac:dyDescent="0.35">
      <c r="A97" s="96"/>
      <c r="B97" s="89"/>
      <c r="C97" s="89"/>
      <c r="D97" s="89"/>
      <c r="E97" s="89"/>
      <c r="F97" s="89"/>
      <c r="G97" s="121" t="s">
        <v>337</v>
      </c>
      <c r="H97" s="129">
        <v>1.5</v>
      </c>
      <c r="I97" s="122" t="s">
        <v>341</v>
      </c>
      <c r="J97" s="180"/>
      <c r="K97" s="89"/>
      <c r="L97" s="89"/>
      <c r="M97" s="89"/>
      <c r="N97" s="89"/>
      <c r="O97" s="89"/>
      <c r="P97" s="89"/>
      <c r="Q97" s="89"/>
      <c r="R97" s="89"/>
      <c r="S97" s="89"/>
      <c r="T97" s="89"/>
      <c r="U97" s="89"/>
      <c r="V97" s="89"/>
      <c r="W97" s="89"/>
      <c r="X97" s="89"/>
      <c r="Y97" s="89"/>
      <c r="Z97" s="89"/>
      <c r="AA97" s="89"/>
      <c r="AB97" s="89"/>
      <c r="AC97" s="89"/>
      <c r="AD97" s="89"/>
      <c r="AE97" s="89"/>
      <c r="AF97" s="78"/>
    </row>
    <row r="98" spans="1:32" ht="16.2" thickBot="1" x14ac:dyDescent="0.4">
      <c r="A98" s="102"/>
      <c r="B98" s="100"/>
      <c r="C98" s="100"/>
      <c r="D98" s="100"/>
      <c r="E98" s="100"/>
      <c r="F98" s="100"/>
      <c r="G98" s="123" t="s">
        <v>338</v>
      </c>
      <c r="H98" s="134">
        <v>1.7</v>
      </c>
      <c r="I98" s="124" t="s">
        <v>11</v>
      </c>
      <c r="J98" s="180"/>
      <c r="K98" s="89"/>
      <c r="L98" s="89"/>
      <c r="M98" s="89"/>
      <c r="N98" s="89"/>
      <c r="O98" s="89"/>
      <c r="P98" s="89"/>
      <c r="Q98" s="89"/>
      <c r="R98" s="89"/>
      <c r="S98" s="89"/>
      <c r="T98" s="89"/>
      <c r="U98" s="89"/>
      <c r="V98" s="89"/>
      <c r="W98" s="89"/>
      <c r="X98" s="89"/>
      <c r="Y98" s="89"/>
      <c r="Z98" s="89"/>
      <c r="AA98" s="89"/>
      <c r="AB98" s="89"/>
      <c r="AC98" s="89"/>
      <c r="AD98" s="89"/>
      <c r="AE98" s="89"/>
      <c r="AF98" s="78"/>
    </row>
    <row r="99" spans="1:32" x14ac:dyDescent="0.3">
      <c r="A99" s="89"/>
      <c r="B99" s="89"/>
      <c r="C99" s="89"/>
      <c r="D99" s="89"/>
      <c r="E99" s="89"/>
      <c r="F99" s="89"/>
      <c r="G99" s="90"/>
      <c r="H99" s="89"/>
      <c r="I99" s="89"/>
      <c r="J99" s="89"/>
      <c r="K99" s="89"/>
      <c r="L99" s="89"/>
      <c r="M99" s="89"/>
      <c r="N99" s="89"/>
      <c r="O99" s="89"/>
      <c r="P99" s="89"/>
      <c r="Q99" s="89"/>
      <c r="R99" s="89"/>
      <c r="S99" s="89"/>
      <c r="T99" s="89"/>
      <c r="U99" s="89"/>
      <c r="V99" s="89"/>
      <c r="W99" s="89"/>
      <c r="X99" s="89"/>
      <c r="Y99" s="89"/>
      <c r="Z99" s="89"/>
      <c r="AA99" s="89"/>
      <c r="AB99" s="89"/>
      <c r="AC99" s="89"/>
      <c r="AD99" s="89"/>
      <c r="AE99" s="89"/>
      <c r="AF99" s="78"/>
    </row>
    <row r="100" spans="1:32" ht="18" x14ac:dyDescent="0.35">
      <c r="A100" s="197" t="s">
        <v>343</v>
      </c>
      <c r="B100" s="89"/>
      <c r="C100" s="89"/>
      <c r="D100" s="89"/>
      <c r="E100" s="89"/>
      <c r="F100" s="89"/>
      <c r="G100" s="90"/>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78"/>
    </row>
    <row r="101" spans="1:32" ht="16.2" thickBot="1" x14ac:dyDescent="0.35">
      <c r="A101" s="96"/>
      <c r="B101" s="89"/>
      <c r="C101" s="89"/>
      <c r="D101" s="89"/>
      <c r="E101" s="89"/>
      <c r="F101" s="89"/>
      <c r="G101" s="185" t="s">
        <v>673</v>
      </c>
      <c r="H101" s="114"/>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78"/>
    </row>
    <row r="102" spans="1:32" ht="15.6" x14ac:dyDescent="0.35">
      <c r="A102" s="92"/>
      <c r="B102" s="93"/>
      <c r="C102" s="93"/>
      <c r="D102" s="93"/>
      <c r="E102" s="93"/>
      <c r="F102" s="93"/>
      <c r="G102" s="107" t="s">
        <v>694</v>
      </c>
      <c r="H102" s="128">
        <v>300</v>
      </c>
      <c r="I102" s="95" t="s">
        <v>147</v>
      </c>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78"/>
    </row>
    <row r="103" spans="1:32" ht="16.2" thickBot="1" x14ac:dyDescent="0.4">
      <c r="A103" s="102"/>
      <c r="B103" s="100"/>
      <c r="C103" s="100"/>
      <c r="D103" s="100"/>
      <c r="E103" s="100"/>
      <c r="F103" s="100"/>
      <c r="G103" s="105" t="s">
        <v>692</v>
      </c>
      <c r="H103" s="134">
        <v>10</v>
      </c>
      <c r="I103" s="101" t="s">
        <v>340</v>
      </c>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78"/>
    </row>
    <row r="104" spans="1:32" x14ac:dyDescent="0.3">
      <c r="A104" s="96"/>
      <c r="B104" s="89"/>
      <c r="C104" s="89"/>
      <c r="D104" s="89"/>
      <c r="E104" s="89"/>
      <c r="F104" s="89"/>
      <c r="G104" s="90"/>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78"/>
    </row>
    <row r="105" spans="1:32" ht="16.2" thickBot="1" x14ac:dyDescent="0.35">
      <c r="A105" s="96"/>
      <c r="B105" s="89"/>
      <c r="C105" s="89"/>
      <c r="D105" s="89"/>
      <c r="E105" s="89"/>
      <c r="F105" s="89"/>
      <c r="G105" s="185" t="s">
        <v>674</v>
      </c>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78"/>
    </row>
    <row r="106" spans="1:32" ht="15.6" x14ac:dyDescent="0.35">
      <c r="A106" s="92"/>
      <c r="B106" s="93"/>
      <c r="C106" s="93"/>
      <c r="D106" s="93"/>
      <c r="E106" s="93"/>
      <c r="F106" s="93"/>
      <c r="G106" s="107" t="s">
        <v>695</v>
      </c>
      <c r="H106" s="128">
        <v>300</v>
      </c>
      <c r="I106" s="95" t="s">
        <v>147</v>
      </c>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78"/>
    </row>
    <row r="107" spans="1:32" ht="16.2" thickBot="1" x14ac:dyDescent="0.4">
      <c r="A107" s="102"/>
      <c r="B107" s="100"/>
      <c r="C107" s="100"/>
      <c r="D107" s="100"/>
      <c r="E107" s="100"/>
      <c r="F107" s="100"/>
      <c r="G107" s="105" t="s">
        <v>693</v>
      </c>
      <c r="H107" s="134">
        <v>10</v>
      </c>
      <c r="I107" s="101" t="s">
        <v>340</v>
      </c>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78"/>
    </row>
    <row r="108" spans="1:32" x14ac:dyDescent="0.3">
      <c r="A108" s="89"/>
      <c r="B108" s="89"/>
      <c r="C108" s="89"/>
      <c r="D108" s="89"/>
      <c r="E108" s="89"/>
      <c r="F108" s="89"/>
      <c r="G108" s="90"/>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78"/>
    </row>
    <row r="109" spans="1:32" ht="16.2" thickBot="1" x14ac:dyDescent="0.35">
      <c r="A109" s="89"/>
      <c r="B109" s="89"/>
      <c r="C109" s="89"/>
      <c r="D109" s="89"/>
      <c r="E109" s="89"/>
      <c r="F109" s="89"/>
      <c r="G109" s="185" t="s">
        <v>675</v>
      </c>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78"/>
    </row>
    <row r="110" spans="1:32" ht="15.6" x14ac:dyDescent="0.35">
      <c r="A110" s="92"/>
      <c r="B110" s="93"/>
      <c r="C110" s="93"/>
      <c r="D110" s="93"/>
      <c r="E110" s="93"/>
      <c r="F110" s="93"/>
      <c r="G110" s="107" t="s">
        <v>696</v>
      </c>
      <c r="H110" s="128">
        <v>500</v>
      </c>
      <c r="I110" s="95" t="s">
        <v>147</v>
      </c>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78"/>
    </row>
    <row r="111" spans="1:32" ht="16.2" thickBot="1" x14ac:dyDescent="0.4">
      <c r="A111" s="102"/>
      <c r="B111" s="100"/>
      <c r="C111" s="100"/>
      <c r="D111" s="100"/>
      <c r="E111" s="100"/>
      <c r="F111" s="100"/>
      <c r="G111" s="105" t="s">
        <v>691</v>
      </c>
      <c r="H111" s="134">
        <v>10</v>
      </c>
      <c r="I111" s="101" t="s">
        <v>340</v>
      </c>
      <c r="J111" s="89"/>
      <c r="K111" s="89"/>
      <c r="L111" s="89"/>
      <c r="M111" s="89"/>
      <c r="N111" s="89"/>
      <c r="O111" s="89"/>
      <c r="P111" s="89"/>
      <c r="Q111" s="89"/>
      <c r="R111" s="89"/>
      <c r="S111" s="89"/>
      <c r="T111" s="89"/>
      <c r="U111" s="89"/>
      <c r="V111" s="89"/>
      <c r="W111" s="89"/>
      <c r="X111" s="89"/>
      <c r="Y111" s="89"/>
      <c r="Z111" s="89"/>
      <c r="AA111" s="89"/>
      <c r="AB111" s="89"/>
      <c r="AC111" s="89"/>
      <c r="AD111" s="89"/>
      <c r="AE111" s="89"/>
      <c r="AF111" s="78"/>
    </row>
    <row r="112" spans="1:32" x14ac:dyDescent="0.3">
      <c r="A112" s="89"/>
      <c r="B112" s="89"/>
      <c r="C112" s="89"/>
      <c r="D112" s="89"/>
      <c r="E112" s="89"/>
      <c r="F112" s="89"/>
      <c r="G112" s="90"/>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78"/>
    </row>
    <row r="113" spans="1:32" x14ac:dyDescent="0.3">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78"/>
    </row>
    <row r="114" spans="1:32" x14ac:dyDescent="0.3">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89"/>
      <c r="AF114" s="78"/>
    </row>
    <row r="115" spans="1:32" x14ac:dyDescent="0.3">
      <c r="A115" s="89"/>
      <c r="B115" s="89"/>
      <c r="C115" s="89"/>
      <c r="D115" s="89"/>
      <c r="E115" s="89"/>
      <c r="F115" s="89"/>
      <c r="G115" s="90"/>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78"/>
    </row>
    <row r="116" spans="1:32" x14ac:dyDescent="0.3">
      <c r="A116" s="89"/>
      <c r="B116" s="89"/>
      <c r="C116" s="89"/>
      <c r="D116" s="89"/>
      <c r="E116" s="89"/>
      <c r="F116" s="89"/>
      <c r="G116" s="90"/>
      <c r="H116" s="89"/>
      <c r="I116" s="89"/>
      <c r="J116" s="89"/>
      <c r="K116" s="89"/>
      <c r="L116" s="89"/>
      <c r="M116" s="89"/>
      <c r="N116" s="89"/>
      <c r="O116" s="89"/>
      <c r="P116" s="89"/>
      <c r="Q116" s="89"/>
      <c r="R116" s="89"/>
      <c r="S116" s="89"/>
      <c r="T116" s="89"/>
      <c r="U116" s="89"/>
      <c r="V116" s="89"/>
      <c r="W116" s="89"/>
      <c r="X116" s="89"/>
      <c r="Y116" s="89"/>
      <c r="Z116" s="89"/>
      <c r="AA116" s="89"/>
      <c r="AB116" s="89"/>
      <c r="AC116" s="89"/>
      <c r="AD116" s="89"/>
      <c r="AE116" s="89"/>
      <c r="AF116" s="78"/>
    </row>
    <row r="117" spans="1:32" x14ac:dyDescent="0.3">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89"/>
      <c r="AD117" s="89"/>
      <c r="AE117" s="89"/>
      <c r="AF117" s="78"/>
    </row>
    <row r="118" spans="1:32" x14ac:dyDescent="0.3">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89"/>
      <c r="AE118" s="89"/>
      <c r="AF118" s="78"/>
    </row>
    <row r="119" spans="1:32" x14ac:dyDescent="0.3">
      <c r="A119" s="89"/>
      <c r="B119" s="89"/>
      <c r="C119" s="89"/>
      <c r="D119" s="89"/>
      <c r="E119" s="89"/>
      <c r="F119" s="89"/>
      <c r="G119" s="90"/>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78"/>
    </row>
    <row r="120" spans="1:32" x14ac:dyDescent="0.3">
      <c r="A120" s="89"/>
      <c r="B120" s="89"/>
      <c r="C120" s="89"/>
      <c r="D120" s="89"/>
      <c r="E120" s="89"/>
      <c r="F120" s="89"/>
      <c r="G120" s="90"/>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c r="AF120" s="78"/>
    </row>
    <row r="121" spans="1:32" x14ac:dyDescent="0.3">
      <c r="A121" s="89"/>
      <c r="B121" s="89"/>
      <c r="C121" s="89"/>
      <c r="D121" s="89"/>
      <c r="E121" s="89"/>
      <c r="F121" s="89"/>
      <c r="G121" s="90"/>
      <c r="H121" s="89"/>
      <c r="I121" s="89"/>
      <c r="J121" s="89"/>
      <c r="K121" s="89"/>
      <c r="L121" s="89"/>
      <c r="M121" s="89"/>
      <c r="N121" s="89"/>
      <c r="O121" s="89"/>
      <c r="P121" s="89"/>
      <c r="Q121" s="89"/>
      <c r="R121" s="89"/>
      <c r="S121" s="89"/>
      <c r="T121" s="89"/>
      <c r="U121" s="89"/>
      <c r="V121" s="89"/>
      <c r="W121" s="89"/>
      <c r="X121" s="89"/>
      <c r="Y121" s="89"/>
      <c r="Z121" s="89"/>
      <c r="AA121" s="89"/>
      <c r="AB121" s="89"/>
      <c r="AC121" s="89"/>
      <c r="AD121" s="89"/>
      <c r="AE121" s="89"/>
      <c r="AF121" s="78"/>
    </row>
    <row r="122" spans="1:32" x14ac:dyDescent="0.3">
      <c r="A122" s="89"/>
      <c r="B122" s="89"/>
      <c r="C122" s="89"/>
      <c r="D122" s="89"/>
      <c r="E122" s="89"/>
      <c r="F122" s="89"/>
      <c r="G122" s="90"/>
      <c r="H122" s="89"/>
      <c r="I122" s="89"/>
      <c r="J122" s="89"/>
      <c r="K122" s="89"/>
      <c r="L122" s="89"/>
      <c r="M122" s="89"/>
      <c r="N122" s="89"/>
      <c r="O122" s="89"/>
      <c r="P122" s="89"/>
      <c r="Q122" s="89"/>
      <c r="R122" s="89"/>
      <c r="S122" s="89"/>
      <c r="T122" s="89"/>
      <c r="U122" s="89"/>
      <c r="V122" s="89"/>
      <c r="W122" s="89"/>
      <c r="X122" s="89"/>
      <c r="Y122" s="89"/>
      <c r="Z122" s="89"/>
      <c r="AA122" s="89"/>
      <c r="AB122" s="89"/>
      <c r="AC122" s="89"/>
      <c r="AD122" s="89"/>
      <c r="AE122" s="89"/>
      <c r="AF122" s="78"/>
    </row>
    <row r="123" spans="1:32" x14ac:dyDescent="0.3">
      <c r="A123" s="80"/>
      <c r="B123" s="80"/>
      <c r="C123" s="80"/>
      <c r="D123" s="80"/>
      <c r="E123" s="80"/>
      <c r="F123" s="80"/>
      <c r="G123" s="81"/>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78"/>
    </row>
  </sheetData>
  <sheetProtection algorithmName="SHA-512" hashValue="ktBWQPtiABsOugzP/qaPSQu3Xzd/GpKQE2kfMOymsKpqbt841sFWA8VIDfj8ZPM9nsHMYiV0vy9p6zCtPqodYA==" saltValue="TsFZEY5sUs6IoGQVde6Mhg==" spinCount="100000" sheet="1" objects="1" scenarios="1" selectLockedCells="1"/>
  <mergeCells count="1">
    <mergeCell ref="P3:R3"/>
  </mergeCells>
  <conditionalFormatting sqref="H7">
    <cfRule type="cellIs" dxfId="19" priority="5" operator="greaterThan">
      <formula>VIN_op_max_56</formula>
    </cfRule>
    <cfRule type="cellIs" dxfId="18" priority="6" operator="greaterThan">
      <formula>VIN_op_max</formula>
    </cfRule>
    <cfRule type="cellIs" dxfId="17" priority="7" operator="lessThan">
      <formula>VIN_op_min</formula>
    </cfRule>
  </conditionalFormatting>
  <conditionalFormatting sqref="H8">
    <cfRule type="cellIs" dxfId="16" priority="43" operator="notBetween">
      <formula>$H$7</formula>
      <formula>$H$9</formula>
    </cfRule>
  </conditionalFormatting>
  <conditionalFormatting sqref="H9">
    <cfRule type="cellIs" dxfId="15" priority="1" operator="greaterThan">
      <formula>VIN_op_max_56</formula>
    </cfRule>
    <cfRule type="cellIs" dxfId="14" priority="3" operator="greaterThan">
      <formula>VIN_op_max</formula>
    </cfRule>
    <cfRule type="cellIs" dxfId="13" priority="4" operator="lessThan">
      <formula>VIN_op_min</formula>
    </cfRule>
  </conditionalFormatting>
  <conditionalFormatting sqref="H14">
    <cfRule type="cellIs" dxfId="12" priority="10" operator="greaterThan">
      <formula>2200</formula>
    </cfRule>
    <cfRule type="cellIs" dxfId="11" priority="11" operator="lessThan">
      <formula>50</formula>
    </cfRule>
  </conditionalFormatting>
  <conditionalFormatting sqref="H59">
    <cfRule type="expression" dxfId="9" priority="41">
      <formula>$H$8&gt;$H$9</formula>
    </cfRule>
    <cfRule type="expression" dxfId="8" priority="42">
      <formula>$H$8&lt;$H$7</formula>
    </cfRule>
  </conditionalFormatting>
  <hyperlinks>
    <hyperlink ref="P3" location="Licenses!A1" display="TERMS OF USE" xr:uid="{520B36B2-99BB-4BBD-B6B0-9F4C403615A4}"/>
  </hyperlinks>
  <pageMargins left="0.2" right="0.2" top="0.25" bottom="0.25" header="0" footer="0"/>
  <pageSetup paperSize="9" scale="4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52" r:id="rId4" name="Drop Down 628">
              <controlPr defaultSize="0" autoLine="0" autoPict="0">
                <anchor moveWithCells="1">
                  <from>
                    <xdr:col>20</xdr:col>
                    <xdr:colOff>114300</xdr:colOff>
                    <xdr:row>17</xdr:row>
                    <xdr:rowOff>22860</xdr:rowOff>
                  </from>
                  <to>
                    <xdr:col>25</xdr:col>
                    <xdr:colOff>411480</xdr:colOff>
                    <xdr:row>18</xdr:row>
                    <xdr:rowOff>175260</xdr:rowOff>
                  </to>
                </anchor>
              </controlPr>
            </control>
          </mc:Choice>
        </mc:AlternateContent>
        <mc:AlternateContent xmlns:mc="http://schemas.openxmlformats.org/markup-compatibility/2006">
          <mc:Choice Requires="x14">
            <control shapeId="1060" r:id="rId5" name="Spinner 36">
              <controlPr defaultSize="0" autoPict="0">
                <anchor moveWithCells="1" sizeWithCells="1">
                  <from>
                    <xdr:col>8</xdr:col>
                    <xdr:colOff>7620</xdr:colOff>
                    <xdr:row>58</xdr:row>
                    <xdr:rowOff>7620</xdr:rowOff>
                  </from>
                  <to>
                    <xdr:col>9</xdr:col>
                    <xdr:colOff>0</xdr:colOff>
                    <xdr:row>59</xdr:row>
                    <xdr:rowOff>99060</xdr:rowOff>
                  </to>
                </anchor>
              </controlPr>
            </control>
          </mc:Choice>
        </mc:AlternateContent>
        <mc:AlternateContent xmlns:mc="http://schemas.openxmlformats.org/markup-compatibility/2006">
          <mc:Choice Requires="x14">
            <control shapeId="1064" r:id="rId6" name="Drop Down 40">
              <controlPr defaultSize="0" autoLine="0" autoPict="0">
                <anchor moveWithCells="1">
                  <from>
                    <xdr:col>7</xdr:col>
                    <xdr:colOff>7620</xdr:colOff>
                    <xdr:row>11</xdr:row>
                    <xdr:rowOff>0</xdr:rowOff>
                  </from>
                  <to>
                    <xdr:col>9</xdr:col>
                    <xdr:colOff>7620</xdr:colOff>
                    <xdr:row>12</xdr:row>
                    <xdr:rowOff>106680</xdr:rowOff>
                  </to>
                </anchor>
              </controlPr>
            </control>
          </mc:Choice>
        </mc:AlternateContent>
        <mc:AlternateContent xmlns:mc="http://schemas.openxmlformats.org/markup-compatibility/2006">
          <mc:Choice Requires="x14">
            <control shapeId="1157" r:id="rId7" name="Drop Down 133">
              <controlPr defaultSize="0" autoLine="0" autoPict="0">
                <anchor moveWithCells="1">
                  <from>
                    <xdr:col>7</xdr:col>
                    <xdr:colOff>7620</xdr:colOff>
                    <xdr:row>9</xdr:row>
                    <xdr:rowOff>30480</xdr:rowOff>
                  </from>
                  <to>
                    <xdr:col>9</xdr:col>
                    <xdr:colOff>0</xdr:colOff>
                    <xdr:row>10</xdr:row>
                    <xdr:rowOff>68580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345BC91B-B706-4467-BDC9-AA2F120BCEF3}">
            <xm:f>Variable_Management!$B$23=0</xm:f>
            <x14:dxf>
              <border>
                <left/>
                <right/>
                <top/>
                <bottom/>
                <vertical/>
                <horizontal/>
              </border>
            </x14:dxf>
          </x14:cfRule>
          <xm:sqref>A30:C35</xm:sqref>
        </x14:conditionalFormatting>
        <x14:conditionalFormatting xmlns:xm="http://schemas.microsoft.com/office/excel/2006/main">
          <x14:cfRule type="expression" priority="9" id="{CF5C59F3-9578-4F3D-8CFA-89B0A81DA010}">
            <xm:f>Variable_Management!$B$23=0</xm:f>
            <x14:dxf>
              <font>
                <color theme="0"/>
              </font>
              <fill>
                <patternFill>
                  <bgColor theme="0"/>
                </patternFill>
              </fill>
              <border>
                <left style="thin">
                  <color theme="0"/>
                </left>
                <right style="thin">
                  <color theme="0"/>
                </right>
                <top style="thin">
                  <color theme="0"/>
                </top>
                <bottom style="thin">
                  <color theme="0"/>
                </bottom>
                <vertical/>
                <horizontal/>
              </border>
            </x14:dxf>
          </x14:cfRule>
          <xm:sqref>A105:I107</xm:sqref>
        </x14:conditionalFormatting>
        <x14:conditionalFormatting xmlns:xm="http://schemas.microsoft.com/office/excel/2006/main">
          <x14:cfRule type="expression" priority="8" id="{A0AC3576-B134-405E-A248-7E1B49921D90}">
            <xm:f>Variable_Management!$B$32=0</xm:f>
            <x14:dxf>
              <font>
                <color theme="0"/>
              </font>
              <fill>
                <patternFill>
                  <bgColor theme="0"/>
                </patternFill>
              </fill>
              <border>
                <left style="hair">
                  <color theme="0"/>
                </left>
                <right style="hair">
                  <color theme="0"/>
                </right>
                <top style="hair">
                  <color theme="0"/>
                </top>
                <bottom style="hair">
                  <color theme="0"/>
                </bottom>
                <vertical/>
                <horizontal/>
              </border>
            </x14:dxf>
          </x14:cfRule>
          <xm:sqref>A109:I111</xm:sqref>
        </x14:conditionalFormatting>
        <x14:conditionalFormatting xmlns:xm="http://schemas.microsoft.com/office/excel/2006/main">
          <x14:cfRule type="expression" priority="21" id="{76EB9617-E5DB-468F-B8A0-DF3F0F41DE32}">
            <xm:f>Variable_Management!$B$175=1</xm:f>
            <x14:dxf>
              <font>
                <strike/>
              </font>
              <fill>
                <patternFill>
                  <bgColor theme="0" tint="-0.24994659260841701"/>
                </patternFill>
              </fill>
            </x14:dxf>
          </x14:cfRule>
          <xm:sqref>H47:H49</xm:sqref>
        </x14:conditionalFormatting>
        <x14:conditionalFormatting xmlns:xm="http://schemas.microsoft.com/office/excel/2006/main">
          <x14:cfRule type="expression" priority="32" id="{AC968A9C-58F4-4EB9-B20E-EEB4BEC63EEA}">
            <xm:f>Variable_Management!$B$175=2</xm:f>
            <x14:dxf>
              <font>
                <strike/>
              </font>
              <fill>
                <patternFill>
                  <bgColor theme="0" tint="-0.24994659260841701"/>
                </patternFill>
              </fill>
            </x14:dxf>
          </x14:cfRule>
          <xm:sqref>H62</xm:sqref>
        </x14:conditionalFormatting>
        <x14:conditionalFormatting xmlns:xm="http://schemas.microsoft.com/office/excel/2006/main">
          <x14:cfRule type="expression" priority="31" id="{6AEF7AEB-8233-47F6-AF37-19EB8376E645}">
            <xm:f>Variable_Management!$B$175=2</xm:f>
            <x14:dxf>
              <font>
                <strike/>
              </font>
              <fill>
                <patternFill>
                  <bgColor theme="0" tint="-0.24994659260841701"/>
                </patternFill>
              </fill>
            </x14:dxf>
          </x14:cfRule>
          <xm:sqref>H68:H72</xm:sqref>
        </x14:conditionalFormatting>
        <x14:conditionalFormatting xmlns:xm="http://schemas.microsoft.com/office/excel/2006/main">
          <x14:cfRule type="expression" priority="28" id="{E825D698-3E97-4429-BCA3-4B674CCA2086}">
            <xm:f>Variable_Management!$B$175=2</xm:f>
            <x14:dxf>
              <font>
                <strike/>
              </font>
              <fill>
                <patternFill>
                  <bgColor theme="0" tint="-0.24994659260841701"/>
                </patternFill>
              </fill>
            </x14:dxf>
          </x14:cfRule>
          <xm:sqref>H75:H79</xm:sqref>
        </x14:conditionalFormatting>
        <x14:conditionalFormatting xmlns:xm="http://schemas.microsoft.com/office/excel/2006/main">
          <x14:cfRule type="expression" priority="29" id="{E6F4B62A-2486-4776-951C-54AB970AD7E6}">
            <xm:f>Variable_Management!$B$175=1</xm:f>
            <x14:dxf>
              <font>
                <strike/>
              </font>
              <fill>
                <patternFill>
                  <bgColor theme="0" tint="-0.24994659260841701"/>
                </patternFill>
              </fill>
            </x14:dxf>
          </x14:cfRule>
          <xm:sqref>H88</xm:sqref>
        </x14:conditionalFormatting>
        <x14:conditionalFormatting xmlns:xm="http://schemas.microsoft.com/office/excel/2006/main">
          <x14:cfRule type="expression" priority="23" id="{BDFF76D6-2BAE-460D-B594-665CE6C8F926}">
            <xm:f>Variable_Management!$B$23=0</xm:f>
            <x14:dxf>
              <font>
                <strike val="0"/>
                <color theme="0"/>
              </font>
              <fill>
                <patternFill>
                  <bgColor theme="0"/>
                </patternFill>
              </fill>
              <border>
                <left/>
                <right/>
                <top/>
                <bottom/>
                <vertical/>
                <horizontal/>
              </border>
            </x14:dxf>
          </x14:cfRule>
          <xm:sqref>K38:O38 L39:O39 K40:O43</xm:sqref>
        </x14:conditionalFormatting>
        <x14:conditionalFormatting xmlns:xm="http://schemas.microsoft.com/office/excel/2006/main">
          <x14:cfRule type="expression" priority="27" id="{26B2D2DD-EEF0-4676-9BB3-C4CF725A354D}">
            <xm:f>Variable_Management!$B$23=0</xm:f>
            <x14:dxf>
              <font>
                <strike val="0"/>
                <color theme="0"/>
              </font>
              <fill>
                <patternFill>
                  <bgColor theme="0"/>
                </patternFill>
              </fill>
              <border>
                <left/>
                <right/>
                <top/>
                <bottom/>
                <vertical/>
                <horizontal/>
              </border>
            </x14:dxf>
          </x14:cfRule>
          <xm:sqref>L13:O19</xm:sqref>
        </x14:conditionalFormatting>
        <x14:conditionalFormatting xmlns:xm="http://schemas.microsoft.com/office/excel/2006/main">
          <x14:cfRule type="expression" priority="26" id="{D8EED069-6203-4DCF-8C46-3C5EE8B9DF10}">
            <xm:f>Variable_Management!$B$32=0</xm:f>
            <x14:dxf>
              <font>
                <strike val="0"/>
                <color theme="0"/>
              </font>
              <fill>
                <patternFill>
                  <bgColor theme="0"/>
                </patternFill>
              </fill>
              <border>
                <left/>
                <right/>
                <top/>
                <bottom/>
                <vertical/>
                <horizontal/>
              </border>
            </x14:dxf>
          </x14:cfRule>
          <xm:sqref>L21:O28</xm:sqref>
        </x14:conditionalFormatting>
        <x14:conditionalFormatting xmlns:xm="http://schemas.microsoft.com/office/excel/2006/main">
          <x14:cfRule type="expression" priority="22" id="{0A150974-020D-4E5A-BC65-8908D4CB4565}">
            <xm:f>Variable_Management!$B$32=0</xm:f>
            <x14:dxf>
              <font>
                <strike val="0"/>
                <color theme="0"/>
              </font>
              <fill>
                <patternFill>
                  <bgColor theme="0"/>
                </patternFill>
              </fill>
              <border>
                <left/>
                <right/>
                <top/>
                <bottom/>
                <vertical/>
                <horizontal/>
              </border>
            </x14:dxf>
          </x14:cfRule>
          <xm:sqref>Q38:W38 R39:W39 Q40:W43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I5"/>
  <sheetViews>
    <sheetView topLeftCell="A4" zoomScale="85" zoomScaleNormal="85" workbookViewId="0">
      <selection activeCell="N4" sqref="N4"/>
    </sheetView>
  </sheetViews>
  <sheetFormatPr baseColWidth="10" defaultColWidth="8.88671875" defaultRowHeight="14.4" x14ac:dyDescent="0.3"/>
  <cols>
    <col min="1" max="1" width="8.88671875" style="169"/>
    <col min="2" max="2" width="154.44140625" style="169" customWidth="1"/>
    <col min="3" max="16384" width="8.88671875" style="169"/>
  </cols>
  <sheetData>
    <row r="2" spans="1:9" x14ac:dyDescent="0.3">
      <c r="A2" s="169" t="str">
        <f>IF(FB_type=1,"LOOP_ISO","LOOP_nISO")</f>
        <v>LOOP_nISO</v>
      </c>
    </row>
    <row r="3" spans="1:9" ht="377.25" customHeight="1" x14ac:dyDescent="0.3">
      <c r="D3" s="169" t="s">
        <v>652</v>
      </c>
    </row>
    <row r="4" spans="1:9" ht="333" customHeight="1" x14ac:dyDescent="0.3">
      <c r="D4" s="169" t="s">
        <v>651</v>
      </c>
    </row>
    <row r="5" spans="1:9" ht="409.2" customHeight="1" x14ac:dyDescent="0.3">
      <c r="I5" s="169">
        <f>LoopLookup</f>
        <v>0</v>
      </c>
    </row>
  </sheetData>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
  <sheetViews>
    <sheetView zoomScale="70" zoomScaleNormal="70" workbookViewId="0">
      <selection activeCell="F4" sqref="F4"/>
    </sheetView>
  </sheetViews>
  <sheetFormatPr baseColWidth="10" defaultColWidth="9.33203125" defaultRowHeight="14.4" x14ac:dyDescent="0.3"/>
  <cols>
    <col min="1" max="1" width="8.6640625" style="186" customWidth="1"/>
    <col min="2" max="2" width="101.5546875" style="186" customWidth="1"/>
    <col min="3" max="3" width="9.33203125" style="186"/>
    <col min="4" max="4" width="101.44140625" style="186" customWidth="1"/>
    <col min="5" max="5" width="9.33203125" style="186"/>
    <col min="6" max="6" width="101.44140625" style="186" customWidth="1"/>
    <col min="7" max="16384" width="9.33203125" style="186"/>
  </cols>
  <sheetData>
    <row r="1" spans="1:7" x14ac:dyDescent="0.3">
      <c r="A1" s="192" t="str">
        <f>IF(FB_type=1,CHOOSE(Variable_Management!B13,"sch_ISO_1","sch_ISO_2","sch_ISO_3"),CHOOSE(Variable_Management!B13,"sch_nISO_1","sch_nISO_2","sch_nISO_3"))</f>
        <v>sch_nISO_1</v>
      </c>
      <c r="B1" s="192"/>
      <c r="C1" s="192"/>
      <c r="D1" s="192"/>
      <c r="E1" s="192"/>
      <c r="F1" s="192"/>
      <c r="G1" s="190"/>
    </row>
    <row r="2" spans="1:7" x14ac:dyDescent="0.3">
      <c r="G2" s="190"/>
    </row>
    <row r="3" spans="1:7" ht="15.6" customHeight="1" x14ac:dyDescent="0.3">
      <c r="G3" s="190"/>
    </row>
    <row r="4" spans="1:7" ht="392.25" customHeight="1" x14ac:dyDescent="0.3">
      <c r="G4" s="190"/>
    </row>
    <row r="5" spans="1:7" x14ac:dyDescent="0.3">
      <c r="G5" s="190"/>
    </row>
    <row r="6" spans="1:7" ht="392.25" customHeight="1" x14ac:dyDescent="0.3">
      <c r="G6" s="190"/>
    </row>
    <row r="7" spans="1:7" x14ac:dyDescent="0.3">
      <c r="A7" s="191"/>
      <c r="B7" s="191"/>
      <c r="C7" s="191"/>
      <c r="D7" s="191"/>
      <c r="E7" s="191"/>
      <c r="F7" s="191"/>
    </row>
    <row r="8" spans="1:7" ht="321" customHeight="1" x14ac:dyDescent="0.3"/>
  </sheetData>
  <pageMargins left="0.7" right="0.7" top="0.75" bottom="0.75" header="0.3" footer="0.3"/>
  <pageSetup orientation="portrait" r:id="rId1"/>
  <drawing r:id="rId2"/>
  <legacyDrawing r:id="rId3"/>
  <oleObjects>
    <mc:AlternateContent xmlns:mc="http://schemas.openxmlformats.org/markup-compatibility/2006">
      <mc:Choice Requires="x14">
        <oleObject progId="Visio.Drawing.15" shapeId="21505" r:id="rId4">
          <objectPr defaultSize="0" r:id="rId5">
            <anchor moveWithCells="1">
              <from>
                <xdr:col>5</xdr:col>
                <xdr:colOff>0</xdr:colOff>
                <xdr:row>5</xdr:row>
                <xdr:rowOff>0</xdr:rowOff>
              </from>
              <to>
                <xdr:col>5</xdr:col>
                <xdr:colOff>6713220</xdr:colOff>
                <xdr:row>5</xdr:row>
                <xdr:rowOff>4732020</xdr:rowOff>
              </to>
            </anchor>
          </objectPr>
        </oleObject>
      </mc:Choice>
      <mc:Fallback>
        <oleObject progId="Visio.Drawing.15" shapeId="21505" r:id="rId4"/>
      </mc:Fallback>
    </mc:AlternateContent>
    <mc:AlternateContent xmlns:mc="http://schemas.openxmlformats.org/markup-compatibility/2006">
      <mc:Choice Requires="x14">
        <oleObject progId="Visio.Drawing.15" shapeId="21506" r:id="rId6">
          <objectPr defaultSize="0" r:id="rId7">
            <anchor moveWithCells="1">
              <from>
                <xdr:col>3</xdr:col>
                <xdr:colOff>0</xdr:colOff>
                <xdr:row>5</xdr:row>
                <xdr:rowOff>0</xdr:rowOff>
              </from>
              <to>
                <xdr:col>3</xdr:col>
                <xdr:colOff>6713220</xdr:colOff>
                <xdr:row>5</xdr:row>
                <xdr:rowOff>4732020</xdr:rowOff>
              </to>
            </anchor>
          </objectPr>
        </oleObject>
      </mc:Choice>
      <mc:Fallback>
        <oleObject progId="Visio.Drawing.15" shapeId="21506" r:id="rId6"/>
      </mc:Fallback>
    </mc:AlternateContent>
    <mc:AlternateContent xmlns:mc="http://schemas.openxmlformats.org/markup-compatibility/2006">
      <mc:Choice Requires="x14">
        <oleObject progId="Visio.Drawing.15" shapeId="21507" r:id="rId8">
          <objectPr defaultSize="0" r:id="rId9">
            <anchor moveWithCells="1">
              <from>
                <xdr:col>1</xdr:col>
                <xdr:colOff>0</xdr:colOff>
                <xdr:row>5</xdr:row>
                <xdr:rowOff>0</xdr:rowOff>
              </from>
              <to>
                <xdr:col>1</xdr:col>
                <xdr:colOff>6713220</xdr:colOff>
                <xdr:row>5</xdr:row>
                <xdr:rowOff>4732020</xdr:rowOff>
              </to>
            </anchor>
          </objectPr>
        </oleObject>
      </mc:Choice>
      <mc:Fallback>
        <oleObject progId="Visio.Drawing.15" shapeId="21507" r:id="rId8"/>
      </mc:Fallback>
    </mc:AlternateContent>
    <mc:AlternateContent xmlns:mc="http://schemas.openxmlformats.org/markup-compatibility/2006">
      <mc:Choice Requires="x14">
        <oleObject progId="Visio.Drawing.15" shapeId="21508" r:id="rId10">
          <objectPr defaultSize="0" r:id="rId11">
            <anchor moveWithCells="1">
              <from>
                <xdr:col>1</xdr:col>
                <xdr:colOff>0</xdr:colOff>
                <xdr:row>3</xdr:row>
                <xdr:rowOff>0</xdr:rowOff>
              </from>
              <to>
                <xdr:col>1</xdr:col>
                <xdr:colOff>6469380</xdr:colOff>
                <xdr:row>3</xdr:row>
                <xdr:rowOff>4442460</xdr:rowOff>
              </to>
            </anchor>
          </objectPr>
        </oleObject>
      </mc:Choice>
      <mc:Fallback>
        <oleObject progId="Visio.Drawing.15" shapeId="21508" r:id="rId10"/>
      </mc:Fallback>
    </mc:AlternateContent>
    <mc:AlternateContent xmlns:mc="http://schemas.openxmlformats.org/markup-compatibility/2006">
      <mc:Choice Requires="x14">
        <oleObject progId="Visio.Drawing.15" shapeId="21509" r:id="rId12">
          <objectPr defaultSize="0" r:id="rId13">
            <anchor moveWithCells="1">
              <from>
                <xdr:col>3</xdr:col>
                <xdr:colOff>0</xdr:colOff>
                <xdr:row>3</xdr:row>
                <xdr:rowOff>0</xdr:rowOff>
              </from>
              <to>
                <xdr:col>3</xdr:col>
                <xdr:colOff>6469380</xdr:colOff>
                <xdr:row>3</xdr:row>
                <xdr:rowOff>4442460</xdr:rowOff>
              </to>
            </anchor>
          </objectPr>
        </oleObject>
      </mc:Choice>
      <mc:Fallback>
        <oleObject progId="Visio.Drawing.15" shapeId="21509" r:id="rId12"/>
      </mc:Fallback>
    </mc:AlternateContent>
    <mc:AlternateContent xmlns:mc="http://schemas.openxmlformats.org/markup-compatibility/2006">
      <mc:Choice Requires="x14">
        <oleObject progId="Visio.Drawing.15" shapeId="21510" r:id="rId14">
          <objectPr defaultSize="0" r:id="rId15">
            <anchor moveWithCells="1">
              <from>
                <xdr:col>5</xdr:col>
                <xdr:colOff>0</xdr:colOff>
                <xdr:row>3</xdr:row>
                <xdr:rowOff>0</xdr:rowOff>
              </from>
              <to>
                <xdr:col>5</xdr:col>
                <xdr:colOff>6469380</xdr:colOff>
                <xdr:row>3</xdr:row>
                <xdr:rowOff>4442460</xdr:rowOff>
              </to>
            </anchor>
          </objectPr>
        </oleObject>
      </mc:Choice>
      <mc:Fallback>
        <oleObject progId="Visio.Drawing.15" shapeId="21510" r:id="rId1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EDD9D-BD85-44F4-BFAD-FB85DFAB2BF5}">
  <dimension ref="A1:AM47"/>
  <sheetViews>
    <sheetView workbookViewId="0">
      <selection activeCell="B44" sqref="B44"/>
    </sheetView>
  </sheetViews>
  <sheetFormatPr baseColWidth="10" defaultColWidth="9.109375" defaultRowHeight="13.8" x14ac:dyDescent="0.25"/>
  <cols>
    <col min="1" max="1" width="25.6640625" style="210" bestFit="1" customWidth="1"/>
    <col min="2" max="2" width="56.5546875" style="211" customWidth="1"/>
    <col min="3" max="11" width="9.109375" style="203"/>
    <col min="12" max="12" width="20.44140625" style="203" customWidth="1"/>
    <col min="13" max="16384" width="9.109375" style="203"/>
  </cols>
  <sheetData>
    <row r="1" spans="1:12" x14ac:dyDescent="0.25">
      <c r="A1" s="220"/>
      <c r="B1" s="220"/>
      <c r="C1" s="220"/>
      <c r="D1" s="220"/>
      <c r="E1" s="220"/>
      <c r="F1" s="220"/>
      <c r="G1" s="220"/>
      <c r="H1" s="220"/>
      <c r="I1" s="220"/>
      <c r="J1" s="220"/>
      <c r="K1" s="220"/>
      <c r="L1" s="220"/>
    </row>
    <row r="2" spans="1:12" x14ac:dyDescent="0.25">
      <c r="A2" s="220"/>
      <c r="B2" s="220"/>
      <c r="C2" s="220"/>
      <c r="D2" s="220"/>
      <c r="E2" s="220"/>
      <c r="F2" s="220"/>
      <c r="G2" s="220"/>
      <c r="H2" s="220"/>
      <c r="I2" s="220"/>
      <c r="J2" s="220"/>
      <c r="K2" s="220"/>
      <c r="L2" s="220"/>
    </row>
    <row r="3" spans="1:12" x14ac:dyDescent="0.25">
      <c r="A3" s="220"/>
      <c r="B3" s="220"/>
      <c r="C3" s="220"/>
      <c r="D3" s="220"/>
      <c r="E3" s="220"/>
      <c r="F3" s="220"/>
      <c r="G3" s="220"/>
      <c r="H3" s="220"/>
      <c r="I3" s="220"/>
      <c r="J3" s="220"/>
      <c r="K3" s="220"/>
      <c r="L3" s="220"/>
    </row>
    <row r="4" spans="1:12" x14ac:dyDescent="0.25">
      <c r="A4" s="221"/>
      <c r="B4" s="221"/>
      <c r="C4" s="221"/>
      <c r="D4" s="221"/>
      <c r="E4" s="221"/>
      <c r="F4" s="221"/>
      <c r="G4" s="221"/>
      <c r="H4" s="221"/>
      <c r="I4" s="221"/>
      <c r="J4" s="221"/>
      <c r="K4" s="221"/>
      <c r="L4" s="221"/>
    </row>
    <row r="5" spans="1:12" x14ac:dyDescent="0.25">
      <c r="A5" s="204" t="s">
        <v>699</v>
      </c>
      <c r="B5" s="205" t="s">
        <v>705</v>
      </c>
      <c r="C5" s="206"/>
      <c r="D5" s="206"/>
      <c r="E5" s="206"/>
      <c r="F5" s="206"/>
      <c r="G5" s="206"/>
      <c r="H5" s="206"/>
      <c r="I5" s="206"/>
      <c r="J5" s="206"/>
      <c r="K5" s="207"/>
      <c r="L5" s="208"/>
    </row>
    <row r="6" spans="1:12" x14ac:dyDescent="0.25">
      <c r="A6" s="204"/>
      <c r="B6" s="209"/>
      <c r="C6" s="206"/>
      <c r="D6" s="206"/>
      <c r="E6" s="206"/>
      <c r="F6" s="206"/>
      <c r="G6" s="206"/>
      <c r="H6" s="206"/>
      <c r="I6" s="206"/>
      <c r="J6" s="208"/>
      <c r="K6" s="208"/>
      <c r="L6" s="208"/>
    </row>
    <row r="35" spans="1:39" x14ac:dyDescent="0.25">
      <c r="A35" s="212" t="s">
        <v>700</v>
      </c>
      <c r="B35" s="213"/>
      <c r="C35" s="206"/>
      <c r="D35" s="206"/>
      <c r="E35" s="206"/>
      <c r="F35" s="206"/>
      <c r="G35" s="206"/>
      <c r="H35" s="206"/>
      <c r="I35" s="206"/>
      <c r="J35" s="206"/>
      <c r="K35" s="206"/>
    </row>
    <row r="36" spans="1:39" x14ac:dyDescent="0.25">
      <c r="A36" s="214" t="s">
        <v>701</v>
      </c>
      <c r="B36" s="222" t="s">
        <v>702</v>
      </c>
      <c r="C36" s="222"/>
      <c r="D36" s="222"/>
      <c r="E36" s="222"/>
      <c r="F36" s="222"/>
      <c r="G36" s="222"/>
      <c r="H36" s="222"/>
      <c r="I36" s="222"/>
      <c r="J36" s="222"/>
      <c r="K36" s="222"/>
    </row>
    <row r="37" spans="1:39" x14ac:dyDescent="0.25">
      <c r="A37" s="212" t="s">
        <v>703</v>
      </c>
      <c r="B37" s="223" t="s">
        <v>704</v>
      </c>
      <c r="C37" s="223"/>
      <c r="D37" s="223"/>
      <c r="E37" s="223"/>
      <c r="F37" s="223"/>
      <c r="G37" s="223"/>
      <c r="H37" s="223"/>
      <c r="I37" s="223"/>
      <c r="J37" s="223"/>
      <c r="K37" s="223"/>
    </row>
    <row r="38" spans="1:39" ht="14.25" customHeight="1" x14ac:dyDescent="0.25">
      <c r="A38" s="215" t="s">
        <v>705</v>
      </c>
      <c r="B38" s="224" t="s">
        <v>709</v>
      </c>
      <c r="C38" s="224"/>
      <c r="D38" s="224"/>
      <c r="E38" s="224"/>
      <c r="F38" s="224"/>
      <c r="G38" s="224"/>
      <c r="H38" s="224"/>
      <c r="I38" s="224"/>
      <c r="J38" s="224"/>
      <c r="K38" s="224"/>
    </row>
    <row r="39" spans="1:39" ht="14.25" customHeight="1" x14ac:dyDescent="0.25">
      <c r="A39" s="215"/>
      <c r="B39" s="216"/>
      <c r="C39" s="216"/>
      <c r="D39" s="216"/>
      <c r="E39" s="216"/>
      <c r="F39" s="216"/>
      <c r="G39" s="216"/>
      <c r="H39" s="216"/>
      <c r="I39" s="216"/>
      <c r="J39" s="216"/>
      <c r="K39" s="216"/>
    </row>
    <row r="40" spans="1:39" ht="14.25" customHeight="1" x14ac:dyDescent="0.25">
      <c r="A40" s="215"/>
      <c r="B40" s="216"/>
      <c r="C40" s="216"/>
      <c r="D40" s="216"/>
      <c r="E40" s="216"/>
      <c r="F40" s="216"/>
      <c r="G40" s="216"/>
      <c r="H40" s="216"/>
      <c r="I40" s="216"/>
      <c r="J40" s="216"/>
      <c r="K40" s="216"/>
    </row>
    <row r="41" spans="1:39" ht="14.25" customHeight="1" x14ac:dyDescent="0.25">
      <c r="A41" s="215"/>
      <c r="B41" s="216"/>
      <c r="C41" s="216"/>
      <c r="D41" s="216"/>
      <c r="E41" s="216"/>
      <c r="F41" s="216"/>
      <c r="G41" s="216"/>
      <c r="H41" s="216"/>
      <c r="I41" s="216"/>
      <c r="J41" s="216"/>
      <c r="K41" s="216"/>
    </row>
    <row r="42" spans="1:39" x14ac:dyDescent="0.25">
      <c r="A42" s="215"/>
      <c r="B42" s="216"/>
      <c r="C42" s="216"/>
      <c r="D42" s="216"/>
      <c r="E42" s="216"/>
      <c r="F42" s="216"/>
      <c r="G42" s="216"/>
      <c r="H42" s="216"/>
      <c r="I42" s="216"/>
      <c r="J42" s="216"/>
      <c r="K42" s="216"/>
    </row>
    <row r="43" spans="1:39" x14ac:dyDescent="0.25">
      <c r="A43" s="215"/>
      <c r="B43" s="216"/>
      <c r="C43" s="216"/>
      <c r="D43" s="216"/>
      <c r="E43" s="216"/>
      <c r="F43" s="216"/>
      <c r="G43" s="216"/>
      <c r="H43" s="216"/>
      <c r="I43" s="216"/>
      <c r="J43" s="216"/>
      <c r="K43" s="216"/>
    </row>
    <row r="44" spans="1:39" x14ac:dyDescent="0.25">
      <c r="A44" s="215"/>
      <c r="B44" s="216"/>
      <c r="C44" s="216"/>
      <c r="D44" s="216"/>
      <c r="E44" s="216"/>
      <c r="F44" s="216"/>
      <c r="G44" s="216"/>
      <c r="H44" s="216"/>
      <c r="I44" s="216"/>
      <c r="J44" s="216"/>
      <c r="K44" s="216"/>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row>
    <row r="45" spans="1:39" x14ac:dyDescent="0.25">
      <c r="A45" s="215"/>
      <c r="B45" s="216"/>
      <c r="C45" s="216"/>
      <c r="D45" s="216"/>
      <c r="E45" s="216"/>
      <c r="F45" s="216"/>
      <c r="G45" s="216"/>
      <c r="H45" s="216"/>
      <c r="I45" s="216"/>
      <c r="J45" s="216"/>
      <c r="K45" s="216"/>
    </row>
    <row r="46" spans="1:39" x14ac:dyDescent="0.25">
      <c r="A46" s="215"/>
      <c r="B46" s="216"/>
      <c r="C46" s="216"/>
      <c r="D46" s="216"/>
      <c r="E46" s="216"/>
      <c r="F46" s="216"/>
      <c r="G46" s="216"/>
      <c r="H46" s="216"/>
      <c r="I46" s="216"/>
      <c r="J46" s="216"/>
      <c r="K46" s="216"/>
    </row>
    <row r="47" spans="1:39" x14ac:dyDescent="0.25">
      <c r="A47" s="215"/>
      <c r="B47" s="216"/>
    </row>
  </sheetData>
  <sheetProtection algorithmName="SHA-512" hashValue="pGdbCThgpWqej0wxCecYapFZLhpYHKMNt9TBkC2sDwQs4AW+aZI2TC6/wMVKyNUhv4RRKKIytOzpWvvQrpNJ+A==" saltValue="mgQPQddrEI3kdVcxrY0Lqg==" spinCount="100000" sheet="1" objects="1" scenarios="1" selectLockedCells="1" selectUnlockedCells="1"/>
  <mergeCells count="5">
    <mergeCell ref="A1:L3"/>
    <mergeCell ref="A4:L4"/>
    <mergeCell ref="B36:K36"/>
    <mergeCell ref="B37:K37"/>
    <mergeCell ref="B38:K3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91"/>
  <sheetViews>
    <sheetView zoomScale="85" zoomScaleNormal="85" workbookViewId="0">
      <pane ySplit="5" topLeftCell="A135" activePane="bottomLeft" state="frozen"/>
      <selection pane="bottomLeft" activeCell="B175" sqref="B175"/>
    </sheetView>
  </sheetViews>
  <sheetFormatPr baseColWidth="10" defaultColWidth="8.88671875" defaultRowHeight="14.4" x14ac:dyDescent="0.3"/>
  <cols>
    <col min="1" max="1" width="28.88671875" customWidth="1"/>
    <col min="2" max="2" width="19.5546875" customWidth="1"/>
    <col min="3" max="3" width="10.88671875" customWidth="1"/>
    <col min="4" max="4" width="10" bestFit="1" customWidth="1"/>
    <col min="5" max="5" width="18.6640625" customWidth="1"/>
    <col min="6" max="6" width="14.6640625" customWidth="1"/>
    <col min="7" max="7" width="15.109375" customWidth="1"/>
    <col min="8" max="9" width="12.5546875" customWidth="1"/>
    <col min="12" max="12" width="10.33203125" bestFit="1" customWidth="1"/>
  </cols>
  <sheetData>
    <row r="1" spans="1:17" ht="28.2" x14ac:dyDescent="0.5">
      <c r="A1" s="225" t="s">
        <v>16</v>
      </c>
      <c r="B1" s="225"/>
      <c r="C1" s="225"/>
      <c r="D1" s="225"/>
      <c r="E1" s="225"/>
      <c r="F1" s="225"/>
      <c r="G1" s="225"/>
      <c r="H1" s="225"/>
      <c r="I1" s="225"/>
      <c r="J1" s="225"/>
    </row>
    <row r="2" spans="1:17" x14ac:dyDescent="0.3">
      <c r="A2" s="5"/>
      <c r="B2" s="5" t="s">
        <v>17</v>
      </c>
      <c r="C2" s="6"/>
      <c r="D2" s="4"/>
      <c r="E2" s="5"/>
      <c r="F2" s="5"/>
      <c r="G2" s="5"/>
      <c r="H2" s="5"/>
      <c r="I2" s="5"/>
      <c r="J2" s="5"/>
    </row>
    <row r="3" spans="1:17" x14ac:dyDescent="0.3">
      <c r="A3" s="5"/>
      <c r="B3" s="5" t="s">
        <v>18</v>
      </c>
      <c r="C3" s="147"/>
      <c r="D3" s="4"/>
      <c r="E3" s="5"/>
      <c r="F3" s="14" t="s">
        <v>657</v>
      </c>
      <c r="G3" s="15" t="s">
        <v>56</v>
      </c>
      <c r="H3" s="25" t="s">
        <v>59</v>
      </c>
      <c r="I3" s="5"/>
      <c r="J3" s="5"/>
    </row>
    <row r="4" spans="1:17" x14ac:dyDescent="0.3">
      <c r="A4" s="5"/>
      <c r="B4" s="5" t="s">
        <v>19</v>
      </c>
      <c r="C4" s="7"/>
      <c r="D4" s="4"/>
      <c r="E4" s="5"/>
      <c r="F4" s="14" t="s">
        <v>655</v>
      </c>
      <c r="G4" s="5" t="s">
        <v>656</v>
      </c>
      <c r="H4" s="5"/>
      <c r="I4" s="5"/>
      <c r="J4" s="5"/>
      <c r="O4" t="s">
        <v>654</v>
      </c>
    </row>
    <row r="5" spans="1:17" x14ac:dyDescent="0.3">
      <c r="A5" s="8" t="s">
        <v>20</v>
      </c>
      <c r="B5" s="8" t="s">
        <v>21</v>
      </c>
      <c r="C5" s="8" t="s">
        <v>22</v>
      </c>
      <c r="D5" s="4"/>
      <c r="E5" s="226" t="s">
        <v>23</v>
      </c>
      <c r="F5" s="226"/>
      <c r="G5" s="226"/>
      <c r="H5" s="226"/>
      <c r="I5" s="5"/>
      <c r="J5" s="8" t="s">
        <v>24</v>
      </c>
      <c r="K5" s="8" t="s">
        <v>63</v>
      </c>
      <c r="L5" s="4"/>
      <c r="M5" s="4"/>
      <c r="N5" s="4"/>
      <c r="O5" s="4">
        <v>20200226</v>
      </c>
      <c r="P5" s="4"/>
      <c r="Q5" s="4"/>
    </row>
    <row r="6" spans="1:17" ht="15.6" x14ac:dyDescent="0.3">
      <c r="A6" s="10" t="s">
        <v>25</v>
      </c>
      <c r="B6" s="8"/>
      <c r="C6" s="8"/>
      <c r="D6" s="8"/>
      <c r="E6" s="5"/>
      <c r="F6" s="5"/>
      <c r="G6" s="5"/>
      <c r="H6" s="5"/>
      <c r="I6" s="5"/>
      <c r="J6" s="8"/>
      <c r="K6" s="4"/>
      <c r="L6" s="4"/>
      <c r="M6" s="4"/>
      <c r="N6" s="4"/>
      <c r="O6" s="4"/>
      <c r="P6" s="4"/>
      <c r="Q6" s="4"/>
    </row>
    <row r="7" spans="1:17" x14ac:dyDescent="0.3">
      <c r="A7" t="s">
        <v>26</v>
      </c>
      <c r="B7" s="3">
        <f>'Design Converter'!H7</f>
        <v>9</v>
      </c>
      <c r="C7" t="s">
        <v>11</v>
      </c>
      <c r="E7" t="s">
        <v>29</v>
      </c>
    </row>
    <row r="8" spans="1:17" x14ac:dyDescent="0.3">
      <c r="A8" t="s">
        <v>27</v>
      </c>
      <c r="B8" s="3">
        <f>'Design Converter'!H8</f>
        <v>24</v>
      </c>
      <c r="C8" t="s">
        <v>11</v>
      </c>
      <c r="E8" t="s">
        <v>30</v>
      </c>
      <c r="K8">
        <f>IF(VIN_min&lt;VIN_min,1,IF(VIN_nom&gt;VIN_max,1,0))</f>
        <v>0</v>
      </c>
    </row>
    <row r="9" spans="1:17" x14ac:dyDescent="0.3">
      <c r="A9" t="s">
        <v>28</v>
      </c>
      <c r="B9" s="3">
        <f>'Design Converter'!H9</f>
        <v>30</v>
      </c>
      <c r="C9" t="s">
        <v>11</v>
      </c>
      <c r="E9" t="s">
        <v>31</v>
      </c>
    </row>
    <row r="10" spans="1:17" x14ac:dyDescent="0.3">
      <c r="A10" t="s">
        <v>60</v>
      </c>
      <c r="B10" s="3">
        <f>'Design Converter'!H14*1000</f>
        <v>1000000</v>
      </c>
      <c r="C10" t="s">
        <v>61</v>
      </c>
      <c r="E10" t="s">
        <v>62</v>
      </c>
    </row>
    <row r="11" spans="1:17" x14ac:dyDescent="0.3">
      <c r="A11" t="s">
        <v>65</v>
      </c>
      <c r="B11" s="18">
        <f>((2.21*10^10)/Fsw)-955</f>
        <v>21145</v>
      </c>
      <c r="C11" s="2" t="s">
        <v>35</v>
      </c>
      <c r="E11" t="s">
        <v>66</v>
      </c>
    </row>
    <row r="13" spans="1:17" x14ac:dyDescent="0.3">
      <c r="A13" t="s">
        <v>634</v>
      </c>
      <c r="B13">
        <v>1</v>
      </c>
    </row>
    <row r="15" spans="1:17" x14ac:dyDescent="0.3">
      <c r="A15" t="s">
        <v>419</v>
      </c>
      <c r="B15" s="3">
        <f>ABS('Design Converter'!N7)</f>
        <v>160</v>
      </c>
      <c r="C15" t="s">
        <v>11</v>
      </c>
      <c r="E15" t="s">
        <v>437</v>
      </c>
    </row>
    <row r="16" spans="1:17" x14ac:dyDescent="0.3">
      <c r="A16" t="s">
        <v>420</v>
      </c>
      <c r="B16" s="3">
        <f>ABS('Design Converter'!N8)</f>
        <v>0.5</v>
      </c>
      <c r="C16" t="s">
        <v>12</v>
      </c>
      <c r="E16" t="s">
        <v>34</v>
      </c>
    </row>
    <row r="17" spans="1:5" x14ac:dyDescent="0.3">
      <c r="A17" t="s">
        <v>421</v>
      </c>
      <c r="B17" s="1">
        <f>VOUT1/IOUT1</f>
        <v>320</v>
      </c>
      <c r="C17" s="2" t="s">
        <v>35</v>
      </c>
      <c r="E17" t="s">
        <v>39</v>
      </c>
    </row>
    <row r="18" spans="1:5" x14ac:dyDescent="0.3">
      <c r="A18" t="s">
        <v>422</v>
      </c>
      <c r="B18" s="1">
        <f>VOUT1*IOUT1</f>
        <v>80</v>
      </c>
      <c r="C18" s="2" t="s">
        <v>36</v>
      </c>
      <c r="E18" t="s">
        <v>38</v>
      </c>
    </row>
    <row r="19" spans="1:5" x14ac:dyDescent="0.3">
      <c r="A19" t="s">
        <v>620</v>
      </c>
      <c r="B19" s="3">
        <f>'Design Converter'!H102/1000</f>
        <v>0.3</v>
      </c>
      <c r="C19" s="2" t="s">
        <v>11</v>
      </c>
    </row>
    <row r="20" spans="1:5" x14ac:dyDescent="0.3">
      <c r="A20" t="s">
        <v>621</v>
      </c>
      <c r="B20" s="3">
        <f>'Design Converter'!H103/(10^9)</f>
        <v>1E-8</v>
      </c>
      <c r="C20" s="2" t="s">
        <v>352</v>
      </c>
    </row>
    <row r="22" spans="1:5" x14ac:dyDescent="0.3">
      <c r="B22" t="b">
        <v>0</v>
      </c>
    </row>
    <row r="23" spans="1:5" x14ac:dyDescent="0.3">
      <c r="A23" t="s">
        <v>434</v>
      </c>
      <c r="B23">
        <f>CHOOSE(B13,0,1,1)</f>
        <v>0</v>
      </c>
      <c r="E23" t="s">
        <v>435</v>
      </c>
    </row>
    <row r="24" spans="1:5" x14ac:dyDescent="0.3">
      <c r="A24" t="s">
        <v>423</v>
      </c>
      <c r="B24" s="3">
        <f>IF($B$23=1,ABS('Design Converter'!N14),0)</f>
        <v>0</v>
      </c>
      <c r="C24" t="s">
        <v>11</v>
      </c>
      <c r="E24" t="s">
        <v>459</v>
      </c>
    </row>
    <row r="25" spans="1:5" x14ac:dyDescent="0.3">
      <c r="A25" t="s">
        <v>424</v>
      </c>
      <c r="B25" s="3">
        <f>IF($B$23=1,ABS('Design Converter'!N15),0)</f>
        <v>0</v>
      </c>
      <c r="C25" t="s">
        <v>12</v>
      </c>
      <c r="E25" t="s">
        <v>34</v>
      </c>
    </row>
    <row r="26" spans="1:5" x14ac:dyDescent="0.3">
      <c r="A26" t="s">
        <v>425</v>
      </c>
      <c r="B26" s="1">
        <f>IF($B$23=1,VOUT2/IOUT2,0)</f>
        <v>0</v>
      </c>
      <c r="C26" s="2" t="s">
        <v>35</v>
      </c>
      <c r="E26" t="s">
        <v>39</v>
      </c>
    </row>
    <row r="27" spans="1:5" x14ac:dyDescent="0.3">
      <c r="A27" t="s">
        <v>426</v>
      </c>
      <c r="B27" s="1">
        <f>VOUT2*IOUT2</f>
        <v>0</v>
      </c>
      <c r="C27" s="2" t="s">
        <v>36</v>
      </c>
      <c r="E27" t="s">
        <v>38</v>
      </c>
    </row>
    <row r="28" spans="1:5" x14ac:dyDescent="0.3">
      <c r="A28" t="s">
        <v>624</v>
      </c>
      <c r="B28" s="11">
        <f>IF($B$23=1,ABS('Design Converter'!H106/1000),0)</f>
        <v>0</v>
      </c>
      <c r="C28" s="2" t="s">
        <v>11</v>
      </c>
    </row>
    <row r="29" spans="1:5" x14ac:dyDescent="0.3">
      <c r="A29" t="s">
        <v>625</v>
      </c>
      <c r="B29" s="164">
        <f>IF($B$23=1,ABS('Design Converter'!H107*10^-9),0)</f>
        <v>0</v>
      </c>
      <c r="C29" t="s">
        <v>352</v>
      </c>
    </row>
    <row r="30" spans="1:5" x14ac:dyDescent="0.3">
      <c r="B30" s="35"/>
    </row>
    <row r="31" spans="1:5" x14ac:dyDescent="0.3">
      <c r="B31" s="35" t="b">
        <v>1</v>
      </c>
    </row>
    <row r="32" spans="1:5" x14ac:dyDescent="0.3">
      <c r="A32" t="s">
        <v>433</v>
      </c>
      <c r="B32">
        <f>CHOOSE(B13,0,0,1)</f>
        <v>0</v>
      </c>
      <c r="E32" t="s">
        <v>436</v>
      </c>
    </row>
    <row r="33" spans="1:5" x14ac:dyDescent="0.3">
      <c r="A33" t="s">
        <v>427</v>
      </c>
      <c r="B33" s="3">
        <f>IF($B$32=1,ABS('Design Converter'!N22),0)</f>
        <v>0</v>
      </c>
      <c r="C33" t="s">
        <v>11</v>
      </c>
      <c r="E33" t="s">
        <v>460</v>
      </c>
    </row>
    <row r="34" spans="1:5" x14ac:dyDescent="0.3">
      <c r="A34" t="s">
        <v>428</v>
      </c>
      <c r="B34" s="3">
        <f>IF($B$32=1,ABS('Design Converter'!N23),0)</f>
        <v>0</v>
      </c>
      <c r="C34" t="s">
        <v>12</v>
      </c>
      <c r="E34" t="s">
        <v>34</v>
      </c>
    </row>
    <row r="35" spans="1:5" x14ac:dyDescent="0.3">
      <c r="A35" t="s">
        <v>429</v>
      </c>
      <c r="B35" s="1">
        <f>IF(B32=1,VOUT3/IOUT3,0)</f>
        <v>0</v>
      </c>
      <c r="C35" s="2" t="s">
        <v>35</v>
      </c>
      <c r="E35" t="s">
        <v>39</v>
      </c>
    </row>
    <row r="36" spans="1:5" x14ac:dyDescent="0.3">
      <c r="A36" t="s">
        <v>430</v>
      </c>
      <c r="B36" s="1">
        <f>VOUT3*IOUT3</f>
        <v>0</v>
      </c>
      <c r="C36" s="2" t="s">
        <v>36</v>
      </c>
      <c r="E36" t="s">
        <v>38</v>
      </c>
    </row>
    <row r="37" spans="1:5" x14ac:dyDescent="0.3">
      <c r="A37" t="s">
        <v>622</v>
      </c>
      <c r="B37" s="3">
        <f>IF($B$32=1,ABS('Design Converter'!H110/1000),0)</f>
        <v>0</v>
      </c>
      <c r="C37" s="2" t="s">
        <v>11</v>
      </c>
    </row>
    <row r="38" spans="1:5" x14ac:dyDescent="0.3">
      <c r="A38" t="s">
        <v>623</v>
      </c>
      <c r="B38" s="172">
        <f>IF($B$32=1,ABS('Design Converter'!H111*10^-9),0)</f>
        <v>0</v>
      </c>
      <c r="C38" s="2" t="s">
        <v>352</v>
      </c>
    </row>
    <row r="39" spans="1:5" x14ac:dyDescent="0.3">
      <c r="B39" s="35"/>
    </row>
    <row r="40" spans="1:5" x14ac:dyDescent="0.3">
      <c r="A40" t="s">
        <v>431</v>
      </c>
      <c r="B40" s="35">
        <f>SUM(POUT1,POUT2,POUT3)</f>
        <v>80</v>
      </c>
    </row>
    <row r="41" spans="1:5" x14ac:dyDescent="0.3">
      <c r="A41" t="s">
        <v>37</v>
      </c>
      <c r="B41" s="144">
        <v>1</v>
      </c>
      <c r="E41" t="s">
        <v>476</v>
      </c>
    </row>
    <row r="42" spans="1:5" x14ac:dyDescent="0.3">
      <c r="B42" s="35"/>
    </row>
    <row r="43" spans="1:5" x14ac:dyDescent="0.3">
      <c r="A43" t="s">
        <v>683</v>
      </c>
      <c r="B43" s="35"/>
      <c r="E43" t="s">
        <v>684</v>
      </c>
    </row>
    <row r="44" spans="1:5" x14ac:dyDescent="0.3">
      <c r="A44" t="s">
        <v>685</v>
      </c>
      <c r="B44" s="35"/>
      <c r="E44" t="s">
        <v>687</v>
      </c>
    </row>
    <row r="45" spans="1:5" x14ac:dyDescent="0.3">
      <c r="A45" t="s">
        <v>686</v>
      </c>
      <c r="B45" s="35"/>
      <c r="E45" t="s">
        <v>688</v>
      </c>
    </row>
    <row r="46" spans="1:5" x14ac:dyDescent="0.3">
      <c r="B46" s="35"/>
    </row>
    <row r="47" spans="1:5" x14ac:dyDescent="0.3">
      <c r="B47" s="35"/>
    </row>
    <row r="48" spans="1:5" x14ac:dyDescent="0.3">
      <c r="B48" s="35"/>
    </row>
    <row r="49" spans="1:5" ht="15.6" x14ac:dyDescent="0.3">
      <c r="A49" s="10" t="s">
        <v>442</v>
      </c>
      <c r="B49" s="35"/>
    </row>
    <row r="50" spans="1:5" x14ac:dyDescent="0.3">
      <c r="B50" s="35"/>
    </row>
    <row r="51" spans="1:5" x14ac:dyDescent="0.3">
      <c r="A51" t="s">
        <v>441</v>
      </c>
      <c r="B51" s="144">
        <v>1</v>
      </c>
      <c r="E51" t="s">
        <v>443</v>
      </c>
    </row>
    <row r="52" spans="1:5" x14ac:dyDescent="0.3">
      <c r="A52" t="s">
        <v>449</v>
      </c>
      <c r="B52" s="11">
        <f>'Design Converter'!H17/100</f>
        <v>0.7</v>
      </c>
      <c r="E52" t="s">
        <v>444</v>
      </c>
    </row>
    <row r="53" spans="1:5" x14ac:dyDescent="0.3">
      <c r="A53" t="s">
        <v>456</v>
      </c>
      <c r="B53" s="17">
        <f>((VOUT1+VD)*(1-Dmax_limit)*Np)/(Dmax_limit*VIN_min)</f>
        <v>7.6190476190476204</v>
      </c>
      <c r="C53" t="s">
        <v>458</v>
      </c>
      <c r="E53" t="s">
        <v>450</v>
      </c>
    </row>
    <row r="54" spans="1:5" x14ac:dyDescent="0.3">
      <c r="A54" t="s">
        <v>457</v>
      </c>
      <c r="B54" s="11">
        <f>'Design Converter'!N10</f>
        <v>10</v>
      </c>
      <c r="C54" t="s">
        <v>458</v>
      </c>
      <c r="E54" t="s">
        <v>451</v>
      </c>
    </row>
    <row r="55" spans="1:5" x14ac:dyDescent="0.3">
      <c r="A55" t="s">
        <v>604</v>
      </c>
      <c r="B55" s="17">
        <f>'Design Converter'!N11/1000</f>
        <v>1.2E-2</v>
      </c>
      <c r="C55" s="2" t="s">
        <v>35</v>
      </c>
      <c r="E55" t="s">
        <v>605</v>
      </c>
    </row>
    <row r="56" spans="1:5" x14ac:dyDescent="0.3">
      <c r="B56" s="35"/>
      <c r="C56" s="2"/>
    </row>
    <row r="57" spans="1:5" ht="15" customHeight="1" x14ac:dyDescent="0.3">
      <c r="A57" t="s">
        <v>471</v>
      </c>
      <c r="B57" s="16">
        <f>((Np/NS1_)*(VOUT1+VD))/((VIN_min+(Np/NS1_)*(VOUT1+VD)))</f>
        <v>0.64</v>
      </c>
      <c r="E57" t="s">
        <v>473</v>
      </c>
    </row>
    <row r="58" spans="1:5" ht="15" customHeight="1" x14ac:dyDescent="0.3">
      <c r="B58" s="26">
        <f>((Np/NS1_)*(VOUT1+VD))/((VIN_nom+(Np/NS1_)*(VOUT1+VD)))</f>
        <v>0.4</v>
      </c>
      <c r="E58" t="s">
        <v>474</v>
      </c>
    </row>
    <row r="59" spans="1:5" ht="15" customHeight="1" x14ac:dyDescent="0.3">
      <c r="B59" s="17">
        <f>((Np/NS1_)*(VOUT1+VD))/((VIN_max+(Np/NS1_)*(VOUT1+VD)))</f>
        <v>0.34782608695652173</v>
      </c>
      <c r="E59" t="s">
        <v>475</v>
      </c>
    </row>
    <row r="60" spans="1:5" ht="15" customHeight="1" x14ac:dyDescent="0.3">
      <c r="A60" t="s">
        <v>477</v>
      </c>
      <c r="B60" s="17">
        <f>(Np/NS1_)*VOUT1+VD</f>
        <v>16</v>
      </c>
      <c r="E60" t="s">
        <v>663</v>
      </c>
    </row>
    <row r="61" spans="1:5" ht="15" customHeight="1" x14ac:dyDescent="0.3">
      <c r="B61" s="35"/>
    </row>
    <row r="62" spans="1:5" ht="15" customHeight="1" x14ac:dyDescent="0.3">
      <c r="B62" s="35"/>
    </row>
    <row r="63" spans="1:5" ht="15" customHeight="1" x14ac:dyDescent="0.3">
      <c r="A63" t="s">
        <v>452</v>
      </c>
      <c r="B63" s="17">
        <f>IF(EN_OUT_2=1,(NS1_*((VOUT2+VD)/(VOUT1+VD))),0)</f>
        <v>0</v>
      </c>
      <c r="C63" t="s">
        <v>458</v>
      </c>
      <c r="E63" t="s">
        <v>454</v>
      </c>
    </row>
    <row r="64" spans="1:5" ht="15" customHeight="1" x14ac:dyDescent="0.3">
      <c r="A64" t="s">
        <v>453</v>
      </c>
      <c r="B64" s="11">
        <f>IF(EN_OUT_2=1,'Design Converter'!N17,0)</f>
        <v>0</v>
      </c>
      <c r="C64" t="s">
        <v>458</v>
      </c>
      <c r="E64" t="s">
        <v>455</v>
      </c>
    </row>
    <row r="65" spans="1:5" ht="15" customHeight="1" x14ac:dyDescent="0.3">
      <c r="A65" t="s">
        <v>468</v>
      </c>
      <c r="B65" s="17">
        <f>IF(EN_OUT_2=1,((NS2_*VD)-(NS1_*VD)+(NS2_*VOUT1))/NS1_,0)</f>
        <v>0</v>
      </c>
      <c r="C65" t="s">
        <v>11</v>
      </c>
      <c r="E65" t="s">
        <v>469</v>
      </c>
    </row>
    <row r="66" spans="1:5" ht="15" customHeight="1" x14ac:dyDescent="0.3">
      <c r="A66" t="s">
        <v>606</v>
      </c>
      <c r="B66" s="17">
        <f>IF(EN_OUT_2=1,'Design Converter'!N18/1000,0)</f>
        <v>0</v>
      </c>
    </row>
    <row r="67" spans="1:5" ht="15" customHeight="1" x14ac:dyDescent="0.3"/>
    <row r="68" spans="1:5" ht="15" customHeight="1" x14ac:dyDescent="0.3">
      <c r="A68" t="s">
        <v>463</v>
      </c>
      <c r="B68" s="17">
        <f>IF(EN_OUT_3=1,(NS1_*((VOUT3+VD)/(VOUT1+VD))),0)</f>
        <v>0</v>
      </c>
      <c r="C68" t="s">
        <v>458</v>
      </c>
      <c r="E68" t="s">
        <v>465</v>
      </c>
    </row>
    <row r="69" spans="1:5" ht="15" customHeight="1" x14ac:dyDescent="0.3">
      <c r="A69" t="s">
        <v>464</v>
      </c>
      <c r="B69" s="11">
        <f>'Design Converter'!N25</f>
        <v>0.42</v>
      </c>
      <c r="C69" t="s">
        <v>458</v>
      </c>
      <c r="E69" t="s">
        <v>466</v>
      </c>
    </row>
    <row r="70" spans="1:5" ht="15" customHeight="1" x14ac:dyDescent="0.3">
      <c r="A70" t="s">
        <v>470</v>
      </c>
      <c r="B70" s="17">
        <f>IF(EN_OUT_3=1,((NS3_*VD)-(NS1_*VD)+(NS3_*VOUT1))/NS1_,0)</f>
        <v>0</v>
      </c>
      <c r="C70" t="s">
        <v>11</v>
      </c>
      <c r="E70" t="s">
        <v>469</v>
      </c>
    </row>
    <row r="71" spans="1:5" ht="15" customHeight="1" x14ac:dyDescent="0.3">
      <c r="A71" t="s">
        <v>607</v>
      </c>
      <c r="B71" s="17">
        <f>IF(EN_OUT_3=1,'Design Converter'!N26/1000,0)</f>
        <v>0</v>
      </c>
    </row>
    <row r="72" spans="1:5" ht="15" customHeight="1" x14ac:dyDescent="0.3"/>
    <row r="74" spans="1:5" x14ac:dyDescent="0.3">
      <c r="A74" t="s">
        <v>76</v>
      </c>
      <c r="B74" s="3">
        <f>'Design Converter'!H22/100</f>
        <v>0.3</v>
      </c>
      <c r="E74" t="s">
        <v>92</v>
      </c>
    </row>
    <row r="75" spans="1:5" x14ac:dyDescent="0.3">
      <c r="A75" t="s">
        <v>74</v>
      </c>
      <c r="B75" s="24">
        <f>((Np^2)*(VIN_max^2)*((VOUT1+VD)^2))/(ILrip*POUT_Total*Fsw*((Np*VD)+(NS1_*VIN_max)+(Np*VOUT1))^2)</f>
        <v>4.5368620037807179E-6</v>
      </c>
      <c r="C75" t="s">
        <v>75</v>
      </c>
      <c r="E75" t="s">
        <v>478</v>
      </c>
    </row>
    <row r="76" spans="1:5" x14ac:dyDescent="0.3">
      <c r="A76" t="s">
        <v>77</v>
      </c>
      <c r="B76" s="21">
        <f>'Design Converter'!H24*10^-6</f>
        <v>4.9999999999999996E-6</v>
      </c>
      <c r="C76" t="s">
        <v>75</v>
      </c>
      <c r="E76" t="s">
        <v>78</v>
      </c>
    </row>
    <row r="77" spans="1:5" x14ac:dyDescent="0.3">
      <c r="A77" t="s">
        <v>80</v>
      </c>
      <c r="B77" s="3">
        <f>'Design Converter'!H25*(10^-3)</f>
        <v>0.01</v>
      </c>
      <c r="C77" s="2" t="s">
        <v>35</v>
      </c>
      <c r="E77" t="s">
        <v>102</v>
      </c>
    </row>
    <row r="78" spans="1:5" x14ac:dyDescent="0.3">
      <c r="A78" t="s">
        <v>103</v>
      </c>
      <c r="B78" s="12">
        <v>0.2</v>
      </c>
      <c r="C78" s="2"/>
      <c r="E78" t="s">
        <v>104</v>
      </c>
    </row>
    <row r="79" spans="1:5" x14ac:dyDescent="0.3">
      <c r="B79" t="s">
        <v>82</v>
      </c>
    </row>
    <row r="80" spans="1:5" x14ac:dyDescent="0.3">
      <c r="A80" t="s">
        <v>479</v>
      </c>
      <c r="B80" s="16">
        <f>POUT_Total/(VIN_min*EFF_est*Dc_VIN_min)</f>
        <v>13.888888888888889</v>
      </c>
      <c r="C80" t="s">
        <v>12</v>
      </c>
    </row>
    <row r="81" spans="1:5" x14ac:dyDescent="0.3">
      <c r="A81" t="s">
        <v>85</v>
      </c>
      <c r="B81" s="16">
        <f>(VIN_min*Dc_VIN_min)/(Lm*Fsw)</f>
        <v>1.1519999999999999</v>
      </c>
      <c r="C81" t="s">
        <v>12</v>
      </c>
      <c r="E81" t="s">
        <v>86</v>
      </c>
    </row>
    <row r="82" spans="1:5" x14ac:dyDescent="0.3">
      <c r="A82" t="s">
        <v>83</v>
      </c>
      <c r="B82" s="16">
        <f>(IL_avg_VIN_min/EFF_est)+(ILrip_VINmin/2)</f>
        <v>14.46488888888889</v>
      </c>
      <c r="C82" t="s">
        <v>12</v>
      </c>
      <c r="E82" t="s">
        <v>84</v>
      </c>
    </row>
    <row r="84" spans="1:5" x14ac:dyDescent="0.3">
      <c r="A84" t="s">
        <v>479</v>
      </c>
      <c r="B84" s="16">
        <f>POUT_Total/(VIN_nom*EFF_est*Dc_VIN_nom)</f>
        <v>8.3333333333333321</v>
      </c>
    </row>
    <row r="85" spans="1:5" x14ac:dyDescent="0.3">
      <c r="A85" t="s">
        <v>87</v>
      </c>
      <c r="B85" s="16">
        <f>(VIN_nom*Dc_VIN_nom)/(Lm*Fsw)</f>
        <v>1.9200000000000004</v>
      </c>
      <c r="C85" t="s">
        <v>12</v>
      </c>
      <c r="E85" t="s">
        <v>93</v>
      </c>
    </row>
    <row r="86" spans="1:5" x14ac:dyDescent="0.3">
      <c r="A86" t="s">
        <v>88</v>
      </c>
      <c r="B86" s="16">
        <f>(IL_avg_VIN_nom/EFF_est)+(ILrip_VINnom/2)</f>
        <v>9.293333333333333</v>
      </c>
      <c r="C86" t="s">
        <v>12</v>
      </c>
      <c r="E86" t="s">
        <v>94</v>
      </c>
    </row>
    <row r="88" spans="1:5" x14ac:dyDescent="0.3">
      <c r="A88" t="s">
        <v>479</v>
      </c>
      <c r="B88" s="16">
        <f>POUT_Total/(VIN_max*EFF_est*Dc_VIN_max)</f>
        <v>7.666666666666667</v>
      </c>
      <c r="E88" t="s">
        <v>480</v>
      </c>
    </row>
    <row r="89" spans="1:5" x14ac:dyDescent="0.3">
      <c r="A89" t="s">
        <v>89</v>
      </c>
      <c r="B89" s="16">
        <f>(VIN_max*Dc_VIN_max)/(Lm*Fsw)</f>
        <v>2.0869565217391304</v>
      </c>
      <c r="C89" t="s">
        <v>12</v>
      </c>
      <c r="E89" t="s">
        <v>95</v>
      </c>
    </row>
    <row r="90" spans="1:5" x14ac:dyDescent="0.3">
      <c r="A90" t="s">
        <v>90</v>
      </c>
      <c r="B90" s="16">
        <f>(IL_avg_VIN_max/EFF_est)+(ILrip_VINmax/2)</f>
        <v>8.7101449275362324</v>
      </c>
      <c r="C90" t="s">
        <v>12</v>
      </c>
      <c r="E90" t="s">
        <v>96</v>
      </c>
    </row>
    <row r="92" spans="1:5" x14ac:dyDescent="0.3">
      <c r="A92" s="19" t="s">
        <v>91</v>
      </c>
    </row>
    <row r="93" spans="1:5" x14ac:dyDescent="0.3">
      <c r="A93" t="s">
        <v>98</v>
      </c>
      <c r="B93" s="3">
        <f>'Design Converter'!H30/100</f>
        <v>0.3</v>
      </c>
      <c r="E93" t="s">
        <v>99</v>
      </c>
    </row>
    <row r="94" spans="1:5" x14ac:dyDescent="0.3">
      <c r="A94" t="s">
        <v>100</v>
      </c>
      <c r="B94" s="17">
        <f>(1+Ipk_margin)*ILp_VINmin</f>
        <v>18.804355555555556</v>
      </c>
      <c r="C94" t="s">
        <v>12</v>
      </c>
      <c r="E94" t="s">
        <v>101</v>
      </c>
    </row>
    <row r="95" spans="1:5" x14ac:dyDescent="0.3">
      <c r="B95" s="150"/>
    </row>
    <row r="96" spans="1:5" x14ac:dyDescent="0.3">
      <c r="A96" t="s">
        <v>107</v>
      </c>
      <c r="B96" s="12">
        <v>0.83299999999999996</v>
      </c>
      <c r="E96" t="s">
        <v>108</v>
      </c>
    </row>
    <row r="98" spans="1:11" x14ac:dyDescent="0.3">
      <c r="A98" t="s">
        <v>105</v>
      </c>
      <c r="B98" s="151">
        <f>(1/B96)*((Fsw*Isl*Rsl_int*Lm)/((Np/NS1_)*ABS(VOUT1)))</f>
        <v>1.5002250900360141E-2</v>
      </c>
      <c r="C98" s="2" t="s">
        <v>35</v>
      </c>
      <c r="E98" t="s">
        <v>106</v>
      </c>
    </row>
    <row r="99" spans="1:11" x14ac:dyDescent="0.3">
      <c r="A99" t="s">
        <v>113</v>
      </c>
      <c r="B99" s="24">
        <f>Vcl/Ipk_selected</f>
        <v>5.3179168892313368E-3</v>
      </c>
      <c r="C99" s="2" t="s">
        <v>35</v>
      </c>
      <c r="E99" t="s">
        <v>114</v>
      </c>
    </row>
    <row r="101" spans="1:11" x14ac:dyDescent="0.3">
      <c r="A101" t="s">
        <v>119</v>
      </c>
      <c r="B101" s="12">
        <v>0.83299999999999996</v>
      </c>
      <c r="E101" t="s">
        <v>120</v>
      </c>
    </row>
    <row r="102" spans="1:11" x14ac:dyDescent="0.3">
      <c r="A102" t="s">
        <v>118</v>
      </c>
      <c r="B102" s="23">
        <f>(Lm*NS1_*Fsw*(Vcl+(Dc_VIN_min*Isl*Rsl_int)))/((Dc_VIN_min*Kslope*VOUT1*Np)+(Ipk_selected*Lm*NS1_*Fsw))</f>
        <v>6.1234286082787427E-3</v>
      </c>
      <c r="C102" s="2" t="s">
        <v>35</v>
      </c>
      <c r="E102" t="s">
        <v>129</v>
      </c>
    </row>
    <row r="103" spans="1:11" x14ac:dyDescent="0.3">
      <c r="A103" t="s">
        <v>121</v>
      </c>
      <c r="B103" s="16">
        <f>(Vcl-(Ipk_selected*Rcs_w_sl))/(Isl*Dc_VIN_min)</f>
        <v>-788.91295672573949</v>
      </c>
      <c r="C103" s="2" t="s">
        <v>35</v>
      </c>
      <c r="E103" t="s">
        <v>128</v>
      </c>
    </row>
    <row r="105" spans="1:11" x14ac:dyDescent="0.3">
      <c r="A105" t="s">
        <v>117</v>
      </c>
      <c r="B105" s="1">
        <f>IF(Rcs_wo_sl&gt;Rcs_max,1,0)</f>
        <v>0</v>
      </c>
      <c r="E105" t="s">
        <v>664</v>
      </c>
    </row>
    <row r="106" spans="1:11" x14ac:dyDescent="0.3">
      <c r="A106" t="s">
        <v>122</v>
      </c>
      <c r="B106" s="26">
        <f>IF(B105=0,Rcs_wo_sl,Rcs_w_sl)</f>
        <v>5.3179168892313368E-3</v>
      </c>
      <c r="C106" s="2" t="s">
        <v>35</v>
      </c>
      <c r="E106" t="s">
        <v>126</v>
      </c>
    </row>
    <row r="107" spans="1:11" x14ac:dyDescent="0.3">
      <c r="A107" t="s">
        <v>123</v>
      </c>
      <c r="B107" s="1">
        <f>IF(B105=0,0,B103)</f>
        <v>0</v>
      </c>
      <c r="C107" s="2" t="s">
        <v>35</v>
      </c>
      <c r="E107" t="s">
        <v>127</v>
      </c>
    </row>
    <row r="109" spans="1:11" x14ac:dyDescent="0.3">
      <c r="A109" t="s">
        <v>124</v>
      </c>
      <c r="B109" s="27">
        <f>'Design Converter'!H34/1000</f>
        <v>6.0000000000000001E-3</v>
      </c>
      <c r="C109" s="2" t="s">
        <v>35</v>
      </c>
      <c r="E109" t="s">
        <v>131</v>
      </c>
    </row>
    <row r="110" spans="1:11" x14ac:dyDescent="0.3">
      <c r="A110" t="s">
        <v>125</v>
      </c>
      <c r="B110" s="3">
        <f>'Design Converter'!H35</f>
        <v>0</v>
      </c>
      <c r="C110" s="2" t="s">
        <v>35</v>
      </c>
      <c r="E110" t="s">
        <v>132</v>
      </c>
    </row>
    <row r="112" spans="1:11" x14ac:dyDescent="0.3">
      <c r="A112" t="s">
        <v>136</v>
      </c>
      <c r="B112" s="17">
        <f>(Isl*(Rsl_int+R_sl)*Fsw)/(((VOUT1*(Np/NS1_))/Lm)*R_cs)</f>
        <v>2.0828124999999997</v>
      </c>
      <c r="C112" t="s">
        <v>144</v>
      </c>
      <c r="E112" t="s">
        <v>134</v>
      </c>
      <c r="K112">
        <f>IF(B112&lt;0.5,1,0)</f>
        <v>0</v>
      </c>
    </row>
    <row r="113" spans="1:16" x14ac:dyDescent="0.3">
      <c r="A113" t="s">
        <v>138</v>
      </c>
      <c r="B113" s="17">
        <f>(Vcl-(Isl*R_sl*Dc_VIN_min))/R_cs</f>
        <v>16.666666666666668</v>
      </c>
      <c r="C113" t="s">
        <v>12</v>
      </c>
      <c r="E113" t="s">
        <v>140</v>
      </c>
      <c r="K113">
        <f>IF(IL_pk&lt;Ipk_selected,1,0)</f>
        <v>1</v>
      </c>
    </row>
    <row r="114" spans="1:16" x14ac:dyDescent="0.3">
      <c r="A114" t="s">
        <v>139</v>
      </c>
      <c r="B114" s="17">
        <f>(Vcl-(Isl*R_sl*Dc_VIN_max))/R_cs</f>
        <v>16.666666666666668</v>
      </c>
      <c r="C114" t="s">
        <v>12</v>
      </c>
      <c r="E114" t="s">
        <v>141</v>
      </c>
    </row>
    <row r="115" spans="1:16" x14ac:dyDescent="0.3">
      <c r="A115" t="s">
        <v>142</v>
      </c>
      <c r="B115" s="1">
        <f>0.15</f>
        <v>0.15</v>
      </c>
      <c r="E115" t="s">
        <v>143</v>
      </c>
    </row>
    <row r="117" spans="1:16" x14ac:dyDescent="0.3">
      <c r="A117" s="22" t="s">
        <v>145</v>
      </c>
    </row>
    <row r="118" spans="1:16" x14ac:dyDescent="0.3">
      <c r="A118" t="s">
        <v>653</v>
      </c>
    </row>
    <row r="120" spans="1:16" x14ac:dyDescent="0.3">
      <c r="A120" s="29" t="s">
        <v>146</v>
      </c>
      <c r="E120">
        <f>VIN_min</f>
        <v>9</v>
      </c>
    </row>
    <row r="121" spans="1:16" x14ac:dyDescent="0.3">
      <c r="A121" s="29"/>
    </row>
    <row r="122" spans="1:16" x14ac:dyDescent="0.3">
      <c r="A122" t="s">
        <v>646</v>
      </c>
      <c r="B122" s="1">
        <f>fz_rhp/5</f>
        <v>4125.2961249419277</v>
      </c>
      <c r="C122" t="s">
        <v>61</v>
      </c>
      <c r="E122" t="s">
        <v>647</v>
      </c>
      <c r="O122" s="152"/>
      <c r="P122" t="s">
        <v>660</v>
      </c>
    </row>
    <row r="123" spans="1:16" x14ac:dyDescent="0.3">
      <c r="A123" s="29"/>
    </row>
    <row r="124" spans="1:16" x14ac:dyDescent="0.3">
      <c r="A124" s="29"/>
    </row>
    <row r="125" spans="1:16" x14ac:dyDescent="0.3">
      <c r="B125" s="32" t="s">
        <v>489</v>
      </c>
    </row>
    <row r="126" spans="1:16" x14ac:dyDescent="0.3">
      <c r="A126" t="s">
        <v>481</v>
      </c>
      <c r="B126" s="30">
        <f>'Design Converter'!H40/1000</f>
        <v>0.1</v>
      </c>
      <c r="C126" t="s">
        <v>11</v>
      </c>
      <c r="E126" t="s">
        <v>150</v>
      </c>
    </row>
    <row r="127" spans="1:16" x14ac:dyDescent="0.3">
      <c r="A127" t="s">
        <v>648</v>
      </c>
      <c r="B127" s="30">
        <f>IOUT1-(IOUT1/2)</f>
        <v>0.25</v>
      </c>
      <c r="C127" t="s">
        <v>12</v>
      </c>
      <c r="E127" t="s">
        <v>649</v>
      </c>
    </row>
    <row r="128" spans="1:16" x14ac:dyDescent="0.3">
      <c r="A128" t="s">
        <v>482</v>
      </c>
      <c r="B128" s="1">
        <f>B127/(2*PI()*Vout1_rip_sel*B122)</f>
        <v>9.6450617283950598E-5</v>
      </c>
      <c r="C128" t="s">
        <v>151</v>
      </c>
      <c r="E128" t="s">
        <v>152</v>
      </c>
    </row>
    <row r="129" spans="1:16" x14ac:dyDescent="0.3">
      <c r="A129" t="s">
        <v>153</v>
      </c>
      <c r="B129" s="16"/>
      <c r="C129" t="s">
        <v>12</v>
      </c>
      <c r="D129" s="152"/>
      <c r="E129" t="s">
        <v>154</v>
      </c>
    </row>
    <row r="130" spans="1:16" x14ac:dyDescent="0.3">
      <c r="A130" t="s">
        <v>482</v>
      </c>
      <c r="B130" s="3">
        <f>'Design Converter'!H42*(10^-6)</f>
        <v>9.9999999999999991E-5</v>
      </c>
      <c r="C130" t="s">
        <v>151</v>
      </c>
      <c r="E130" t="s">
        <v>156</v>
      </c>
    </row>
    <row r="131" spans="1:16" x14ac:dyDescent="0.3">
      <c r="A131" t="s">
        <v>483</v>
      </c>
      <c r="B131" s="3">
        <f>'Design Converter'!H43/1000</f>
        <v>2E-3</v>
      </c>
      <c r="C131" s="2" t="s">
        <v>35</v>
      </c>
      <c r="E131" t="s">
        <v>157</v>
      </c>
    </row>
    <row r="132" spans="1:16" x14ac:dyDescent="0.3">
      <c r="A132" t="s">
        <v>284</v>
      </c>
      <c r="D132" s="152"/>
      <c r="E132" s="72" t="s">
        <v>285</v>
      </c>
    </row>
    <row r="133" spans="1:16" x14ac:dyDescent="0.3">
      <c r="B133" s="32" t="s">
        <v>487</v>
      </c>
    </row>
    <row r="134" spans="1:16" x14ac:dyDescent="0.3">
      <c r="A134" t="s">
        <v>492</v>
      </c>
      <c r="B134" s="30">
        <f>'Design Converter'!N40*(10^-3)</f>
        <v>0.1</v>
      </c>
      <c r="C134" t="s">
        <v>11</v>
      </c>
      <c r="E134" t="s">
        <v>150</v>
      </c>
    </row>
    <row r="135" spans="1:16" x14ac:dyDescent="0.3">
      <c r="B135" s="30">
        <f>IOUT2-(IOUT2/2)</f>
        <v>0</v>
      </c>
      <c r="E135" t="s">
        <v>661</v>
      </c>
    </row>
    <row r="136" spans="1:16" x14ac:dyDescent="0.3">
      <c r="A136" t="s">
        <v>493</v>
      </c>
      <c r="B136" s="1">
        <f>IF(EN_OUT_2=1,B135/(2*PI()*Vout2_rip_sel*B122),0)</f>
        <v>0</v>
      </c>
      <c r="C136" t="s">
        <v>151</v>
      </c>
      <c r="E136" t="s">
        <v>152</v>
      </c>
      <c r="O136" s="152"/>
      <c r="P136" t="s">
        <v>658</v>
      </c>
    </row>
    <row r="137" spans="1:16" x14ac:dyDescent="0.3">
      <c r="A137" t="s">
        <v>153</v>
      </c>
      <c r="B137" s="16"/>
      <c r="C137" t="s">
        <v>12</v>
      </c>
      <c r="E137" t="s">
        <v>154</v>
      </c>
    </row>
    <row r="138" spans="1:16" x14ac:dyDescent="0.3">
      <c r="A138" t="s">
        <v>494</v>
      </c>
      <c r="B138" s="3">
        <f>IF(EN_OUT_2=1,'Design Converter'!N42*(10^-6),0)</f>
        <v>0</v>
      </c>
      <c r="C138" t="s">
        <v>151</v>
      </c>
      <c r="E138" t="s">
        <v>156</v>
      </c>
    </row>
    <row r="139" spans="1:16" x14ac:dyDescent="0.3">
      <c r="A139" t="s">
        <v>495</v>
      </c>
      <c r="B139" s="3">
        <f>IF(EN_OUT_2=1,'Design Converter'!N43*(10^-3),0)</f>
        <v>0</v>
      </c>
      <c r="C139" s="2" t="s">
        <v>35</v>
      </c>
      <c r="E139" t="s">
        <v>157</v>
      </c>
    </row>
    <row r="140" spans="1:16" x14ac:dyDescent="0.3">
      <c r="A140" t="s">
        <v>496</v>
      </c>
      <c r="B140" s="3">
        <f>IF(EN_OUT_2=1,1/(((Np^2)/(NS2_^2))*Resr2),0)</f>
        <v>0</v>
      </c>
      <c r="C140" s="2" t="s">
        <v>35</v>
      </c>
      <c r="E140" t="s">
        <v>497</v>
      </c>
      <c r="O140" t="s">
        <v>662</v>
      </c>
    </row>
    <row r="141" spans="1:16" x14ac:dyDescent="0.3">
      <c r="B141" s="32" t="s">
        <v>488</v>
      </c>
      <c r="E141" s="153"/>
    </row>
    <row r="142" spans="1:16" x14ac:dyDescent="0.3">
      <c r="A142" t="s">
        <v>484</v>
      </c>
      <c r="B142" s="30">
        <f>'Design Converter'!V40*(10^-3)</f>
        <v>0.70000000000000007</v>
      </c>
      <c r="C142" t="s">
        <v>11</v>
      </c>
      <c r="E142" t="s">
        <v>150</v>
      </c>
    </row>
    <row r="143" spans="1:16" x14ac:dyDescent="0.3">
      <c r="B143" s="30">
        <f>IOUT3-(IOUT3/2)</f>
        <v>0</v>
      </c>
    </row>
    <row r="144" spans="1:16" x14ac:dyDescent="0.3">
      <c r="A144" t="s">
        <v>485</v>
      </c>
      <c r="B144" s="1">
        <f>IF(EN_OUT_3=1,B143/(2*PI()*Vout3_rip_sel*B122),0)</f>
        <v>0</v>
      </c>
      <c r="C144" t="s">
        <v>151</v>
      </c>
      <c r="E144" t="s">
        <v>152</v>
      </c>
      <c r="O144" s="152"/>
      <c r="P144" t="s">
        <v>659</v>
      </c>
    </row>
    <row r="145" spans="1:11" x14ac:dyDescent="0.3">
      <c r="A145" t="s">
        <v>153</v>
      </c>
      <c r="B145" s="16"/>
      <c r="C145" t="s">
        <v>12</v>
      </c>
      <c r="E145" t="s">
        <v>154</v>
      </c>
    </row>
    <row r="146" spans="1:11" x14ac:dyDescent="0.3">
      <c r="A146" t="s">
        <v>485</v>
      </c>
      <c r="B146" s="3">
        <f>IF(EN_OUT_3=1,'Design Converter'!V42*(10^-6),0)</f>
        <v>0</v>
      </c>
      <c r="C146" t="s">
        <v>151</v>
      </c>
      <c r="E146" t="s">
        <v>156</v>
      </c>
    </row>
    <row r="147" spans="1:11" x14ac:dyDescent="0.3">
      <c r="A147" t="s">
        <v>486</v>
      </c>
      <c r="B147" s="3">
        <f>IF(EN_OUT_3=1,'Design Converter'!V43*(10^-3),0)</f>
        <v>0</v>
      </c>
      <c r="C147" s="2" t="s">
        <v>35</v>
      </c>
      <c r="E147" t="s">
        <v>157</v>
      </c>
    </row>
    <row r="148" spans="1:11" x14ac:dyDescent="0.3">
      <c r="B148" s="3">
        <f>IF(EN_OUT_3=1,1/(((Np^2)/(NS3_^2))*Resr3),0)</f>
        <v>0</v>
      </c>
      <c r="C148" s="2" t="s">
        <v>35</v>
      </c>
      <c r="E148" t="s">
        <v>497</v>
      </c>
    </row>
    <row r="150" spans="1:11" x14ac:dyDescent="0.3">
      <c r="A150" t="s">
        <v>490</v>
      </c>
      <c r="B150" s="164">
        <f>Cout1+(((NS2_^2)/(NS1_^2))*Cout2)+(((NS3_^2)/(NS1_^2))*Cout3)</f>
        <v>9.9999999999999991E-5</v>
      </c>
      <c r="C150" t="s">
        <v>151</v>
      </c>
      <c r="E150" t="s">
        <v>499</v>
      </c>
      <c r="K150">
        <f>(((NS2_^2)/(NS1_^2))*Cout2)</f>
        <v>0</v>
      </c>
    </row>
    <row r="151" spans="1:11" x14ac:dyDescent="0.3">
      <c r="A151" t="s">
        <v>491</v>
      </c>
      <c r="B151" s="3">
        <f>1/((1/Resr1)+Resr2_Trans+Resr3_Trans)</f>
        <v>2E-3</v>
      </c>
      <c r="C151" s="2" t="s">
        <v>35</v>
      </c>
      <c r="E151" t="s">
        <v>498</v>
      </c>
    </row>
    <row r="153" spans="1:11" x14ac:dyDescent="0.3">
      <c r="E153" t="s">
        <v>500</v>
      </c>
    </row>
    <row r="154" spans="1:11" x14ac:dyDescent="0.3">
      <c r="A154" s="29" t="s">
        <v>303</v>
      </c>
    </row>
    <row r="155" spans="1:11" x14ac:dyDescent="0.3">
      <c r="A155" t="s">
        <v>287</v>
      </c>
      <c r="B155" s="12">
        <f>Iss</f>
        <v>9.9999999999999991E-6</v>
      </c>
      <c r="C155" t="s">
        <v>12</v>
      </c>
      <c r="E155" t="s">
        <v>289</v>
      </c>
      <c r="J155" t="s">
        <v>665</v>
      </c>
    </row>
    <row r="156" spans="1:11" x14ac:dyDescent="0.3">
      <c r="A156" t="s">
        <v>290</v>
      </c>
      <c r="B156" s="1">
        <f>Iss*VOUT1*Cout1/(Vref*IOUT1)</f>
        <v>3.1999999999999995E-7</v>
      </c>
      <c r="C156" t="s">
        <v>151</v>
      </c>
      <c r="E156" t="s">
        <v>291</v>
      </c>
    </row>
    <row r="157" spans="1:11" x14ac:dyDescent="0.3">
      <c r="A157" t="s">
        <v>292</v>
      </c>
      <c r="B157" s="3">
        <f>'Design Converter'!H48*(10^-3)</f>
        <v>3.2000000000000001E-2</v>
      </c>
      <c r="C157" t="s">
        <v>47</v>
      </c>
      <c r="E157" t="s">
        <v>293</v>
      </c>
    </row>
    <row r="158" spans="1:11" x14ac:dyDescent="0.3">
      <c r="A158" t="s">
        <v>296</v>
      </c>
      <c r="B158" s="1">
        <f>(tss*Iss)/(Vref)</f>
        <v>3.1999999999999995E-7</v>
      </c>
      <c r="C158" t="s">
        <v>151</v>
      </c>
      <c r="E158" t="s">
        <v>297</v>
      </c>
    </row>
    <row r="160" spans="1:11" x14ac:dyDescent="0.3">
      <c r="A160" s="29" t="s">
        <v>302</v>
      </c>
    </row>
    <row r="161" spans="1:5" x14ac:dyDescent="0.3">
      <c r="A161" t="s">
        <v>304</v>
      </c>
      <c r="B161" s="3">
        <f>'Design Converter'!H52</f>
        <v>5.8</v>
      </c>
      <c r="C161" t="s">
        <v>11</v>
      </c>
      <c r="E161" t="s">
        <v>306</v>
      </c>
    </row>
    <row r="162" spans="1:5" x14ac:dyDescent="0.3">
      <c r="A162" t="s">
        <v>305</v>
      </c>
      <c r="B162" s="3">
        <f>'Design Converter'!H53</f>
        <v>5.4</v>
      </c>
      <c r="C162" t="s">
        <v>11</v>
      </c>
      <c r="E162" t="s">
        <v>307</v>
      </c>
    </row>
    <row r="163" spans="1:5" x14ac:dyDescent="0.3">
      <c r="A163" t="s">
        <v>309</v>
      </c>
      <c r="B163" s="12">
        <f>UV_rise</f>
        <v>1.5</v>
      </c>
      <c r="C163" t="s">
        <v>11</v>
      </c>
      <c r="E163" t="s">
        <v>314</v>
      </c>
    </row>
    <row r="164" spans="1:5" x14ac:dyDescent="0.3">
      <c r="A164" t="s">
        <v>310</v>
      </c>
      <c r="B164" s="12">
        <f>UV_fall</f>
        <v>1.45</v>
      </c>
      <c r="C164" t="s">
        <v>11</v>
      </c>
      <c r="E164" t="s">
        <v>313</v>
      </c>
    </row>
    <row r="165" spans="1:5" x14ac:dyDescent="0.3">
      <c r="A165" t="s">
        <v>315</v>
      </c>
      <c r="B165" s="12">
        <f>UV_I_hyst</f>
        <v>4.9999999999999996E-6</v>
      </c>
      <c r="C165" t="s">
        <v>12</v>
      </c>
      <c r="E165" t="s">
        <v>317</v>
      </c>
    </row>
    <row r="166" spans="1:5" x14ac:dyDescent="0.3">
      <c r="A166" t="s">
        <v>318</v>
      </c>
      <c r="B166" s="18">
        <f>((Vuvlo_on*0.967)-Vuvlo_off)/(UV_I_hyst)</f>
        <v>41719.999999999942</v>
      </c>
      <c r="C166" s="2" t="s">
        <v>35</v>
      </c>
      <c r="E166" t="s">
        <v>392</v>
      </c>
    </row>
    <row r="167" spans="1:5" x14ac:dyDescent="0.3">
      <c r="A167" t="s">
        <v>318</v>
      </c>
      <c r="B167" s="3">
        <f>'Design Converter'!H55*1000</f>
        <v>41720</v>
      </c>
      <c r="C167" s="2" t="s">
        <v>35</v>
      </c>
      <c r="E167" t="s">
        <v>393</v>
      </c>
    </row>
    <row r="168" spans="1:5" x14ac:dyDescent="0.3">
      <c r="A168" t="s">
        <v>319</v>
      </c>
      <c r="B168" s="18">
        <f>UV_rise*Ruvlo_top/(Vuvlo_on-UV_rise)</f>
        <v>14553.488372093025</v>
      </c>
      <c r="C168" s="2" t="s">
        <v>35</v>
      </c>
      <c r="E168" t="s">
        <v>394</v>
      </c>
    </row>
    <row r="169" spans="1:5" x14ac:dyDescent="0.3">
      <c r="A169" t="s">
        <v>320</v>
      </c>
      <c r="B169" s="17">
        <f>UV_rise*(Ruvlo_top+Ruvlo_bottom_calc)/Ruvlo_bottom_calc</f>
        <v>5.8</v>
      </c>
      <c r="E169" t="s">
        <v>322</v>
      </c>
    </row>
    <row r="170" spans="1:5" x14ac:dyDescent="0.3">
      <c r="A170" t="s">
        <v>321</v>
      </c>
      <c r="B170" s="17">
        <f>Ruvlo_top*((UV_fall/Ruvlo_top)-(UV_I_hyst)+(UV_fall/Ruvlo_bottom_calc))</f>
        <v>5.3980666666666659</v>
      </c>
      <c r="E170" t="s">
        <v>323</v>
      </c>
    </row>
    <row r="173" spans="1:5" x14ac:dyDescent="0.3">
      <c r="A173" s="29" t="s">
        <v>557</v>
      </c>
    </row>
    <row r="174" spans="1:5" x14ac:dyDescent="0.3">
      <c r="A174" s="33" t="s">
        <v>186</v>
      </c>
      <c r="B174" s="3">
        <f>'Design Converter'!H59</f>
        <v>24</v>
      </c>
      <c r="C174" t="s">
        <v>11</v>
      </c>
      <c r="E174" t="s">
        <v>650</v>
      </c>
    </row>
    <row r="175" spans="1:5" x14ac:dyDescent="0.3">
      <c r="A175" s="33" t="s">
        <v>517</v>
      </c>
      <c r="B175">
        <v>2</v>
      </c>
      <c r="E175" t="s">
        <v>518</v>
      </c>
    </row>
    <row r="176" spans="1:5" x14ac:dyDescent="0.3">
      <c r="A176" s="33"/>
    </row>
    <row r="177" spans="1:5" x14ac:dyDescent="0.3">
      <c r="A177" s="33" t="s">
        <v>556</v>
      </c>
    </row>
    <row r="178" spans="1:5" x14ac:dyDescent="0.3">
      <c r="A178" t="s">
        <v>396</v>
      </c>
      <c r="B178" s="20">
        <f>Gcomp*((VOUT1^2)/(POUT_Total))*((1-Dc_VIN_min)/((1+Dc_VIN_min)*((Acs*R_cs)/(Np/NS1_))))</f>
        <v>166.24390243902437</v>
      </c>
      <c r="E178" t="s">
        <v>559</v>
      </c>
    </row>
    <row r="180" spans="1:5" x14ac:dyDescent="0.3">
      <c r="A180" t="s">
        <v>397</v>
      </c>
      <c r="B180" s="12">
        <f>(1+Dc_VIN_min)/(Cout_total*((VOUT1^2)/POUT_Total))</f>
        <v>51.25</v>
      </c>
      <c r="C180" t="s">
        <v>383</v>
      </c>
      <c r="E180" t="s">
        <v>382</v>
      </c>
    </row>
    <row r="181" spans="1:5" x14ac:dyDescent="0.3">
      <c r="A181" t="s">
        <v>398</v>
      </c>
      <c r="B181" s="18">
        <f>B180/(2*PI())</f>
        <v>8.1566908334596366</v>
      </c>
      <c r="C181" t="s">
        <v>61</v>
      </c>
      <c r="E181" t="s">
        <v>240</v>
      </c>
    </row>
    <row r="183" spans="1:5" x14ac:dyDescent="0.3">
      <c r="A183" t="s">
        <v>399</v>
      </c>
      <c r="B183" s="12">
        <f>1/(Cout_total*Resr_total)</f>
        <v>5000000</v>
      </c>
      <c r="C183" t="s">
        <v>384</v>
      </c>
      <c r="E183" t="s">
        <v>385</v>
      </c>
    </row>
    <row r="184" spans="1:5" x14ac:dyDescent="0.3">
      <c r="A184" t="s">
        <v>400</v>
      </c>
      <c r="B184" s="1">
        <f>B183/(2*PI())</f>
        <v>795774.71545947669</v>
      </c>
      <c r="C184" t="s">
        <v>61</v>
      </c>
      <c r="E184" t="s">
        <v>242</v>
      </c>
    </row>
    <row r="186" spans="1:5" x14ac:dyDescent="0.3">
      <c r="A186" t="s">
        <v>401</v>
      </c>
      <c r="B186" s="12">
        <f>(((VOUT1^2)/POUT_Total)*((1-Dc_VIN_min)^2))/((Lm/((Np/NS1_)^2))*Dc_VIN_min)</f>
        <v>129600.00000000001</v>
      </c>
      <c r="E186" t="s">
        <v>381</v>
      </c>
    </row>
    <row r="187" spans="1:5" x14ac:dyDescent="0.3">
      <c r="A187" t="s">
        <v>402</v>
      </c>
      <c r="B187" s="18">
        <f>B186/(2*PI())</f>
        <v>20626.480624709639</v>
      </c>
      <c r="C187" t="s">
        <v>61</v>
      </c>
      <c r="E187" t="s">
        <v>241</v>
      </c>
    </row>
    <row r="188" spans="1:5" x14ac:dyDescent="0.3">
      <c r="B188">
        <f>Fsw/10</f>
        <v>100000</v>
      </c>
      <c r="C188" t="s">
        <v>61</v>
      </c>
      <c r="E188" t="s">
        <v>249</v>
      </c>
    </row>
    <row r="189" spans="1:5" x14ac:dyDescent="0.3">
      <c r="B189">
        <f>IF((B187/5)&lt;(B188),0,1)</f>
        <v>0</v>
      </c>
      <c r="E189" t="s">
        <v>251</v>
      </c>
    </row>
    <row r="191" spans="1:5" x14ac:dyDescent="0.3">
      <c r="A191" t="s">
        <v>403</v>
      </c>
      <c r="B191" s="1">
        <f>(Isl*(Rsl_int+R_sl)*Fsw)</f>
        <v>39990</v>
      </c>
      <c r="C191" t="s">
        <v>144</v>
      </c>
      <c r="E191" t="s">
        <v>202</v>
      </c>
    </row>
    <row r="192" spans="1:5" x14ac:dyDescent="0.3">
      <c r="A192" t="s">
        <v>404</v>
      </c>
      <c r="B192" s="1">
        <f>(R_cs*VIN_min*Acs)/Lm</f>
        <v>10800</v>
      </c>
      <c r="C192" t="s">
        <v>144</v>
      </c>
      <c r="E192" t="s">
        <v>203</v>
      </c>
    </row>
    <row r="193" spans="1:7" x14ac:dyDescent="0.3">
      <c r="B193" s="1"/>
    </row>
    <row r="194" spans="1:7" x14ac:dyDescent="0.3">
      <c r="A194" t="s">
        <v>405</v>
      </c>
      <c r="B194" s="1">
        <f>2*PI()*Fsw</f>
        <v>6283185.307179586</v>
      </c>
      <c r="C194" t="s">
        <v>205</v>
      </c>
    </row>
    <row r="195" spans="1:7" x14ac:dyDescent="0.3">
      <c r="A195" t="s">
        <v>406</v>
      </c>
      <c r="B195" s="1">
        <f>1/(PI()*(((VIN_min/VOUT1)*(1+(B191/B192)))-0.5))</f>
        <v>-1.3518137170379962</v>
      </c>
    </row>
    <row r="196" spans="1:7" x14ac:dyDescent="0.3">
      <c r="A196" s="33"/>
      <c r="G196">
        <f>Dc_VIN_min</f>
        <v>0.64</v>
      </c>
    </row>
    <row r="197" spans="1:7" x14ac:dyDescent="0.3">
      <c r="A197" s="33"/>
    </row>
    <row r="198" spans="1:7" x14ac:dyDescent="0.3">
      <c r="A198" s="33"/>
    </row>
    <row r="199" spans="1:7" x14ac:dyDescent="0.3">
      <c r="A199" s="33"/>
    </row>
    <row r="200" spans="1:7" x14ac:dyDescent="0.3">
      <c r="A200" s="33"/>
    </row>
    <row r="201" spans="1:7" x14ac:dyDescent="0.3">
      <c r="A201" s="33"/>
    </row>
    <row r="202" spans="1:7" x14ac:dyDescent="0.3">
      <c r="A202" s="158" t="s">
        <v>519</v>
      </c>
    </row>
    <row r="203" spans="1:7" x14ac:dyDescent="0.3">
      <c r="A203" s="159" t="s">
        <v>530</v>
      </c>
    </row>
    <row r="204" spans="1:7" x14ac:dyDescent="0.3">
      <c r="A204" s="33" t="s">
        <v>520</v>
      </c>
      <c r="B204" s="3">
        <f>'Design Converter'!H62</f>
        <v>1.24</v>
      </c>
      <c r="C204" t="s">
        <v>11</v>
      </c>
      <c r="E204" t="s">
        <v>521</v>
      </c>
    </row>
    <row r="205" spans="1:7" x14ac:dyDescent="0.3">
      <c r="A205" s="33" t="s">
        <v>522</v>
      </c>
      <c r="B205" s="3">
        <f>'Design Converter'!H63*1000</f>
        <v>100000</v>
      </c>
      <c r="C205" s="2" t="s">
        <v>35</v>
      </c>
      <c r="E205" t="s">
        <v>526</v>
      </c>
    </row>
    <row r="206" spans="1:7" x14ac:dyDescent="0.3">
      <c r="A206" s="33" t="s">
        <v>523</v>
      </c>
      <c r="B206" s="1">
        <f>(RFBT_iso*Vref_iso)/(VOUT1-Vref_iso)</f>
        <v>781.05316200554296</v>
      </c>
      <c r="C206" s="2" t="s">
        <v>35</v>
      </c>
      <c r="E206" t="s">
        <v>525</v>
      </c>
    </row>
    <row r="207" spans="1:7" x14ac:dyDescent="0.3">
      <c r="A207" s="33" t="s">
        <v>524</v>
      </c>
      <c r="B207" s="3">
        <f>'Design Converter'!H65*1000</f>
        <v>630</v>
      </c>
      <c r="C207" s="2" t="s">
        <v>35</v>
      </c>
      <c r="E207" t="s">
        <v>527</v>
      </c>
    </row>
    <row r="208" spans="1:7" x14ac:dyDescent="0.3">
      <c r="A208" s="33"/>
    </row>
    <row r="209" spans="1:13" x14ac:dyDescent="0.3">
      <c r="A209" s="159" t="s">
        <v>531</v>
      </c>
    </row>
    <row r="210" spans="1:13" x14ac:dyDescent="0.3">
      <c r="A210" s="33" t="s">
        <v>533</v>
      </c>
      <c r="B210" s="3">
        <f>'Design Converter'!H68</f>
        <v>1</v>
      </c>
      <c r="C210" t="s">
        <v>528</v>
      </c>
      <c r="E210" t="s">
        <v>535</v>
      </c>
    </row>
    <row r="211" spans="1:13" x14ac:dyDescent="0.3">
      <c r="A211" s="33" t="s">
        <v>534</v>
      </c>
      <c r="B211" s="3">
        <f>'Design Converter'!H69</f>
        <v>2</v>
      </c>
      <c r="C211" t="s">
        <v>528</v>
      </c>
      <c r="E211" t="s">
        <v>536</v>
      </c>
    </row>
    <row r="212" spans="1:13" x14ac:dyDescent="0.3">
      <c r="A212" s="33" t="s">
        <v>537</v>
      </c>
      <c r="B212" s="3">
        <f>'Design Converter'!H70</f>
        <v>1.4</v>
      </c>
      <c r="C212" t="s">
        <v>11</v>
      </c>
      <c r="E212" t="s">
        <v>538</v>
      </c>
    </row>
    <row r="213" spans="1:13" x14ac:dyDescent="0.3">
      <c r="A213" s="33" t="s">
        <v>539</v>
      </c>
      <c r="B213" s="3">
        <f>'Design Converter'!H71/(10^9)</f>
        <v>3.2999999999999998E-9</v>
      </c>
      <c r="C213" t="s">
        <v>151</v>
      </c>
      <c r="E213" t="s">
        <v>546</v>
      </c>
    </row>
    <row r="214" spans="1:13" x14ac:dyDescent="0.3">
      <c r="A214" s="33"/>
      <c r="B214" s="3">
        <f>'Design Converter'!H72/1000</f>
        <v>0.2</v>
      </c>
    </row>
    <row r="215" spans="1:13" x14ac:dyDescent="0.3">
      <c r="A215" s="33" t="s">
        <v>547</v>
      </c>
      <c r="B215" s="3">
        <f>'Design Converter'!H75</f>
        <v>6.8</v>
      </c>
      <c r="C215" t="s">
        <v>11</v>
      </c>
      <c r="E215" t="s">
        <v>548</v>
      </c>
      <c r="M215" t="s">
        <v>666</v>
      </c>
    </row>
    <row r="216" spans="1:13" x14ac:dyDescent="0.3">
      <c r="A216" s="33" t="s">
        <v>544</v>
      </c>
      <c r="B216" s="1">
        <f>(Vpullup-Vcomp_max)/Icomp_sink_max</f>
        <v>2687.4999999999995</v>
      </c>
      <c r="C216" s="2" t="s">
        <v>35</v>
      </c>
      <c r="E216" t="s">
        <v>551</v>
      </c>
    </row>
    <row r="217" spans="1:13" x14ac:dyDescent="0.3">
      <c r="A217" s="33" t="s">
        <v>550</v>
      </c>
      <c r="B217" s="3">
        <f>'Design Converter'!H77*1000</f>
        <v>4990</v>
      </c>
      <c r="C217" s="2" t="s">
        <v>35</v>
      </c>
      <c r="E217" t="s">
        <v>552</v>
      </c>
    </row>
    <row r="218" spans="1:13" x14ac:dyDescent="0.3">
      <c r="A218" s="33" t="s">
        <v>561</v>
      </c>
      <c r="B218" s="18">
        <f>1/(2*PI()*Copto*Rpullup)</f>
        <v>9665.0842953722804</v>
      </c>
      <c r="C218" s="2" t="s">
        <v>61</v>
      </c>
      <c r="E218" t="s">
        <v>563</v>
      </c>
      <c r="M218" t="s">
        <v>667</v>
      </c>
    </row>
    <row r="219" spans="1:13" x14ac:dyDescent="0.3">
      <c r="A219" s="33" t="s">
        <v>567</v>
      </c>
      <c r="B219" s="18">
        <f>((VOUT1-Vref_iso-Vd_opto)/(Vpullup-VCE_sat))*(kopto_min*Rpullup)</f>
        <v>118973.69696969696</v>
      </c>
      <c r="C219" s="2" t="s">
        <v>35</v>
      </c>
      <c r="E219" t="s">
        <v>568</v>
      </c>
    </row>
    <row r="220" spans="1:13" x14ac:dyDescent="0.3">
      <c r="A220" s="33" t="s">
        <v>558</v>
      </c>
      <c r="B220" s="3">
        <f>'Design Converter'!H79*1000</f>
        <v>1000</v>
      </c>
      <c r="C220" s="2" t="s">
        <v>35</v>
      </c>
      <c r="E220" t="s">
        <v>571</v>
      </c>
    </row>
    <row r="221" spans="1:13" x14ac:dyDescent="0.3">
      <c r="A221" s="33"/>
    </row>
    <row r="222" spans="1:13" x14ac:dyDescent="0.3">
      <c r="A222" s="33" t="s">
        <v>554</v>
      </c>
      <c r="E222">
        <f>NS1_</f>
        <v>10</v>
      </c>
      <c r="F222">
        <f>Np</f>
        <v>1</v>
      </c>
      <c r="G222">
        <f>Gcomp</f>
        <v>0.14199999999999999</v>
      </c>
      <c r="K222">
        <f>fcross_iso</f>
        <v>4000</v>
      </c>
    </row>
    <row r="223" spans="1:13" x14ac:dyDescent="0.3">
      <c r="A223" s="33" t="s">
        <v>560</v>
      </c>
      <c r="B223">
        <f>fz_rhp/5</f>
        <v>4125.2961249419277</v>
      </c>
      <c r="C223" t="s">
        <v>61</v>
      </c>
    </row>
    <row r="224" spans="1:13" x14ac:dyDescent="0.3">
      <c r="A224" s="33" t="s">
        <v>561</v>
      </c>
      <c r="B224">
        <f>fopto</f>
        <v>9665.0842953722804</v>
      </c>
      <c r="C224" t="s">
        <v>61</v>
      </c>
      <c r="E224" t="s">
        <v>562</v>
      </c>
    </row>
    <row r="225" spans="1:11" x14ac:dyDescent="0.3">
      <c r="A225" s="33" t="s">
        <v>565</v>
      </c>
      <c r="B225" s="1">
        <f>IF(B223&lt;B224,B223,B224)</f>
        <v>4125.2961249419277</v>
      </c>
      <c r="C225" t="s">
        <v>61</v>
      </c>
      <c r="E225" t="s">
        <v>555</v>
      </c>
    </row>
    <row r="226" spans="1:11" x14ac:dyDescent="0.3">
      <c r="A226" s="33" t="s">
        <v>564</v>
      </c>
      <c r="B226" s="3">
        <f>'Design Converter'!H83*1000</f>
        <v>4000</v>
      </c>
      <c r="C226" t="s">
        <v>61</v>
      </c>
      <c r="E226" t="s">
        <v>566</v>
      </c>
    </row>
    <row r="227" spans="1:11" x14ac:dyDescent="0.3">
      <c r="A227" s="33"/>
    </row>
    <row r="228" spans="1:11" x14ac:dyDescent="0.3">
      <c r="A228" s="33" t="s">
        <v>572</v>
      </c>
      <c r="B228" s="18">
        <f>(NS1_/Np)*(2*PI()*Acs*Cout_total*RLED*R_cs*fcross_iso)/(Gcomp*(1-Dc_VIN_min)*kopto_max)</f>
        <v>1474.9261284459126</v>
      </c>
      <c r="C228" s="2" t="s">
        <v>35</v>
      </c>
      <c r="E228" t="s">
        <v>576</v>
      </c>
    </row>
    <row r="229" spans="1:11" x14ac:dyDescent="0.3">
      <c r="A229" s="33" t="s">
        <v>573</v>
      </c>
      <c r="B229" s="3">
        <f>'Design Converter'!H86*1000</f>
        <v>236000</v>
      </c>
      <c r="C229" s="2" t="s">
        <v>35</v>
      </c>
      <c r="E229" t="s">
        <v>574</v>
      </c>
      <c r="K229">
        <f>Gcomp</f>
        <v>0.14199999999999999</v>
      </c>
    </row>
    <row r="230" spans="1:11" x14ac:dyDescent="0.3">
      <c r="A230" s="33" t="s">
        <v>575</v>
      </c>
      <c r="B230" s="1">
        <f>SQRT(((VOUT1^2)*Cout_total)/(2*PI()*(Rcomp_iso^2)*POUT_Total*fcross_iso*(1+Dc_VIN_max)))</f>
        <v>4.118377261940245E-9</v>
      </c>
      <c r="C230" s="2" t="s">
        <v>151</v>
      </c>
      <c r="E230">
        <f>(2*PI()*(Rcomp_iso^2)*POUT_Total*fcross_iso*(1+Dc_VIN_max))</f>
        <v>1.5093421850335862E+17</v>
      </c>
      <c r="H230">
        <f>Acs</f>
        <v>1</v>
      </c>
    </row>
    <row r="231" spans="1:11" x14ac:dyDescent="0.3">
      <c r="A231" s="33" t="s">
        <v>577</v>
      </c>
      <c r="B231" s="3">
        <f>'Design Converter'!$H$87*(10^-9)</f>
        <v>4.8E-9</v>
      </c>
      <c r="C231" s="2" t="s">
        <v>151</v>
      </c>
      <c r="E231">
        <f>(1+Dc_VIN_max)</f>
        <v>1.3478260869565217</v>
      </c>
      <c r="H231">
        <f>(NS1_/Np)</f>
        <v>10</v>
      </c>
      <c r="I231">
        <f>R_cs</f>
        <v>6.0000000000000001E-3</v>
      </c>
    </row>
    <row r="232" spans="1:11" x14ac:dyDescent="0.3">
      <c r="A232" s="33"/>
      <c r="E232">
        <f>fcross_iso</f>
        <v>4000</v>
      </c>
      <c r="F232">
        <f>POUT_Total</f>
        <v>80</v>
      </c>
    </row>
    <row r="233" spans="1:11" x14ac:dyDescent="0.3">
      <c r="A233" s="33"/>
    </row>
    <row r="234" spans="1:11" x14ac:dyDescent="0.3">
      <c r="A234" s="33"/>
    </row>
    <row r="235" spans="1:11" x14ac:dyDescent="0.3">
      <c r="A235" s="33"/>
    </row>
    <row r="236" spans="1:11" x14ac:dyDescent="0.3">
      <c r="A236" s="158" t="s">
        <v>532</v>
      </c>
    </row>
    <row r="237" spans="1:11" x14ac:dyDescent="0.3">
      <c r="A237" t="s">
        <v>243</v>
      </c>
    </row>
    <row r="238" spans="1:11" x14ac:dyDescent="0.3">
      <c r="A238" t="s">
        <v>178</v>
      </c>
      <c r="B238" s="3">
        <f>'Design Converter'!H63*(10^3)</f>
        <v>100000</v>
      </c>
      <c r="C238" s="2" t="s">
        <v>35</v>
      </c>
      <c r="E238" t="s">
        <v>229</v>
      </c>
    </row>
    <row r="239" spans="1:11" x14ac:dyDescent="0.3">
      <c r="A239" t="s">
        <v>233</v>
      </c>
      <c r="B239" s="18">
        <f>(RFBT*Vref)/(VOUT1-Vref)</f>
        <v>628.93081761006295</v>
      </c>
      <c r="C239" s="2" t="s">
        <v>35</v>
      </c>
      <c r="E239" t="s">
        <v>236</v>
      </c>
    </row>
    <row r="240" spans="1:11" x14ac:dyDescent="0.3">
      <c r="A240" t="s">
        <v>179</v>
      </c>
      <c r="B240" s="3">
        <f>'Design Converter'!H65*(10^3)</f>
        <v>630</v>
      </c>
      <c r="C240" s="2" t="s">
        <v>35</v>
      </c>
      <c r="E240" t="s">
        <v>237</v>
      </c>
    </row>
    <row r="241" spans="1:5" x14ac:dyDescent="0.3">
      <c r="A241" t="s">
        <v>238</v>
      </c>
      <c r="B241" s="1">
        <f>VOUT1/(RFBB+RFBT)</f>
        <v>1.5899831064294942E-3</v>
      </c>
      <c r="C241" s="2" t="s">
        <v>12</v>
      </c>
      <c r="E241" t="s">
        <v>239</v>
      </c>
    </row>
    <row r="242" spans="1:5" x14ac:dyDescent="0.3">
      <c r="C242" s="2"/>
    </row>
    <row r="243" spans="1:5" x14ac:dyDescent="0.3">
      <c r="A243" s="32" t="s">
        <v>244</v>
      </c>
      <c r="E243" t="s">
        <v>386</v>
      </c>
    </row>
    <row r="249" spans="1:5" x14ac:dyDescent="0.3">
      <c r="A249" s="29" t="s">
        <v>557</v>
      </c>
    </row>
    <row r="252" spans="1:5" x14ac:dyDescent="0.3">
      <c r="A252" t="s">
        <v>245</v>
      </c>
      <c r="B252" s="17">
        <f>IF(B189=0,fz_rhp/5,Fsw/10)</f>
        <v>4125.2961249419277</v>
      </c>
      <c r="C252" t="s">
        <v>61</v>
      </c>
      <c r="E252" t="s">
        <v>250</v>
      </c>
    </row>
    <row r="253" spans="1:5" x14ac:dyDescent="0.3">
      <c r="A253" t="s">
        <v>247</v>
      </c>
      <c r="B253" s="3">
        <f>'Design Converter'!H83*1000</f>
        <v>4000</v>
      </c>
      <c r="C253" t="s">
        <v>61</v>
      </c>
      <c r="E253" t="s">
        <v>248</v>
      </c>
    </row>
    <row r="255" spans="1:5" x14ac:dyDescent="0.3">
      <c r="A255" t="s">
        <v>256</v>
      </c>
      <c r="B255" s="20">
        <f>Gplant_fc_dB</f>
        <v>-9.2351805300121104</v>
      </c>
      <c r="C255" t="s">
        <v>228</v>
      </c>
      <c r="E255" t="s">
        <v>257</v>
      </c>
    </row>
    <row r="256" spans="1:5" x14ac:dyDescent="0.3">
      <c r="A256" t="s">
        <v>252</v>
      </c>
      <c r="B256" s="20">
        <f>10^(B255/20)</f>
        <v>0.34533529961688603</v>
      </c>
      <c r="C256" t="s">
        <v>144</v>
      </c>
      <c r="E256" t="s">
        <v>253</v>
      </c>
    </row>
    <row r="257" spans="1:5" x14ac:dyDescent="0.3">
      <c r="A257" t="s">
        <v>258</v>
      </c>
      <c r="B257" s="20">
        <f>1/B256</f>
        <v>2.8957364078024952</v>
      </c>
      <c r="C257" t="s">
        <v>144</v>
      </c>
      <c r="E257" t="s">
        <v>259</v>
      </c>
    </row>
    <row r="259" spans="1:5" x14ac:dyDescent="0.3">
      <c r="A259" t="s">
        <v>265</v>
      </c>
      <c r="B259">
        <f>fcross/10</f>
        <v>400</v>
      </c>
      <c r="C259" t="s">
        <v>61</v>
      </c>
      <c r="E259" t="s">
        <v>263</v>
      </c>
    </row>
    <row r="260" spans="1:5" x14ac:dyDescent="0.3">
      <c r="A260" t="s">
        <v>266</v>
      </c>
      <c r="B260" s="52">
        <f>SQRT(B181*fcross)</f>
        <v>180.62879984608918</v>
      </c>
      <c r="C260" t="s">
        <v>61</v>
      </c>
      <c r="E260" t="s">
        <v>264</v>
      </c>
    </row>
    <row r="261" spans="1:5" x14ac:dyDescent="0.3">
      <c r="A261" t="s">
        <v>262</v>
      </c>
      <c r="B261" s="52">
        <f>B260</f>
        <v>180.62879984608918</v>
      </c>
      <c r="C261" t="s">
        <v>61</v>
      </c>
    </row>
    <row r="263" spans="1:5" x14ac:dyDescent="0.3">
      <c r="A263" t="s">
        <v>269</v>
      </c>
      <c r="B263" s="31">
        <f>fz_rhp</f>
        <v>20626.480624709639</v>
      </c>
      <c r="C263" t="s">
        <v>61</v>
      </c>
      <c r="E263" t="s">
        <v>415</v>
      </c>
    </row>
    <row r="264" spans="1:5" x14ac:dyDescent="0.3">
      <c r="E264" t="s">
        <v>416</v>
      </c>
    </row>
    <row r="267" spans="1:5" x14ac:dyDescent="0.3">
      <c r="A267" t="s">
        <v>260</v>
      </c>
      <c r="B267" s="17">
        <f>(2*PI()*Acs*Cout_total*NS1_*R_cs*VOUT1*fcross)/(Gcomp*Np*gm_ea*(1-Dc_VIN_min))</f>
        <v>235988.18055134601</v>
      </c>
      <c r="C267" s="2" t="s">
        <v>35</v>
      </c>
      <c r="E267" t="s">
        <v>261</v>
      </c>
    </row>
    <row r="268" spans="1:5" x14ac:dyDescent="0.3">
      <c r="A268" t="s">
        <v>168</v>
      </c>
      <c r="B268" s="3">
        <f>'Design Converter'!H86*1000</f>
        <v>236000</v>
      </c>
      <c r="C268" s="2" t="s">
        <v>35</v>
      </c>
      <c r="E268" t="s">
        <v>175</v>
      </c>
    </row>
    <row r="269" spans="1:5" x14ac:dyDescent="0.3">
      <c r="A269" t="s">
        <v>267</v>
      </c>
      <c r="B269" s="13">
        <f>SQRT((Cout_total*(VOUT1^2))/(2*PI()*(RCOMP^2)*fcross*POUT_Total*(1+Dc_VIN_min)))</f>
        <v>3.7335427830940301E-9</v>
      </c>
      <c r="C269" s="2" t="s">
        <v>151</v>
      </c>
    </row>
    <row r="270" spans="1:5" x14ac:dyDescent="0.3">
      <c r="A270" t="s">
        <v>173</v>
      </c>
      <c r="B270" s="3">
        <f>'Design Converter'!H87*(10^-9)</f>
        <v>4.8E-9</v>
      </c>
      <c r="C270" t="s">
        <v>151</v>
      </c>
      <c r="E270" t="s">
        <v>176</v>
      </c>
    </row>
    <row r="271" spans="1:5" x14ac:dyDescent="0.3">
      <c r="A271" t="s">
        <v>268</v>
      </c>
      <c r="B271" s="13">
        <f>(Dc_VIN_min*Lm*(NS1_^2)*POUT_Total)/((Np^2)*RCOMP*(VOUT1^2)*(1-Dc_VIN_min)^2)</f>
        <v>3.2695124503034106E-11</v>
      </c>
      <c r="C271" t="s">
        <v>151</v>
      </c>
    </row>
    <row r="272" spans="1:5" x14ac:dyDescent="0.3">
      <c r="A272" t="s">
        <v>174</v>
      </c>
      <c r="B272" s="3">
        <f>'Design Converter'!H88*(10^-12)</f>
        <v>3.3000000000000002E-11</v>
      </c>
      <c r="C272" t="s">
        <v>151</v>
      </c>
      <c r="E272" t="s">
        <v>177</v>
      </c>
    </row>
    <row r="275" spans="1:8" x14ac:dyDescent="0.3">
      <c r="A275" s="29" t="s">
        <v>330</v>
      </c>
    </row>
    <row r="277" spans="1:8" x14ac:dyDescent="0.3">
      <c r="A277" s="29" t="s">
        <v>345</v>
      </c>
    </row>
    <row r="278" spans="1:8" ht="15.6" x14ac:dyDescent="0.35">
      <c r="A278" t="s">
        <v>353</v>
      </c>
      <c r="B278" s="3">
        <f>'Design Converter'!H93*(10^-3)</f>
        <v>0</v>
      </c>
      <c r="C278" s="2" t="s">
        <v>35</v>
      </c>
      <c r="E278" s="73" t="s">
        <v>333</v>
      </c>
    </row>
    <row r="279" spans="1:8" ht="15.6" x14ac:dyDescent="0.35">
      <c r="A279" t="s">
        <v>346</v>
      </c>
      <c r="B279" s="3">
        <f>'Design Converter'!H94*(10^-9)</f>
        <v>3.5000000000000002E-8</v>
      </c>
      <c r="C279" t="s">
        <v>151</v>
      </c>
      <c r="E279" s="73" t="s">
        <v>334</v>
      </c>
    </row>
    <row r="280" spans="1:8" ht="15.6" x14ac:dyDescent="0.35">
      <c r="A280" t="s">
        <v>348</v>
      </c>
      <c r="B280" s="3">
        <f>'Design Converter'!H95*(10^-9)</f>
        <v>4.9000000000000009E-9</v>
      </c>
      <c r="C280" t="s">
        <v>151</v>
      </c>
      <c r="E280" s="73" t="s">
        <v>335</v>
      </c>
    </row>
    <row r="281" spans="1:8" ht="15.6" x14ac:dyDescent="0.35">
      <c r="A281" t="s">
        <v>347</v>
      </c>
      <c r="B281" s="3">
        <f>'Design Converter'!H96*(10^-9)</f>
        <v>7.9000000000000013E-9</v>
      </c>
      <c r="C281" t="s">
        <v>151</v>
      </c>
      <c r="E281" s="73" t="s">
        <v>336</v>
      </c>
    </row>
    <row r="282" spans="1:8" ht="15.6" x14ac:dyDescent="0.35">
      <c r="A282" t="s">
        <v>349</v>
      </c>
      <c r="B282" s="3">
        <f>'Design Converter'!H97</f>
        <v>1.5</v>
      </c>
      <c r="C282" s="2" t="s">
        <v>35</v>
      </c>
      <c r="E282" s="73" t="s">
        <v>337</v>
      </c>
    </row>
    <row r="283" spans="1:8" x14ac:dyDescent="0.3">
      <c r="A283" t="s">
        <v>354</v>
      </c>
      <c r="B283" s="12">
        <v>1.5</v>
      </c>
      <c r="C283" s="2"/>
      <c r="E283" s="73" t="s">
        <v>355</v>
      </c>
      <c r="H283" t="s">
        <v>364</v>
      </c>
    </row>
    <row r="284" spans="1:8" ht="15.6" x14ac:dyDescent="0.35">
      <c r="A284" t="s">
        <v>350</v>
      </c>
      <c r="B284" s="12">
        <v>50</v>
      </c>
      <c r="C284" s="2" t="s">
        <v>342</v>
      </c>
      <c r="E284" s="194" t="s">
        <v>669</v>
      </c>
    </row>
    <row r="285" spans="1:8" ht="15.6" x14ac:dyDescent="0.35">
      <c r="A285" t="s">
        <v>351</v>
      </c>
      <c r="B285" s="3">
        <f>'Design Converter'!H98</f>
        <v>1.7</v>
      </c>
      <c r="C285" s="2" t="s">
        <v>11</v>
      </c>
      <c r="E285" s="73" t="s">
        <v>338</v>
      </c>
    </row>
    <row r="286" spans="1:8" x14ac:dyDescent="0.3">
      <c r="A286" t="s">
        <v>360</v>
      </c>
      <c r="B286" s="12">
        <f>Vcc</f>
        <v>6.75</v>
      </c>
      <c r="C286" s="2" t="s">
        <v>11</v>
      </c>
      <c r="E286" s="73" t="s">
        <v>365</v>
      </c>
    </row>
    <row r="287" spans="1:8" x14ac:dyDescent="0.3">
      <c r="C287" s="2"/>
      <c r="E287" s="73"/>
    </row>
    <row r="288" spans="1:8" x14ac:dyDescent="0.3">
      <c r="C288" s="2"/>
      <c r="E288" s="73"/>
    </row>
    <row r="289" spans="1:5" x14ac:dyDescent="0.3">
      <c r="A289" t="s">
        <v>356</v>
      </c>
      <c r="B289" s="26">
        <f>Vth+(((VOUT1*IOUT1)/VIN_min)/gfs)</f>
        <v>1.8777777777777778</v>
      </c>
      <c r="C289" s="2" t="s">
        <v>11</v>
      </c>
      <c r="E289" s="73" t="s">
        <v>357</v>
      </c>
    </row>
    <row r="290" spans="1:5" x14ac:dyDescent="0.3">
      <c r="A290" t="s">
        <v>366</v>
      </c>
      <c r="B290" s="1">
        <f>(Qgd+(Qgs/2))*((Rgate+B283)/(Vcc-B289))</f>
        <v>5.4492588369441298E-9</v>
      </c>
      <c r="C290" s="2" t="s">
        <v>47</v>
      </c>
      <c r="E290" s="73" t="s">
        <v>358</v>
      </c>
    </row>
    <row r="291" spans="1:5" ht="15" thickBot="1" x14ac:dyDescent="0.35">
      <c r="A291" t="s">
        <v>367</v>
      </c>
      <c r="B291" s="1">
        <f>(Qgd+(Qgs/2))*((B283+Rgate)/B289)</f>
        <v>1.4139053254437872E-8</v>
      </c>
      <c r="C291" t="s">
        <v>47</v>
      </c>
      <c r="E291" s="74" t="s">
        <v>359</v>
      </c>
    </row>
  </sheetData>
  <mergeCells count="2">
    <mergeCell ref="A1:J1"/>
    <mergeCell ref="E5:H5"/>
  </mergeCells>
  <conditionalFormatting sqref="Q11:U17">
    <cfRule type="expression" priority="1">
      <formula>$B$23=0</formula>
    </cfRule>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Mathcad" shapeId="2053" r:id="rId4">
          <objectPr defaultSize="0" autoPict="0" r:id="rId5">
            <anchor moveWithCells="1">
              <from>
                <xdr:col>8</xdr:col>
                <xdr:colOff>60960</xdr:colOff>
                <xdr:row>129</xdr:row>
                <xdr:rowOff>137160</xdr:rowOff>
              </from>
              <to>
                <xdr:col>13</xdr:col>
                <xdr:colOff>160020</xdr:colOff>
                <xdr:row>132</xdr:row>
                <xdr:rowOff>22860</xdr:rowOff>
              </to>
            </anchor>
          </objectPr>
        </oleObject>
      </mc:Choice>
      <mc:Fallback>
        <oleObject progId="Mathcad" shapeId="205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X708"/>
  <sheetViews>
    <sheetView topLeftCell="A37" zoomScale="55" zoomScaleNormal="55" workbookViewId="0">
      <selection activeCell="H35" sqref="H35"/>
    </sheetView>
  </sheetViews>
  <sheetFormatPr baseColWidth="10" defaultColWidth="8.88671875" defaultRowHeight="14.4" x14ac:dyDescent="0.3"/>
  <cols>
    <col min="1" max="1" width="13.109375" customWidth="1"/>
    <col min="2" max="2" width="25" customWidth="1"/>
    <col min="15" max="15" width="16.6640625" style="35" bestFit="1" customWidth="1"/>
    <col min="16" max="16" width="16.6640625" customWidth="1"/>
    <col min="33" max="33" width="10.109375" customWidth="1"/>
    <col min="34" max="34" width="12" bestFit="1" customWidth="1"/>
    <col min="45" max="45" width="9.109375" customWidth="1"/>
  </cols>
  <sheetData>
    <row r="1" spans="1:50" ht="28.2" x14ac:dyDescent="0.5">
      <c r="A1" s="225" t="s">
        <v>16</v>
      </c>
      <c r="B1" s="225"/>
      <c r="C1" s="225"/>
      <c r="D1" s="225"/>
      <c r="E1" s="225"/>
      <c r="F1" s="225"/>
      <c r="G1" s="225"/>
      <c r="H1" s="225"/>
      <c r="I1" s="225"/>
      <c r="J1" s="225"/>
      <c r="K1" s="225"/>
      <c r="L1" s="225"/>
      <c r="M1" s="225"/>
      <c r="N1" s="225" t="s">
        <v>183</v>
      </c>
      <c r="O1" s="225"/>
      <c r="P1" s="225"/>
      <c r="Q1" s="225"/>
      <c r="R1" s="225"/>
      <c r="S1" s="225"/>
      <c r="T1" s="225"/>
      <c r="U1" s="225"/>
      <c r="V1" s="225"/>
      <c r="W1" s="225"/>
      <c r="X1" s="225"/>
    </row>
    <row r="2" spans="1:50" x14ac:dyDescent="0.3">
      <c r="A2" s="5"/>
      <c r="B2" s="5" t="s">
        <v>17</v>
      </c>
      <c r="C2" s="6"/>
      <c r="D2" s="4"/>
      <c r="E2" s="5"/>
      <c r="F2" s="5"/>
      <c r="G2" s="5"/>
      <c r="H2" s="5"/>
      <c r="I2" s="5"/>
      <c r="J2" s="5"/>
      <c r="K2" s="5"/>
      <c r="L2" s="5"/>
      <c r="M2" s="5"/>
      <c r="O2"/>
    </row>
    <row r="3" spans="1:50" ht="15" thickBot="1" x14ac:dyDescent="0.35">
      <c r="A3" s="5"/>
      <c r="B3" s="5" t="s">
        <v>18</v>
      </c>
      <c r="C3" s="9"/>
      <c r="D3" s="4"/>
      <c r="E3" s="5"/>
      <c r="F3" s="14"/>
      <c r="G3" s="15"/>
      <c r="H3" s="15"/>
      <c r="I3" s="15"/>
      <c r="J3" s="15"/>
      <c r="K3" s="25"/>
      <c r="L3" s="5"/>
      <c r="M3" s="5"/>
      <c r="O3"/>
    </row>
    <row r="4" spans="1:50" ht="15" thickBot="1" x14ac:dyDescent="0.35">
      <c r="A4" s="5"/>
      <c r="B4" s="5" t="s">
        <v>19</v>
      </c>
      <c r="C4" s="7"/>
      <c r="D4" s="4"/>
      <c r="E4" s="5"/>
      <c r="F4" s="14"/>
      <c r="G4" s="15"/>
      <c r="H4" s="15"/>
      <c r="I4" s="15"/>
      <c r="J4" s="15"/>
      <c r="K4" s="25"/>
      <c r="L4" s="5"/>
      <c r="M4" s="5"/>
      <c r="N4" s="62"/>
      <c r="O4" s="68"/>
      <c r="P4" s="228" t="s">
        <v>214</v>
      </c>
      <c r="Q4" s="228"/>
      <c r="R4" s="228"/>
      <c r="S4" s="228"/>
      <c r="T4" s="228"/>
      <c r="U4" s="228"/>
      <c r="V4" s="228"/>
      <c r="W4" s="228"/>
      <c r="X4" s="228"/>
      <c r="Y4" s="228"/>
      <c r="Z4" s="228"/>
      <c r="AA4" s="228"/>
      <c r="AB4" s="228"/>
      <c r="AC4" s="228"/>
      <c r="AD4" s="228"/>
      <c r="AE4" s="229"/>
      <c r="AF4" s="227" t="s">
        <v>215</v>
      </c>
      <c r="AG4" s="228"/>
      <c r="AH4" s="228"/>
      <c r="AI4" s="228"/>
      <c r="AJ4" s="228"/>
      <c r="AK4" s="228"/>
      <c r="AL4" s="228"/>
      <c r="AM4" s="228"/>
      <c r="AN4" s="228"/>
      <c r="AO4" s="228"/>
      <c r="AP4" s="228"/>
      <c r="AQ4" s="228"/>
      <c r="AR4" s="228"/>
      <c r="AS4" s="228"/>
      <c r="AT4" s="228"/>
      <c r="AU4" s="229"/>
      <c r="AV4" s="227" t="s">
        <v>226</v>
      </c>
      <c r="AW4" s="228"/>
      <c r="AX4" s="229"/>
    </row>
    <row r="5" spans="1:50" x14ac:dyDescent="0.3">
      <c r="A5" s="5"/>
      <c r="D5" s="4"/>
      <c r="E5" s="5"/>
      <c r="F5" s="5"/>
      <c r="G5" s="5"/>
      <c r="H5" s="5"/>
      <c r="I5" s="5"/>
      <c r="J5" s="5"/>
      <c r="K5" s="5"/>
      <c r="L5" s="5"/>
      <c r="M5" s="5"/>
      <c r="N5" s="42"/>
      <c r="O5" s="44"/>
      <c r="Q5" s="230" t="s">
        <v>206</v>
      </c>
      <c r="R5" s="230"/>
      <c r="S5" s="230"/>
      <c r="T5" s="231" t="s">
        <v>208</v>
      </c>
      <c r="U5" s="231"/>
      <c r="V5" s="231"/>
      <c r="W5" s="231" t="s">
        <v>208</v>
      </c>
      <c r="X5" s="231"/>
      <c r="Y5" s="231"/>
      <c r="Z5" s="231" t="s">
        <v>211</v>
      </c>
      <c r="AA5" s="231"/>
      <c r="AB5" s="231"/>
      <c r="AC5" s="232" t="s">
        <v>213</v>
      </c>
      <c r="AD5" s="231"/>
      <c r="AE5" s="233"/>
      <c r="AG5" s="231" t="s">
        <v>222</v>
      </c>
      <c r="AH5" s="231"/>
      <c r="AI5" s="231"/>
      <c r="AJ5" s="234" t="s">
        <v>223</v>
      </c>
      <c r="AK5" s="234"/>
      <c r="AL5" s="234"/>
      <c r="AM5" s="234" t="s">
        <v>578</v>
      </c>
      <c r="AN5" s="234"/>
      <c r="AO5" s="234"/>
      <c r="AP5" s="231" t="s">
        <v>579</v>
      </c>
      <c r="AQ5" s="231"/>
      <c r="AR5" s="231"/>
      <c r="AS5" s="232" t="s">
        <v>213</v>
      </c>
      <c r="AT5" s="231"/>
      <c r="AU5" s="233"/>
      <c r="AV5" s="232" t="s">
        <v>213</v>
      </c>
      <c r="AW5" s="231"/>
      <c r="AX5" s="233"/>
    </row>
    <row r="6" spans="1:50" ht="15" thickBot="1" x14ac:dyDescent="0.35">
      <c r="A6" s="8" t="s">
        <v>20</v>
      </c>
      <c r="B6" s="8" t="s">
        <v>21</v>
      </c>
      <c r="C6" s="8" t="s">
        <v>22</v>
      </c>
      <c r="D6" s="4"/>
      <c r="E6" s="226" t="s">
        <v>23</v>
      </c>
      <c r="F6" s="226"/>
      <c r="G6" s="226"/>
      <c r="H6" s="226"/>
      <c r="I6" s="226"/>
      <c r="J6" s="226"/>
      <c r="K6" s="226"/>
      <c r="L6" s="5"/>
      <c r="M6" s="8"/>
      <c r="N6" s="42"/>
      <c r="O6" s="44"/>
      <c r="P6" s="4" t="s">
        <v>189</v>
      </c>
      <c r="Q6" t="s">
        <v>212</v>
      </c>
      <c r="R6" s="4" t="s">
        <v>209</v>
      </c>
      <c r="S6" s="4" t="s">
        <v>210</v>
      </c>
      <c r="T6" s="4" t="s">
        <v>212</v>
      </c>
      <c r="U6" s="4" t="s">
        <v>209</v>
      </c>
      <c r="V6" s="4" t="s">
        <v>210</v>
      </c>
      <c r="W6" s="4" t="s">
        <v>212</v>
      </c>
      <c r="X6" s="4" t="s">
        <v>209</v>
      </c>
      <c r="Y6" s="4" t="s">
        <v>210</v>
      </c>
      <c r="Z6" s="4" t="s">
        <v>212</v>
      </c>
      <c r="AA6" s="4" t="s">
        <v>209</v>
      </c>
      <c r="AB6" s="4" t="s">
        <v>210</v>
      </c>
      <c r="AC6" s="48" t="s">
        <v>227</v>
      </c>
      <c r="AD6" s="4" t="s">
        <v>209</v>
      </c>
      <c r="AE6" s="61" t="s">
        <v>210</v>
      </c>
      <c r="AF6" s="4" t="s">
        <v>224</v>
      </c>
      <c r="AG6" s="4" t="s">
        <v>212</v>
      </c>
      <c r="AH6" s="4" t="s">
        <v>225</v>
      </c>
      <c r="AI6" s="4" t="s">
        <v>210</v>
      </c>
      <c r="AJ6" s="4" t="s">
        <v>212</v>
      </c>
      <c r="AK6" s="4" t="s">
        <v>225</v>
      </c>
      <c r="AL6" s="4" t="s">
        <v>210</v>
      </c>
      <c r="AM6" s="4" t="s">
        <v>212</v>
      </c>
      <c r="AN6" s="4" t="s">
        <v>225</v>
      </c>
      <c r="AO6" s="4" t="s">
        <v>210</v>
      </c>
      <c r="AP6" s="4" t="s">
        <v>212</v>
      </c>
      <c r="AQ6" s="4" t="s">
        <v>225</v>
      </c>
      <c r="AR6" s="4" t="s">
        <v>210</v>
      </c>
      <c r="AS6" s="48" t="s">
        <v>227</v>
      </c>
      <c r="AT6" s="4" t="s">
        <v>209</v>
      </c>
      <c r="AU6" s="61" t="s">
        <v>210</v>
      </c>
      <c r="AV6" s="48" t="s">
        <v>227</v>
      </c>
      <c r="AW6" s="4" t="s">
        <v>209</v>
      </c>
      <c r="AX6" s="61" t="s">
        <v>210</v>
      </c>
    </row>
    <row r="7" spans="1:50" ht="15" thickBot="1" x14ac:dyDescent="0.35">
      <c r="A7" s="8"/>
      <c r="B7" s="8"/>
      <c r="C7" s="8"/>
      <c r="D7" s="4"/>
      <c r="E7" s="5"/>
      <c r="F7" s="5"/>
      <c r="G7" s="5"/>
      <c r="H7" s="5"/>
      <c r="I7" s="5"/>
      <c r="J7" s="5"/>
      <c r="K7" s="5"/>
      <c r="L7" s="5"/>
      <c r="M7" s="8"/>
      <c r="N7" t="s">
        <v>395</v>
      </c>
      <c r="O7" s="68">
        <f>fcross</f>
        <v>4000</v>
      </c>
      <c r="P7" s="34" t="str">
        <f t="shared" ref="P7:P13" si="0">COMPLEX(Adc,0)</f>
        <v>324,571428571429</v>
      </c>
      <c r="Q7" s="4" t="str">
        <f t="shared" ref="Q7" si="1">IMSUM(COMPLEX(1,0),IMDIV(COMPLEX(0,2*PI()*O7),COMPLEX(wp_lf,0)))</f>
        <v>1+574,462656656418i</v>
      </c>
      <c r="R7" s="4">
        <f t="shared" ref="R7" si="2">IMABS(Q7)</f>
        <v>574.46352703435355</v>
      </c>
      <c r="S7" s="4">
        <f t="shared" ref="S7" si="3">IMARGUMENT(Q7)</f>
        <v>1.5690555713631273</v>
      </c>
      <c r="T7" s="4" t="str">
        <f t="shared" ref="T7" si="4">IMSUM(COMPLEX(1,0),IMDIV(COMPLEX(0,2*PI()*O7),COMPLEX(wz_esr,0)))</f>
        <v>1+0,00502654824574366i</v>
      </c>
      <c r="U7" s="4">
        <f t="shared" ref="U7" si="5">IMABS(T7)</f>
        <v>1.0000126330138368</v>
      </c>
      <c r="V7" s="4">
        <f t="shared" ref="V7" si="6">IMARGUMENT(T7)</f>
        <v>5.0265059124823246E-3</v>
      </c>
      <c r="W7" t="str">
        <f t="shared" ref="W7" si="7">IMSUB(COMPLEX(1,0),IMDIV(COMPLEX(0,2*PI()*O7),COMPLEX(wz_rhp,0)))</f>
        <v>1-0,0436332312998582i</v>
      </c>
      <c r="X7" s="4">
        <f t="shared" ref="X7" si="8">IMABS(W7)</f>
        <v>1.0009514767827994</v>
      </c>
      <c r="Y7" s="4">
        <f t="shared" ref="Y7" si="9">IMARGUMENT(W7)</f>
        <v>-4.3605572383328815E-2</v>
      </c>
      <c r="Z7" t="str">
        <f t="shared" ref="Z7" si="10">IMSUM(COMPLEX(1,0),IMDIV(COMPLEX(0,2*PI()*O7),COMPLEX(Q*(wsl/2),0)),IMDIV(IMPOWER(COMPLEX(0,2*PI()*O7),2),IMPOWER(COMPLEX(wsl/2,0),2)))</f>
        <v>0,999936+0,0374111325164984i</v>
      </c>
      <c r="AA7" s="4">
        <f t="shared" ref="AA7" si="11">IMABS(Z7)</f>
        <v>1.0006355964746443</v>
      </c>
      <c r="AB7" s="4">
        <f t="shared" ref="AB7" si="12">IMARGUMENT(Z7)</f>
        <v>3.7396084826395726E-2</v>
      </c>
      <c r="AC7" s="48" t="str">
        <f t="shared" ref="AC7" si="13">(IMDIV(IMPRODUCT(P7,T7,W7),IMPRODUCT(Q7,Z7)))</f>
        <v>-0,0419176197356772-0,563628111106649i</v>
      </c>
      <c r="AD7" s="20">
        <f t="shared" ref="AD7" si="14">20*LOG(IMABS(AC7))</f>
        <v>-4.9561922118985882</v>
      </c>
      <c r="AE7" s="44">
        <f t="shared" ref="AE7" si="15">(180/PI())*IMARGUMENT(AC7)</f>
        <v>-94.253317577795002</v>
      </c>
      <c r="AF7" t="str">
        <f t="shared" ref="AF7:AF13" si="16">COMPLEX(Adc_ea_iso,0)</f>
        <v>-20791,6666666667</v>
      </c>
      <c r="AG7" t="str">
        <f t="shared" ref="AG7" si="17">COMPLEX(0,1*2*PI()*O7)</f>
        <v>25132,7412287183i</v>
      </c>
      <c r="AH7">
        <f t="shared" ref="AH7" si="18">IMABS(AG7)</f>
        <v>25132.7412287183</v>
      </c>
      <c r="AI7">
        <f t="shared" ref="AI7" si="19">IMARGUMENT(AG7)</f>
        <v>1.5707963267948966</v>
      </c>
      <c r="AJ7" t="str">
        <f t="shared" ref="AJ7:AJ13" si="20">IMSUM(IMPRODUCT(COMPLEX(wpA_ea_iso,0),IMPOWER(COMPLEX(0,2*PI()*O7),2)),COMPLEX(0,wpB_ea_iso*2*PI()*O7),COMPLEX(1,0))</f>
        <v>-10,782771218053+29,4862095316157i</v>
      </c>
      <c r="AK7">
        <f t="shared" ref="AK7" si="21">IMABS(AJ7)</f>
        <v>31.395934572540067</v>
      </c>
      <c r="AL7">
        <f t="shared" ref="AL7" si="22">IMARGUMENT(AJ7)</f>
        <v>1.9213787096363237</v>
      </c>
      <c r="AM7" t="str">
        <f t="shared" ref="AM7:AM13" si="23">IMSUM(COMPLEX(1,0),IMDIV(COMPLEX(0,2*PI()*O7),COMPLEX(wz1_ea_iso,0)))</f>
        <v>1+40,5340850536768i</v>
      </c>
      <c r="AN7">
        <f t="shared" ref="AN7:AN13" si="24">IMABS(AM7)</f>
        <v>40.546418474862918</v>
      </c>
      <c r="AO7">
        <f t="shared" ref="AO7" si="25">IMARGUMENT(AM7)</f>
        <v>1.5461307350266076</v>
      </c>
      <c r="AP7" t="str">
        <f t="shared" ref="AP7:AP13" si="26">IMSUM(COMPLEX(1,0),IMDIV(COMPLEX(0,2*PI()*O7),COMPLEX(wz2_ea_iso,0)))</f>
        <v>1+28,4703692638921i</v>
      </c>
      <c r="AQ7">
        <f t="shared" ref="AQ7" si="27">IMABS(AP7)</f>
        <v>28.487925969125449</v>
      </c>
      <c r="AR7">
        <f t="shared" ref="AR7" si="28">IMARGUMENT(AP7)</f>
        <v>1.5356865234224073</v>
      </c>
      <c r="AS7" s="42" t="str">
        <f t="shared" ref="AS7" si="29">IMDIV(IMPRODUCT(AF7,AM7,AP7),IMPRODUCT(AG7,AJ7))</f>
        <v>-27,9092616258184+12,1421094356704i</v>
      </c>
      <c r="AT7">
        <f t="shared" ref="AT7" si="30">20*LOG(IMABS(AS7))</f>
        <v>29.667787186091118</v>
      </c>
      <c r="AU7" s="44">
        <f t="shared" ref="AU7" si="31">(180/PI())*IMARGUMENT(AS7)</f>
        <v>156.4882312312532</v>
      </c>
      <c r="AV7" s="42" t="str">
        <f>IMPRODUCT(AC7,AS7)</f>
        <v>8,01352402201171+15,2214760864279i</v>
      </c>
      <c r="AW7" s="20">
        <f t="shared" ref="AW7" si="32">20*LOG(IMABS(AV7))</f>
        <v>24.711594974192529</v>
      </c>
      <c r="AX7" s="44">
        <f t="shared" ref="AX7" si="33">(180/PI())*IMARGUMENT(AV7)</f>
        <v>62.234913653458186</v>
      </c>
    </row>
    <row r="8" spans="1:50" ht="15" thickBot="1" x14ac:dyDescent="0.35">
      <c r="A8" s="8"/>
      <c r="B8" s="8"/>
      <c r="C8" s="8"/>
      <c r="D8" s="4"/>
      <c r="E8" s="5"/>
      <c r="F8" s="5"/>
      <c r="G8" s="5"/>
      <c r="H8" s="5"/>
      <c r="I8" s="5"/>
      <c r="J8" s="5"/>
      <c r="K8" s="5"/>
      <c r="L8" s="5"/>
      <c r="M8" s="8"/>
      <c r="N8" s="62" t="s">
        <v>254</v>
      </c>
      <c r="O8" s="68">
        <f>fcross</f>
        <v>4000</v>
      </c>
      <c r="P8" s="34" t="str">
        <f t="shared" si="0"/>
        <v>324,571428571429</v>
      </c>
      <c r="Q8" s="4" t="str">
        <f t="shared" ref="Q8:Q13" si="34">IMSUM(COMPLEX(1,0),IMDIV(COMPLEX(0,2*PI()*O8),COMPLEX(wp_lf,0)))</f>
        <v>1+574,462656656418i</v>
      </c>
      <c r="R8" s="4">
        <f t="shared" ref="R8:R13" si="35">IMABS(Q8)</f>
        <v>574.46352703435355</v>
      </c>
      <c r="S8" s="4">
        <f t="shared" ref="S8:S13" si="36">IMARGUMENT(Q8)</f>
        <v>1.5690555713631273</v>
      </c>
      <c r="T8" s="4" t="str">
        <f t="shared" ref="T8:T13" si="37">IMSUM(COMPLEX(1,0),IMDIV(COMPLEX(0,2*PI()*O8),COMPLEX(wz_esr,0)))</f>
        <v>1+0,00502654824574366i</v>
      </c>
      <c r="U8" s="4">
        <f t="shared" ref="U8:U13" si="38">IMABS(T8)</f>
        <v>1.0000126330138368</v>
      </c>
      <c r="V8" s="4">
        <f t="shared" ref="V8:V13" si="39">IMARGUMENT(T8)</f>
        <v>5.0265059124823246E-3</v>
      </c>
      <c r="W8" t="str">
        <f t="shared" ref="W8:W13" si="40">IMSUB(COMPLEX(1,0),IMDIV(COMPLEX(0,2*PI()*O8),COMPLEX(wz_rhp,0)))</f>
        <v>1-0,0436332312998582i</v>
      </c>
      <c r="X8" s="4">
        <f t="shared" ref="X8:X13" si="41">IMABS(W8)</f>
        <v>1.0009514767827994</v>
      </c>
      <c r="Y8" s="4">
        <f t="shared" ref="Y8:Y13" si="42">IMARGUMENT(W8)</f>
        <v>-4.3605572383328815E-2</v>
      </c>
      <c r="Z8" t="str">
        <f t="shared" ref="Z8:Z13" si="43">IMSUM(COMPLEX(1,0),IMDIV(COMPLEX(0,2*PI()*O8),COMPLEX(Q*(wsl/2),0)),IMDIV(IMPOWER(COMPLEX(0,2*PI()*O8),2),IMPOWER(COMPLEX(wsl/2,0),2)))</f>
        <v>0,999936+0,0374111325164984i</v>
      </c>
      <c r="AA8" s="4">
        <f t="shared" ref="AA8:AA13" si="44">IMABS(Z8)</f>
        <v>1.0006355964746443</v>
      </c>
      <c r="AB8" s="4">
        <f t="shared" ref="AB8:AB13" si="45">IMARGUMENT(Z8)</f>
        <v>3.7396084826395726E-2</v>
      </c>
      <c r="AC8" s="48" t="str">
        <f t="shared" ref="AC8:AC13" si="46">(IMDIV(IMPRODUCT(P8,T8,W8),IMPRODUCT(Q8,Z8)))</f>
        <v>-0,0419176197356772-0,563628111106649i</v>
      </c>
      <c r="AD8" s="20">
        <f t="shared" ref="AD8:AD13" si="47">20*LOG(IMABS(AC8))</f>
        <v>-4.9561922118985882</v>
      </c>
      <c r="AE8" s="44">
        <f t="shared" ref="AE8:AE13" si="48">(180/PI())*IMARGUMENT(AC8)</f>
        <v>-94.253317577795002</v>
      </c>
      <c r="AF8" t="str">
        <f t="shared" si="16"/>
        <v>-20791,6666666667</v>
      </c>
      <c r="AG8" t="str">
        <f t="shared" ref="AG8:AG13" si="49">COMPLEX(0,1*2*PI()*O8)</f>
        <v>25132,7412287183i</v>
      </c>
      <c r="AH8">
        <f t="shared" ref="AH8:AH13" si="50">IMABS(AG8)</f>
        <v>25132.7412287183</v>
      </c>
      <c r="AI8">
        <f t="shared" ref="AI8:AI13" si="51">IMARGUMENT(AG8)</f>
        <v>1.5707963267948966</v>
      </c>
      <c r="AJ8" t="str">
        <f t="shared" si="20"/>
        <v>-10,782771218053+29,4862095316157i</v>
      </c>
      <c r="AK8">
        <f t="shared" ref="AK8:AK13" si="52">IMABS(AJ8)</f>
        <v>31.395934572540067</v>
      </c>
      <c r="AL8">
        <f t="shared" ref="AL8:AL13" si="53">IMARGUMENT(AJ8)</f>
        <v>1.9213787096363237</v>
      </c>
      <c r="AM8" t="str">
        <f t="shared" si="23"/>
        <v>1+40,5340850536768i</v>
      </c>
      <c r="AN8">
        <f t="shared" si="24"/>
        <v>40.546418474862918</v>
      </c>
      <c r="AO8">
        <f t="shared" ref="AO8:AO13" si="54">IMARGUMENT(AM8)</f>
        <v>1.5461307350266076</v>
      </c>
      <c r="AP8" t="str">
        <f t="shared" si="26"/>
        <v>1+28,4703692638921i</v>
      </c>
      <c r="AQ8">
        <f t="shared" ref="AQ8:AQ13" si="55">IMABS(AP8)</f>
        <v>28.487925969125449</v>
      </c>
      <c r="AR8">
        <f t="shared" ref="AR8:AR13" si="56">IMARGUMENT(AP8)</f>
        <v>1.5356865234224073</v>
      </c>
      <c r="AS8" s="42" t="str">
        <f t="shared" ref="AS8:AS13" si="57">IMDIV(IMPRODUCT(AF8,AM8,AP8),IMPRODUCT(AG8,AJ8))</f>
        <v>-27,9092616258184+12,1421094356704i</v>
      </c>
      <c r="AT8">
        <f t="shared" ref="AT8:AT13" si="58">20*LOG(IMABS(AS8))</f>
        <v>29.667787186091118</v>
      </c>
      <c r="AU8" s="44">
        <f t="shared" ref="AU8:AU13" si="59">(180/PI())*IMARGUMENT(AS8)</f>
        <v>156.4882312312532</v>
      </c>
      <c r="AV8" s="42" t="str">
        <f t="shared" ref="AV8:AV13" si="60">IMPRODUCT(AC8,AS8)</f>
        <v>8,01352402201171+15,2214760864279i</v>
      </c>
      <c r="AW8" s="20">
        <f t="shared" ref="AW8:AW13" si="61">20*LOG(IMABS(AV8))</f>
        <v>24.711594974192529</v>
      </c>
      <c r="AX8" s="44">
        <f t="shared" ref="AX8:AX13" si="62">(180/PI())*IMARGUMENT(AV8)</f>
        <v>62.234913653458186</v>
      </c>
    </row>
    <row r="9" spans="1:50" x14ac:dyDescent="0.3">
      <c r="A9" s="51" t="s">
        <v>159</v>
      </c>
      <c r="B9" s="8"/>
      <c r="C9" s="8"/>
      <c r="D9" s="4"/>
      <c r="E9" s="5"/>
      <c r="F9" s="5"/>
      <c r="G9" s="5"/>
      <c r="H9" s="5"/>
      <c r="I9" s="5"/>
      <c r="J9" s="5"/>
      <c r="K9" s="5"/>
      <c r="L9" s="5"/>
      <c r="M9" s="8"/>
      <c r="N9" s="53" t="s">
        <v>255</v>
      </c>
      <c r="O9" s="69">
        <f>wz_rhp/(2*PI())</f>
        <v>91673.24722093172</v>
      </c>
      <c r="P9" s="34" t="str">
        <f t="shared" si="0"/>
        <v>324,571428571429</v>
      </c>
      <c r="Q9" s="4" t="str">
        <f t="shared" si="34"/>
        <v>1+13165,7142857143i</v>
      </c>
      <c r="R9" s="4">
        <f t="shared" si="35"/>
        <v>13165.714323691729</v>
      </c>
      <c r="S9" s="4">
        <f t="shared" si="36"/>
        <v>1.5707203719339315</v>
      </c>
      <c r="T9" s="4" t="str">
        <f t="shared" si="37"/>
        <v>1+0,1152i</v>
      </c>
      <c r="U9" s="4">
        <f t="shared" si="38"/>
        <v>1.0066136498180422</v>
      </c>
      <c r="V9" s="4">
        <f t="shared" si="39"/>
        <v>0.1146944118078377</v>
      </c>
      <c r="W9" t="str">
        <f t="shared" si="40"/>
        <v>1-i</v>
      </c>
      <c r="X9" s="4">
        <f t="shared" si="41"/>
        <v>1.4142135623730951</v>
      </c>
      <c r="Y9" s="4">
        <f t="shared" si="42"/>
        <v>-0.78539816339744828</v>
      </c>
      <c r="Z9" t="str">
        <f t="shared" si="43"/>
        <v>0,96638406297588+0,857399999999999i</v>
      </c>
      <c r="AA9" s="4">
        <f t="shared" si="44"/>
        <v>1.2919105685664809</v>
      </c>
      <c r="AB9" s="4">
        <f t="shared" si="45"/>
        <v>0.72571203155201502</v>
      </c>
      <c r="AC9" s="48" t="str">
        <f t="shared" si="46"/>
        <v>-0,0267527562093434-0,00471512456211495i</v>
      </c>
      <c r="AD9" s="20">
        <f t="shared" si="47"/>
        <v>-31.319775565865157</v>
      </c>
      <c r="AE9" s="44">
        <f t="shared" si="48"/>
        <v>-170.00437892650393</v>
      </c>
      <c r="AF9" t="str">
        <f t="shared" si="16"/>
        <v>-20791,6666666667</v>
      </c>
      <c r="AG9" t="str">
        <f t="shared" si="49"/>
        <v>576000i</v>
      </c>
      <c r="AH9">
        <f t="shared" si="50"/>
        <v>576000</v>
      </c>
      <c r="AI9">
        <f t="shared" si="51"/>
        <v>1.5707963267948966</v>
      </c>
      <c r="AJ9" t="str">
        <f t="shared" si="20"/>
        <v>-6187,8889880576+675,774144000001i</v>
      </c>
      <c r="AK9">
        <f t="shared" si="52"/>
        <v>6224.6799774947021</v>
      </c>
      <c r="AL9">
        <f t="shared" si="53"/>
        <v>3.0328145813881777</v>
      </c>
      <c r="AM9" t="str">
        <f t="shared" si="23"/>
        <v>1+928,972799999999i</v>
      </c>
      <c r="AN9">
        <f t="shared" si="24"/>
        <v>928.97333822873429</v>
      </c>
      <c r="AO9">
        <f t="shared" si="54"/>
        <v>1.5697198694284953</v>
      </c>
      <c r="AP9" t="str">
        <f t="shared" si="26"/>
        <v>1+652,4928i</v>
      </c>
      <c r="AQ9">
        <f t="shared" si="55"/>
        <v>652.49356629153056</v>
      </c>
      <c r="AR9">
        <f t="shared" si="56"/>
        <v>1.5692637440337331</v>
      </c>
      <c r="AS9" s="42" t="str">
        <f t="shared" si="57"/>
        <v>-0,372486847298582+3,49524006144157i</v>
      </c>
      <c r="AT9">
        <f t="shared" si="58"/>
        <v>10.918585513200838</v>
      </c>
      <c r="AU9" s="44">
        <f t="shared" si="59"/>
        <v>96.083037452832158</v>
      </c>
      <c r="AV9" s="42" t="str">
        <f t="shared" si="60"/>
        <v>0,0264455420811572-0,0917509833741145i</v>
      </c>
      <c r="AW9" s="20">
        <f t="shared" si="61"/>
        <v>-20.401190052664315</v>
      </c>
      <c r="AX9" s="44">
        <f t="shared" si="62"/>
        <v>-73.921341473671788</v>
      </c>
    </row>
    <row r="10" spans="1:50" x14ac:dyDescent="0.3">
      <c r="A10" t="s">
        <v>26</v>
      </c>
      <c r="B10" s="3">
        <f>VIN_min</f>
        <v>9</v>
      </c>
      <c r="C10" t="s">
        <v>11</v>
      </c>
      <c r="E10" t="s">
        <v>29</v>
      </c>
      <c r="N10" s="42" t="s">
        <v>208</v>
      </c>
      <c r="O10" s="70">
        <f>wz_esr/(2*PI())</f>
        <v>795774.71545947669</v>
      </c>
      <c r="P10" s="34" t="str">
        <f t="shared" si="0"/>
        <v>324,571428571429</v>
      </c>
      <c r="Q10" s="4" t="str">
        <f t="shared" si="34"/>
        <v>1+114285,714285714i</v>
      </c>
      <c r="R10" s="4">
        <f t="shared" si="35"/>
        <v>114285.71429008902</v>
      </c>
      <c r="S10" s="4">
        <f t="shared" si="36"/>
        <v>1.5707875767948969</v>
      </c>
      <c r="T10" s="4" t="str">
        <f t="shared" si="37"/>
        <v>1+i</v>
      </c>
      <c r="U10" s="4">
        <f t="shared" si="38"/>
        <v>1.4142135623730951</v>
      </c>
      <c r="V10" s="4">
        <f t="shared" si="39"/>
        <v>0.78539816339744828</v>
      </c>
      <c r="W10" t="str">
        <f t="shared" si="40"/>
        <v>1-8,68055555555556i</v>
      </c>
      <c r="X10" s="4">
        <f t="shared" si="41"/>
        <v>8.7379657102260655</v>
      </c>
      <c r="Y10" s="4">
        <f t="shared" si="42"/>
        <v>-1.4561019149870589</v>
      </c>
      <c r="Z10" t="str">
        <f t="shared" si="43"/>
        <v>-1,53302959105845+7,44270833333333i</v>
      </c>
      <c r="AA10" s="4">
        <f t="shared" si="44"/>
        <v>7.5989530240770824</v>
      </c>
      <c r="AB10" s="4">
        <f t="shared" si="45"/>
        <v>1.7739327088925958</v>
      </c>
      <c r="AC10" s="48" t="str">
        <f t="shared" si="46"/>
        <v>-0,00296450927687987+0,00354134764903812i</v>
      </c>
      <c r="AD10" s="20">
        <f t="shared" si="47"/>
        <v>-46.71020171574979</v>
      </c>
      <c r="AE10" s="44">
        <f t="shared" si="48"/>
        <v>129.93314970864023</v>
      </c>
      <c r="AF10" t="str">
        <f t="shared" si="16"/>
        <v>-20791,6666666667</v>
      </c>
      <c r="AG10" t="str">
        <f t="shared" si="49"/>
        <v>5000000i</v>
      </c>
      <c r="AH10">
        <f t="shared" si="50"/>
        <v>5000000</v>
      </c>
      <c r="AI10">
        <f t="shared" si="51"/>
        <v>1.5707963267948966</v>
      </c>
      <c r="AJ10" t="str">
        <f t="shared" si="20"/>
        <v>-466344,44+5866,09500000006i</v>
      </c>
      <c r="AK10">
        <f t="shared" si="52"/>
        <v>466381.33301994688</v>
      </c>
      <c r="AL10">
        <f t="shared" si="53"/>
        <v>3.1290144278581988</v>
      </c>
      <c r="AM10" t="str">
        <f t="shared" si="23"/>
        <v>1+8063,99999999999i</v>
      </c>
      <c r="AN10">
        <f t="shared" si="24"/>
        <v>8064.0000620039582</v>
      </c>
      <c r="AO10">
        <f t="shared" si="54"/>
        <v>1.5706723188590244</v>
      </c>
      <c r="AP10" t="str">
        <f t="shared" si="26"/>
        <v>1+5664i</v>
      </c>
      <c r="AQ10">
        <f t="shared" si="55"/>
        <v>5664.0000882768354</v>
      </c>
      <c r="AR10">
        <f t="shared" si="56"/>
        <v>1.5706197731244147</v>
      </c>
      <c r="AS10" s="42" t="str">
        <f t="shared" si="57"/>
        <v>-0,00499984742240742+0,407210699159834i</v>
      </c>
      <c r="AT10">
        <f t="shared" si="58"/>
        <v>-7.8029617186531262</v>
      </c>
      <c r="AU10" s="44">
        <f t="shared" si="59"/>
        <v>90.70345833665543</v>
      </c>
      <c r="AV10" s="42" t="str">
        <f t="shared" si="60"/>
        <v>-0,00142725255806614-0,00122488609321896i</v>
      </c>
      <c r="AW10" s="20">
        <f t="shared" si="61"/>
        <v>-54.513163434402891</v>
      </c>
      <c r="AX10" s="44">
        <f t="shared" si="62"/>
        <v>-139.36339195470435</v>
      </c>
    </row>
    <row r="11" spans="1:50" ht="15" thickBot="1" x14ac:dyDescent="0.35">
      <c r="A11" t="s">
        <v>27</v>
      </c>
      <c r="B11" s="3">
        <f>VIN_nom</f>
        <v>24</v>
      </c>
      <c r="C11" t="s">
        <v>11</v>
      </c>
      <c r="E11" t="s">
        <v>30</v>
      </c>
      <c r="N11" s="45" t="s">
        <v>206</v>
      </c>
      <c r="O11" s="71">
        <f>wp_lf/(2*PI())</f>
        <v>6.9630287602704204</v>
      </c>
      <c r="P11" s="34" t="str">
        <f t="shared" si="0"/>
        <v>324,571428571429</v>
      </c>
      <c r="Q11" s="4" t="str">
        <f t="shared" si="34"/>
        <v>1+i</v>
      </c>
      <c r="R11" s="4">
        <f t="shared" si="35"/>
        <v>1.4142135623730951</v>
      </c>
      <c r="S11" s="4">
        <f t="shared" si="36"/>
        <v>0.78539816339744828</v>
      </c>
      <c r="T11" s="4" t="str">
        <f t="shared" si="37"/>
        <v>1+0,00000875i</v>
      </c>
      <c r="U11" s="4">
        <f t="shared" si="38"/>
        <v>1.0000000000382814</v>
      </c>
      <c r="V11" s="4">
        <f t="shared" si="39"/>
        <v>8.7499999997766925E-6</v>
      </c>
      <c r="W11" t="str">
        <f t="shared" si="40"/>
        <v>1-0,0000759548611111111i</v>
      </c>
      <c r="X11" s="4">
        <f t="shared" si="41"/>
        <v>1.0000000028845704</v>
      </c>
      <c r="Y11" s="4">
        <f t="shared" si="42"/>
        <v>-7.5954860965046339E-5</v>
      </c>
      <c r="Z11" t="str">
        <f t="shared" si="43"/>
        <v>0,999999999806065+0,0000651236979166666i</v>
      </c>
      <c r="AA11" s="4">
        <f t="shared" si="44"/>
        <v>1.0000000019266129</v>
      </c>
      <c r="AB11" s="4">
        <f t="shared" si="45"/>
        <v>6.5123697837231082E-5</v>
      </c>
      <c r="AC11" s="48" t="str">
        <f t="shared" si="46"/>
        <v>162,264237991866-162,307188061154i</v>
      </c>
      <c r="AD11" s="20">
        <f t="shared" si="47"/>
        <v>47.215905792507932</v>
      </c>
      <c r="AE11" s="44">
        <f t="shared" si="48"/>
        <v>-45.007581867928302</v>
      </c>
      <c r="AF11" t="str">
        <f t="shared" si="16"/>
        <v>-20791,6666666667</v>
      </c>
      <c r="AG11" t="str">
        <f t="shared" si="49"/>
        <v>43,75i</v>
      </c>
      <c r="AH11">
        <f t="shared" si="50"/>
        <v>43.75</v>
      </c>
      <c r="AI11">
        <f t="shared" si="51"/>
        <v>1.5707963267948966</v>
      </c>
      <c r="AJ11" t="str">
        <f t="shared" si="20"/>
        <v>0,99996429542725+0,05132833125i</v>
      </c>
      <c r="AK11">
        <f t="shared" si="52"/>
        <v>1.001280774667239</v>
      </c>
      <c r="AL11">
        <f t="shared" si="53"/>
        <v>5.1285153777598999E-2</v>
      </c>
      <c r="AM11" t="str">
        <f t="shared" si="23"/>
        <v>1+0,07056i</v>
      </c>
      <c r="AN11">
        <f t="shared" si="24"/>
        <v>1.0024862660405878</v>
      </c>
      <c r="AO11">
        <f t="shared" si="54"/>
        <v>7.0443249219407186E-2</v>
      </c>
      <c r="AP11" t="str">
        <f t="shared" si="26"/>
        <v>1+0,04956i</v>
      </c>
      <c r="AQ11">
        <f t="shared" si="55"/>
        <v>1.0012273436138268</v>
      </c>
      <c r="AR11">
        <f t="shared" si="56"/>
        <v>4.9519483374992963E-2</v>
      </c>
      <c r="AS11" s="42" t="str">
        <f t="shared" si="57"/>
        <v>-32,6918897054134+475,27119916919i</v>
      </c>
      <c r="AT11">
        <f t="shared" si="58"/>
        <v>53.55933004696989</v>
      </c>
      <c r="AU11" s="44">
        <f t="shared" si="59"/>
        <v>93.934935413379762</v>
      </c>
      <c r="AV11" s="42" t="str">
        <f t="shared" si="60"/>
        <v>71835,2073320409+82425,64766316i</v>
      </c>
      <c r="AW11" s="20">
        <f t="shared" si="61"/>
        <v>100.77523583947782</v>
      </c>
      <c r="AX11" s="44">
        <f t="shared" si="62"/>
        <v>48.927353545451453</v>
      </c>
    </row>
    <row r="12" spans="1:50" x14ac:dyDescent="0.3">
      <c r="A12" t="s">
        <v>28</v>
      </c>
      <c r="B12" s="3">
        <f>VIN_max</f>
        <v>30</v>
      </c>
      <c r="C12" t="s">
        <v>11</v>
      </c>
      <c r="E12" t="s">
        <v>31</v>
      </c>
      <c r="N12" s="53" t="s">
        <v>217</v>
      </c>
      <c r="O12" s="59">
        <f>wz2_ea_iso/(2*PI())</f>
        <v>140.4969483508963</v>
      </c>
      <c r="P12" s="34" t="str">
        <f t="shared" si="0"/>
        <v>324,571428571429</v>
      </c>
      <c r="Q12" s="4" t="str">
        <f t="shared" si="34"/>
        <v>1+20,1775625504439i</v>
      </c>
      <c r="R12" s="4">
        <f t="shared" si="35"/>
        <v>20.202327352982778</v>
      </c>
      <c r="S12" s="4">
        <f t="shared" si="36"/>
        <v>1.5212768434199035</v>
      </c>
      <c r="T12" s="4" t="str">
        <f t="shared" si="37"/>
        <v>1+0,000176553672316384i</v>
      </c>
      <c r="U12" s="4">
        <f t="shared" si="38"/>
        <v>1.0000000155855995</v>
      </c>
      <c r="V12" s="4">
        <f t="shared" si="39"/>
        <v>1.765536704819208E-4</v>
      </c>
      <c r="W12" t="str">
        <f t="shared" si="40"/>
        <v>1-0,00153258396107972i</v>
      </c>
      <c r="X12" s="4">
        <f t="shared" si="41"/>
        <v>1.0000011744061093</v>
      </c>
      <c r="Y12" s="4">
        <f t="shared" si="42"/>
        <v>-1.5325827611633953E-3</v>
      </c>
      <c r="Z12" t="str">
        <f t="shared" si="43"/>
        <v>0,99999992104243+0,00131403748822975i</v>
      </c>
      <c r="AA12" s="4">
        <f t="shared" si="44"/>
        <v>1.0000007843893857</v>
      </c>
      <c r="AB12" s="4">
        <f t="shared" si="45"/>
        <v>1.3140368356697927E-3</v>
      </c>
      <c r="AC12" s="48" t="str">
        <f t="shared" si="46"/>
        <v>0,752409677297744-16,048419761102i</v>
      </c>
      <c r="AD12" s="20">
        <f t="shared" si="47"/>
        <v>24.118181183154988</v>
      </c>
      <c r="AE12" s="44">
        <f t="shared" si="48"/>
        <v>-87.315726107546269</v>
      </c>
      <c r="AF12" t="str">
        <f t="shared" si="16"/>
        <v>-20791,6666666667</v>
      </c>
      <c r="AG12" t="str">
        <f t="shared" si="49"/>
        <v>882,768361581921i</v>
      </c>
      <c r="AH12">
        <f t="shared" si="50"/>
        <v>882.768361581921</v>
      </c>
      <c r="AI12">
        <f t="shared" si="51"/>
        <v>1.5707963267948966</v>
      </c>
      <c r="AJ12" t="str">
        <f t="shared" si="20"/>
        <v>0,985463453389831+1,03568061440678i</v>
      </c>
      <c r="AK12">
        <f t="shared" si="52"/>
        <v>1.429605733419189</v>
      </c>
      <c r="AL12">
        <f t="shared" si="53"/>
        <v>0.81023896139087825</v>
      </c>
      <c r="AM12" t="str">
        <f t="shared" si="23"/>
        <v>1+1,42372881355932i</v>
      </c>
      <c r="AN12">
        <f t="shared" si="24"/>
        <v>1.7398286509191154</v>
      </c>
      <c r="AO12">
        <f t="shared" si="54"/>
        <v>0.95847419456730065</v>
      </c>
      <c r="AP12" t="str">
        <f t="shared" si="26"/>
        <v>1+i</v>
      </c>
      <c r="AQ12">
        <f t="shared" si="55"/>
        <v>1.4142135623730951</v>
      </c>
      <c r="AR12">
        <f t="shared" si="56"/>
        <v>0.78539816339744828</v>
      </c>
      <c r="AS12" s="42" t="str">
        <f t="shared" si="57"/>
        <v>-32,5828160027135+24,1159535800586i</v>
      </c>
      <c r="AT12">
        <f t="shared" si="58"/>
        <v>32.156954784763514</v>
      </c>
      <c r="AU12" s="44">
        <f t="shared" si="59"/>
        <v>143.49325323614667</v>
      </c>
      <c r="AV12" s="42" t="str">
        <f t="shared" si="60"/>
        <v>362,507319917978+541,047785061197i</v>
      </c>
      <c r="AW12" s="20">
        <f t="shared" si="61"/>
        <v>56.275135967918501</v>
      </c>
      <c r="AX12" s="44">
        <f t="shared" si="62"/>
        <v>56.177527128600367</v>
      </c>
    </row>
    <row r="13" spans="1:50" ht="15" thickBot="1" x14ac:dyDescent="0.35">
      <c r="A13" t="s">
        <v>60</v>
      </c>
      <c r="B13" s="3">
        <f>Fsw</f>
        <v>1000000</v>
      </c>
      <c r="C13" t="s">
        <v>61</v>
      </c>
      <c r="E13" t="s">
        <v>62</v>
      </c>
      <c r="M13" s="165"/>
      <c r="N13" s="45" t="s">
        <v>223</v>
      </c>
      <c r="O13" s="46">
        <f>wpB_ea_iso/(2*PI())</f>
        <v>1.8672360317933037E-4</v>
      </c>
      <c r="P13" s="34" t="str">
        <f t="shared" si="0"/>
        <v>324,571428571429</v>
      </c>
      <c r="Q13" s="4" t="str">
        <f t="shared" si="34"/>
        <v>1+0,0000268164342857143i</v>
      </c>
      <c r="R13" s="4">
        <f t="shared" si="35"/>
        <v>1.0000000003595606</v>
      </c>
      <c r="S13" s="4">
        <f t="shared" si="36"/>
        <v>2.681643427928621E-5</v>
      </c>
      <c r="T13" s="4" t="str">
        <f t="shared" si="37"/>
        <v>1+0,0000000002346438i</v>
      </c>
      <c r="U13" s="4">
        <f t="shared" si="38"/>
        <v>1</v>
      </c>
      <c r="V13" s="4">
        <f t="shared" si="39"/>
        <v>2.346438E-10</v>
      </c>
      <c r="W13" t="str">
        <f t="shared" si="40"/>
        <v>1-2,03683854166667E-09i</v>
      </c>
      <c r="X13" s="4">
        <f t="shared" si="41"/>
        <v>1</v>
      </c>
      <c r="Y13" s="4">
        <f t="shared" si="42"/>
        <v>-2.03683854166667E-9</v>
      </c>
      <c r="Z13" t="str">
        <f t="shared" si="43"/>
        <v>1+1,746385365625E-09i</v>
      </c>
      <c r="AA13" s="4">
        <f t="shared" si="44"/>
        <v>1</v>
      </c>
      <c r="AB13" s="4">
        <f t="shared" si="45"/>
        <v>1.746385365625E-9</v>
      </c>
      <c r="AC13" s="48" t="str">
        <f t="shared" si="46"/>
        <v>324,571428337992-0,00870500014676101i</v>
      </c>
      <c r="AD13" s="20">
        <f t="shared" si="47"/>
        <v>50.226205737371394</v>
      </c>
      <c r="AE13" s="44">
        <f t="shared" si="48"/>
        <v>-1.5366718244564565E-3</v>
      </c>
      <c r="AF13" t="str">
        <f t="shared" si="16"/>
        <v>-20791,6666666667</v>
      </c>
      <c r="AG13" t="str">
        <f t="shared" si="49"/>
        <v>0,001173219i</v>
      </c>
      <c r="AH13">
        <f t="shared" si="50"/>
        <v>1.1732190000000001E-3</v>
      </c>
      <c r="AI13">
        <f t="shared" si="51"/>
        <v>1.5707963267948966</v>
      </c>
      <c r="AJ13" t="str">
        <f t="shared" si="20"/>
        <v>0,999999999999974+0,000001376442821961i</v>
      </c>
      <c r="AK13">
        <f t="shared" si="52"/>
        <v>1.0000000000009213</v>
      </c>
      <c r="AL13">
        <f t="shared" si="53"/>
        <v>1.3764428219601666E-6</v>
      </c>
      <c r="AM13" t="str">
        <f t="shared" si="23"/>
        <v>1+0,0000018921676032i</v>
      </c>
      <c r="AN13">
        <f t="shared" si="24"/>
        <v>1.0000000000017901</v>
      </c>
      <c r="AO13">
        <f t="shared" si="54"/>
        <v>1.8921676031977417E-6</v>
      </c>
      <c r="AP13" t="str">
        <f t="shared" si="26"/>
        <v>1+0,0000013290224832i</v>
      </c>
      <c r="AQ13">
        <f t="shared" si="55"/>
        <v>1.0000000000008833</v>
      </c>
      <c r="AR13">
        <f t="shared" si="56"/>
        <v>1.3290224831992175E-6</v>
      </c>
      <c r="AS13" s="42" t="str">
        <f t="shared" si="57"/>
        <v>-32,6924216249997+17721897,3326103i</v>
      </c>
      <c r="AT13">
        <f t="shared" si="58"/>
        <v>144.97020432504448</v>
      </c>
      <c r="AU13" s="44">
        <f t="shared" si="59"/>
        <v>90.000105696232509</v>
      </c>
      <c r="AV13" s="42" t="str">
        <f t="shared" si="60"/>
        <v>143658,092898602+5752021530,38916i</v>
      </c>
      <c r="AW13" s="20">
        <f t="shared" si="61"/>
        <v>195.19641006241588</v>
      </c>
      <c r="AX13" s="44">
        <f t="shared" si="62"/>
        <v>89.998569024408056</v>
      </c>
    </row>
    <row r="15" spans="1:50" ht="15" thickBot="1" x14ac:dyDescent="0.35">
      <c r="A15" s="50" t="s">
        <v>216</v>
      </c>
      <c r="O15" s="35" t="s">
        <v>185</v>
      </c>
      <c r="P15">
        <f>B16</f>
        <v>24</v>
      </c>
      <c r="Q15" t="s">
        <v>11</v>
      </c>
    </row>
    <row r="16" spans="1:50" ht="15" thickBot="1" x14ac:dyDescent="0.35">
      <c r="A16" t="s">
        <v>187</v>
      </c>
      <c r="B16" s="30">
        <f>VIN_var</f>
        <v>24</v>
      </c>
      <c r="C16" t="s">
        <v>11</v>
      </c>
      <c r="E16" t="s">
        <v>188</v>
      </c>
      <c r="O16" s="49"/>
      <c r="P16" s="228" t="s">
        <v>214</v>
      </c>
      <c r="Q16" s="228"/>
      <c r="R16" s="228"/>
      <c r="S16" s="228"/>
      <c r="T16" s="228"/>
      <c r="U16" s="228"/>
      <c r="V16" s="228"/>
      <c r="W16" s="228"/>
      <c r="X16" s="228"/>
      <c r="Y16" s="228"/>
      <c r="Z16" s="228"/>
      <c r="AA16" s="228"/>
      <c r="AB16" s="228"/>
      <c r="AC16" s="228"/>
      <c r="AD16" s="228"/>
      <c r="AE16" s="229"/>
      <c r="AF16" s="227" t="s">
        <v>215</v>
      </c>
      <c r="AG16" s="228"/>
      <c r="AH16" s="228"/>
      <c r="AI16" s="228"/>
      <c r="AJ16" s="228"/>
      <c r="AK16" s="228"/>
      <c r="AL16" s="228"/>
      <c r="AM16" s="228"/>
      <c r="AN16" s="228"/>
      <c r="AO16" s="228"/>
      <c r="AP16" s="228"/>
      <c r="AQ16" s="228"/>
      <c r="AR16" s="228"/>
      <c r="AS16" s="228"/>
      <c r="AT16" s="228"/>
      <c r="AU16" s="229"/>
      <c r="AV16" s="227" t="s">
        <v>226</v>
      </c>
      <c r="AW16" s="228"/>
      <c r="AX16" s="229"/>
    </row>
    <row r="17" spans="1:50" x14ac:dyDescent="0.3">
      <c r="A17" t="s">
        <v>501</v>
      </c>
      <c r="B17" s="30">
        <f>POUT_Total</f>
        <v>80</v>
      </c>
      <c r="C17" t="s">
        <v>36</v>
      </c>
      <c r="E17" t="s">
        <v>502</v>
      </c>
      <c r="O17" s="37"/>
      <c r="Q17" s="230" t="s">
        <v>206</v>
      </c>
      <c r="R17" s="230"/>
      <c r="S17" s="230"/>
      <c r="T17" s="231" t="s">
        <v>208</v>
      </c>
      <c r="U17" s="231"/>
      <c r="V17" s="231"/>
      <c r="W17" s="231" t="s">
        <v>208</v>
      </c>
      <c r="X17" s="231"/>
      <c r="Y17" s="231"/>
      <c r="Z17" s="231" t="s">
        <v>211</v>
      </c>
      <c r="AA17" s="231"/>
      <c r="AB17" s="231"/>
      <c r="AC17" s="232" t="s">
        <v>213</v>
      </c>
      <c r="AD17" s="231"/>
      <c r="AE17" s="233"/>
      <c r="AF17" s="53"/>
      <c r="AG17" s="234" t="s">
        <v>222</v>
      </c>
      <c r="AH17" s="234"/>
      <c r="AI17" s="234"/>
      <c r="AJ17" s="234" t="s">
        <v>223</v>
      </c>
      <c r="AK17" s="234"/>
      <c r="AL17" s="234"/>
      <c r="AM17" s="234" t="s">
        <v>578</v>
      </c>
      <c r="AN17" s="234"/>
      <c r="AO17" s="234"/>
      <c r="AP17" s="234" t="s">
        <v>217</v>
      </c>
      <c r="AQ17" s="234"/>
      <c r="AR17" s="235"/>
      <c r="AS17" s="232" t="s">
        <v>213</v>
      </c>
      <c r="AT17" s="231"/>
      <c r="AU17" s="233"/>
      <c r="AV17" s="232" t="s">
        <v>213</v>
      </c>
      <c r="AW17" s="231"/>
      <c r="AX17" s="233"/>
    </row>
    <row r="18" spans="1:50" ht="15" thickBot="1" x14ac:dyDescent="0.35">
      <c r="A18" t="s">
        <v>503</v>
      </c>
      <c r="B18" s="1">
        <f>Cout_total</f>
        <v>9.9999999999999991E-5</v>
      </c>
      <c r="C18" t="s">
        <v>151</v>
      </c>
      <c r="N18" s="8"/>
      <c r="O18" s="38" t="s">
        <v>184</v>
      </c>
      <c r="P18" s="39" t="s">
        <v>189</v>
      </c>
      <c r="Q18" s="40" t="s">
        <v>212</v>
      </c>
      <c r="R18" s="39" t="s">
        <v>209</v>
      </c>
      <c r="S18" s="39" t="s">
        <v>210</v>
      </c>
      <c r="T18" s="39" t="s">
        <v>212</v>
      </c>
      <c r="U18" s="39" t="s">
        <v>209</v>
      </c>
      <c r="V18" s="39" t="s">
        <v>210</v>
      </c>
      <c r="W18" s="39" t="s">
        <v>212</v>
      </c>
      <c r="X18" s="39" t="s">
        <v>209</v>
      </c>
      <c r="Y18" s="39" t="s">
        <v>210</v>
      </c>
      <c r="Z18" s="39" t="s">
        <v>212</v>
      </c>
      <c r="AA18" s="39" t="s">
        <v>209</v>
      </c>
      <c r="AB18" s="39" t="s">
        <v>210</v>
      </c>
      <c r="AC18" s="43" t="s">
        <v>227</v>
      </c>
      <c r="AD18" s="39" t="s">
        <v>209</v>
      </c>
      <c r="AE18" s="41" t="s">
        <v>210</v>
      </c>
      <c r="AF18" s="43" t="s">
        <v>224</v>
      </c>
      <c r="AG18" s="39" t="s">
        <v>212</v>
      </c>
      <c r="AH18" s="39" t="s">
        <v>225</v>
      </c>
      <c r="AI18" s="39" t="s">
        <v>210</v>
      </c>
      <c r="AJ18" s="39" t="s">
        <v>212</v>
      </c>
      <c r="AK18" s="39" t="s">
        <v>225</v>
      </c>
      <c r="AL18" s="39" t="s">
        <v>210</v>
      </c>
      <c r="AM18" s="39" t="s">
        <v>212</v>
      </c>
      <c r="AN18" s="39" t="s">
        <v>225</v>
      </c>
      <c r="AO18" s="39" t="s">
        <v>210</v>
      </c>
      <c r="AP18" s="39" t="s">
        <v>212</v>
      </c>
      <c r="AQ18" s="39" t="s">
        <v>225</v>
      </c>
      <c r="AR18" s="41" t="s">
        <v>210</v>
      </c>
      <c r="AS18" s="43" t="s">
        <v>227</v>
      </c>
      <c r="AT18" s="39" t="s">
        <v>209</v>
      </c>
      <c r="AU18" s="41" t="s">
        <v>210</v>
      </c>
      <c r="AV18" s="43" t="s">
        <v>227</v>
      </c>
      <c r="AW18" s="39" t="s">
        <v>209</v>
      </c>
      <c r="AX18" s="41" t="s">
        <v>210</v>
      </c>
    </row>
    <row r="19" spans="1:50" x14ac:dyDescent="0.3">
      <c r="A19" t="s">
        <v>491</v>
      </c>
      <c r="B19" s="1">
        <f>Resr_total</f>
        <v>2E-3</v>
      </c>
      <c r="C19" s="2" t="s">
        <v>35</v>
      </c>
      <c r="N19" s="8">
        <v>1</v>
      </c>
      <c r="O19" s="35">
        <f>10^(1+(N19/100))</f>
        <v>10.232929922807543</v>
      </c>
      <c r="P19" s="34" t="str">
        <f>COMPLEX(Adc,0)</f>
        <v>324,571428571429</v>
      </c>
      <c r="Q19" s="4" t="str">
        <f t="shared" ref="Q19:Q82" si="63">IMSUM(COMPLEX(1,0),IMDIV(COMPLEX(0,2*PI()*O19),COMPLEX(wp_lf,0)))</f>
        <v>1+1,46960902720875i</v>
      </c>
      <c r="R19" s="4">
        <f>IMABS(Q19)</f>
        <v>1.7775687589664286</v>
      </c>
      <c r="S19" s="4">
        <f>IMARGUMENT(Q19)</f>
        <v>0.97330990936071782</v>
      </c>
      <c r="T19" s="4" t="str">
        <f t="shared" ref="T19:T82" si="64">IMSUM(COMPLEX(1,0),IMDIV(COMPLEX(0,2*PI()*O19),COMPLEX(wz_esr,0)))</f>
        <v>1+0,0000128590789880765i</v>
      </c>
      <c r="U19" s="4">
        <f>IMABS(T19)</f>
        <v>1.0000000000826779</v>
      </c>
      <c r="V19" s="4">
        <f>IMARGUMENT(T19)</f>
        <v>1.2859078987367724E-5</v>
      </c>
      <c r="W19" t="str">
        <f t="shared" ref="W19:W82" si="65">IMSUB(COMPLEX(1,0),IMDIV(COMPLEX(0,2*PI()*O19),COMPLEX(wz_rhp,0)))</f>
        <v>1-0,000111623949549276i</v>
      </c>
      <c r="X19" s="4">
        <f>IMABS(W19)</f>
        <v>1.000000006229953</v>
      </c>
      <c r="Y19" s="4">
        <f>IMARGUMENT(W19)</f>
        <v>-1.1162394908566802E-4</v>
      </c>
      <c r="Z19" t="str">
        <f t="shared" ref="Z19:Z82" si="66">IMSUM(COMPLEX(1,0),IMDIV(COMPLEX(0,2*PI()*O19),COMPLEX(Q*(wsl/2),0)),IMDIV(IMPOWER(COMPLEX(0,2*PI()*O19),2),IMPOWER(COMPLEX(wsl/2,0),2)))</f>
        <v>0,999999999581149+0,0000957063743435488i</v>
      </c>
      <c r="AA19" s="4">
        <f>IMABS(Z19)</f>
        <v>1.000000004161004</v>
      </c>
      <c r="AB19" s="4">
        <f>IMARGUMENT(Z19)</f>
        <v>9.5706374091421301E-5</v>
      </c>
      <c r="AC19" s="48" t="str">
        <f>(IMDIV(IMPRODUCT(P19,T19,W19),IMPRODUCT(Q19,Z19)))</f>
        <v>102,691222577991-150,979067525i</v>
      </c>
      <c r="AD19" s="20">
        <f>20*LOG(IMABS(AC19))</f>
        <v>45.229677581699676</v>
      </c>
      <c r="AE19" s="44">
        <f>(180/PI())*IMARGUMENT(AC19)</f>
        <v>-55.777692346158688</v>
      </c>
      <c r="AF19" t="str">
        <f>COMPLEX(Adc_ea_iso,0)</f>
        <v>-20791,6666666667</v>
      </c>
      <c r="AG19" t="str">
        <f>COMPLEX(0,1*2*PI()*O19)</f>
        <v>64,2953949403827i</v>
      </c>
      <c r="AH19">
        <f>IMABS(AG19)</f>
        <v>64.295394940382707</v>
      </c>
      <c r="AI19">
        <f>IMARGUMENT(AG19)</f>
        <v>1.5707963267948966</v>
      </c>
      <c r="AJ19" t="str">
        <f t="shared" ref="AJ19:AJ82" si="67">IMSUM(IMPRODUCT(COMPLEX(wpA_ea_iso,0),IMPOWER(COMPLEX(0,2*PI()*O19),2)),COMPLEX(0,wpB_ea_iso*2*PI()*O19),COMPLEX(1,0))</f>
        <v>0,999922887024265+0,0754325789565608i</v>
      </c>
      <c r="AK19">
        <f>IMABS(AJ19)</f>
        <v>1.002764106838183</v>
      </c>
      <c r="AL19">
        <f>IMARGUMENT(AJ19)</f>
        <v>7.5295777480572992E-2</v>
      </c>
      <c r="AM19" t="str">
        <f t="shared" ref="AM19:AM82" si="68">IMSUM(COMPLEX(1,0),IMDIV(COMPLEX(0,2*PI()*O19),COMPLEX(wz1_ea_iso,0)))</f>
        <v>1+0,103695612959849i</v>
      </c>
      <c r="AN19">
        <f>IMABS(AM19)</f>
        <v>1.0053620144739499</v>
      </c>
      <c r="AO19">
        <f>IMARGUMENT(AM19)</f>
        <v>0.1033263205571557</v>
      </c>
      <c r="AP19" t="str">
        <f t="shared" ref="AP19:AP82" si="69">IMSUM(COMPLEX(1,0),IMDIV(COMPLEX(0,2*PI()*O19),COMPLEX(wz2_ea_iso,0)))</f>
        <v>1+0,0728338233884655i</v>
      </c>
      <c r="AQ19">
        <f>IMABS(AP19)</f>
        <v>1.0026488746462452</v>
      </c>
      <c r="AR19">
        <f>IMARGUMENT(AP19)</f>
        <v>7.2705442965743591E-2</v>
      </c>
      <c r="AS19" s="42" t="str">
        <f>IMDIV(IMPRODUCT(AF19,AM19,AP19),IMPRODUCT(AG19,AJ19))</f>
        <v>-32,6912761037243+323,425834769695i</v>
      </c>
      <c r="AT19">
        <f>20*LOG(IMABS(AS19))</f>
        <v>50.239639964220054</v>
      </c>
      <c r="AU19" s="44">
        <f>(180/PI())*IMARGUMENT(AS19)</f>
        <v>95.771746845314041</v>
      </c>
      <c r="AV19" s="42" t="str">
        <f t="shared" ref="AV19:AV82" si="70">IMPRODUCT(AC19,AS19)</f>
        <v>45473,4238362972+38148,6927681499i</v>
      </c>
      <c r="AW19" s="20">
        <f>20*LOG(IMABS(AV19))</f>
        <v>95.469317545919736</v>
      </c>
      <c r="AX19" s="44">
        <f>(180/PI())*IMARGUMENT(AV19)</f>
        <v>39.994054499155332</v>
      </c>
    </row>
    <row r="20" spans="1:50" x14ac:dyDescent="0.3">
      <c r="N20" s="8">
        <v>2</v>
      </c>
      <c r="O20" s="35">
        <f t="shared" ref="O20:O83" si="71">10^(1+(N20/100))</f>
        <v>10.471285480509</v>
      </c>
      <c r="P20" s="34" t="str">
        <f t="shared" ref="P20:P82" si="72">COMPLEX(Adc,0)</f>
        <v>324,571428571429</v>
      </c>
      <c r="Q20" s="4" t="str">
        <f t="shared" si="63"/>
        <v>1+1,50384061893525i</v>
      </c>
      <c r="R20" s="4">
        <f t="shared" ref="R20:R83" si="73">IMABS(Q20)</f>
        <v>1.8059724823926735</v>
      </c>
      <c r="S20" s="4">
        <f t="shared" ref="S20:S83" si="74">IMARGUMENT(Q20)</f>
        <v>0.98397336058503437</v>
      </c>
      <c r="T20" s="4" t="str">
        <f t="shared" si="64"/>
        <v>1+0,0000131586054156834i</v>
      </c>
      <c r="U20" s="4">
        <f t="shared" ref="U20:U83" si="75">IMABS(T20)</f>
        <v>1.0000000000865743</v>
      </c>
      <c r="V20" s="4">
        <f t="shared" ref="V20:V83" si="76">IMARGUMENT(T20)</f>
        <v>1.3158605414923933E-5</v>
      </c>
      <c r="W20" t="str">
        <f t="shared" si="65"/>
        <v>1-0,000114224005344474i</v>
      </c>
      <c r="X20" s="4">
        <f t="shared" ref="X20:X83" si="77">IMABS(W20)</f>
        <v>1.0000000065235617</v>
      </c>
      <c r="Y20" s="4">
        <f t="shared" ref="Y20:Y83" si="78">IMARGUMENT(W20)</f>
        <v>-1.1422400484770912E-4</v>
      </c>
      <c r="Z20" t="str">
        <f t="shared" si="66"/>
        <v>0,999999999561409+0,000097935662182352i</v>
      </c>
      <c r="AA20" s="4">
        <f t="shared" ref="AA20:AA83" si="79">IMABS(Z20)</f>
        <v>1.0000000043571058</v>
      </c>
      <c r="AB20" s="4">
        <f t="shared" ref="AB20:AB83" si="80">IMARGUMENT(Z20)</f>
        <v>9.793566191219254E-5</v>
      </c>
      <c r="AC20" s="48" t="str">
        <f t="shared" ref="AC20:AC83" si="81">(IMDIV(IMPRODUCT(P20,T20,W20),IMPRODUCT(Q20,Z20)))</f>
        <v>99,4850982233809-149,67432174557i</v>
      </c>
      <c r="AD20" s="20">
        <f t="shared" ref="AD20:AD83" si="82">20*LOG(IMABS(AC20))</f>
        <v>45.091983186428649</v>
      </c>
      <c r="AE20" s="44">
        <f t="shared" ref="AE20:AE83" si="83">(180/PI())*IMARGUMENT(AC20)</f>
        <v>-56.388922635760387</v>
      </c>
      <c r="AF20" t="str">
        <f t="shared" ref="AF20:AF82" si="84">COMPLEX(Adc_ea_iso,0)</f>
        <v>-20791,6666666667</v>
      </c>
      <c r="AG20" t="str">
        <f t="shared" ref="AG20:AG83" si="85">COMPLEX(0,1*2*PI()*O20)</f>
        <v>65,7930270784171i</v>
      </c>
      <c r="AH20">
        <f t="shared" ref="AH20:AH83" si="86">IMABS(AG20)</f>
        <v>65.793027078417097</v>
      </c>
      <c r="AI20">
        <f t="shared" ref="AI20:AI83" si="87">IMARGUMENT(AG20)</f>
        <v>1.5707963267948966</v>
      </c>
      <c r="AJ20" t="str">
        <f t="shared" si="67"/>
        <v>0,999919252801683+0,0771896294359134i</v>
      </c>
      <c r="AK20">
        <f t="shared" ref="AK20:AK83" si="88">IMABS(AJ20)</f>
        <v>1.002894187347763</v>
      </c>
      <c r="AL20">
        <f t="shared" ref="AL20:AL83" si="89">IMARGUMENT(AJ20)</f>
        <v>7.704306684614004E-2</v>
      </c>
      <c r="AM20" t="str">
        <f t="shared" si="68"/>
        <v>1+0,106110994072071i</v>
      </c>
      <c r="AN20">
        <f t="shared" ref="AN20:AN83" si="90">IMABS(AM20)</f>
        <v>1.0056140129607201</v>
      </c>
      <c r="AO20">
        <f t="shared" ref="AO20:AO83" si="91">IMARGUMENT(AM20)</f>
        <v>0.10571540934567147</v>
      </c>
      <c r="AP20" t="str">
        <f t="shared" si="69"/>
        <v>1+0,0745303410744309i</v>
      </c>
      <c r="AQ20">
        <f t="shared" ref="AQ20:AQ83" si="92">IMABS(AP20)</f>
        <v>1.0027735396093531</v>
      </c>
      <c r="AR20">
        <f t="shared" ref="AR20:AR83" si="93">IMARGUMENT(AP20)</f>
        <v>7.4392799513952806E-2</v>
      </c>
      <c r="AS20" s="42" t="str">
        <f t="shared" ref="AS20:AS83" si="94">IMDIV(IMPRODUCT(AF20,AM20,AP20),IMPRODUCT(AG20,AJ20))</f>
        <v>-32,691222418576+316,065998558777i</v>
      </c>
      <c r="AT20">
        <f t="shared" ref="AT20:AT83" si="95">20*LOG(IMABS(AS20))</f>
        <v>50.041770069374756</v>
      </c>
      <c r="AU20" s="44">
        <f t="shared" ref="AU20:AU83" si="96">(180/PI())*IMARGUMENT(AS20)</f>
        <v>95.905197652289104</v>
      </c>
      <c r="AV20" s="42" t="str">
        <f t="shared" si="70"/>
        <v>44054,6744877668+36336,8934542248i</v>
      </c>
      <c r="AW20" s="20">
        <f t="shared" ref="AW20:AW83" si="97">20*LOG(IMABS(AV20))</f>
        <v>95.133753255803398</v>
      </c>
      <c r="AX20" s="44">
        <f t="shared" ref="AX20:AX83" si="98">(180/PI())*IMARGUMENT(AV20)</f>
        <v>39.516275016528709</v>
      </c>
    </row>
    <row r="21" spans="1:50" x14ac:dyDescent="0.3">
      <c r="N21" s="8">
        <v>3</v>
      </c>
      <c r="O21" s="35">
        <f t="shared" si="71"/>
        <v>10.715193052376069</v>
      </c>
      <c r="P21" s="34" t="str">
        <f t="shared" si="72"/>
        <v>324,571428571429</v>
      </c>
      <c r="Q21" s="4" t="str">
        <f t="shared" si="63"/>
        <v>1+1,53886956686359i</v>
      </c>
      <c r="R21" s="4">
        <f t="shared" si="73"/>
        <v>1.8352437287234993</v>
      </c>
      <c r="S21" s="4">
        <f t="shared" si="74"/>
        <v>0.99454227306721665</v>
      </c>
      <c r="T21" s="4" t="str">
        <f t="shared" si="64"/>
        <v>1+0,0000134651087100564i</v>
      </c>
      <c r="U21" s="4">
        <f t="shared" si="75"/>
        <v>1.0000000000906546</v>
      </c>
      <c r="V21" s="4">
        <f t="shared" si="76"/>
        <v>1.3465108709242618E-5</v>
      </c>
      <c r="W21" t="str">
        <f t="shared" si="65"/>
        <v>1-0,00011688462421924i</v>
      </c>
      <c r="X21" s="4">
        <f t="shared" si="77"/>
        <v>1.0000000068310075</v>
      </c>
      <c r="Y21" s="4">
        <f t="shared" si="78"/>
        <v>-1.1688462368694683E-4</v>
      </c>
      <c r="Z21" t="str">
        <f t="shared" si="66"/>
        <v>0,999999999540739+0,000100216876805576i</v>
      </c>
      <c r="AA21" s="4">
        <f t="shared" si="79"/>
        <v>1.00000000456245</v>
      </c>
      <c r="AB21" s="4">
        <f t="shared" si="80"/>
        <v>1.0021687651609488E-4</v>
      </c>
      <c r="AC21" s="48" t="str">
        <f t="shared" si="81"/>
        <v>96,3355687018307-148,313969435939i</v>
      </c>
      <c r="AD21" s="20">
        <f t="shared" si="82"/>
        <v>44.952330786927718</v>
      </c>
      <c r="AE21" s="44">
        <f t="shared" si="83"/>
        <v>-56.994742299886781</v>
      </c>
      <c r="AF21" t="str">
        <f t="shared" si="84"/>
        <v>-20791,6666666667</v>
      </c>
      <c r="AG21" t="str">
        <f t="shared" si="85"/>
        <v>67,3255435502821i</v>
      </c>
      <c r="AH21">
        <f t="shared" si="86"/>
        <v>67.325543550282106</v>
      </c>
      <c r="AI21">
        <f t="shared" si="87"/>
        <v>1.5707963267948966</v>
      </c>
      <c r="AJ21" t="str">
        <f t="shared" si="67"/>
        <v>0,999915447303467+0,0789876068785184i</v>
      </c>
      <c r="AK21">
        <f t="shared" si="88"/>
        <v>1.0030303802958753</v>
      </c>
      <c r="AL21">
        <f t="shared" si="89"/>
        <v>7.8830587843179423E-2</v>
      </c>
      <c r="AM21" t="str">
        <f t="shared" si="68"/>
        <v>1+0,108582636637895i</v>
      </c>
      <c r="AN21">
        <f t="shared" si="90"/>
        <v>1.0058778201050251</v>
      </c>
      <c r="AO21">
        <f t="shared" si="91"/>
        <v>0.10815889362709319</v>
      </c>
      <c r="AP21" t="str">
        <f t="shared" si="69"/>
        <v>1+0,0762663757337596i</v>
      </c>
      <c r="AQ21">
        <f t="shared" si="92"/>
        <v>1.0029040632421244</v>
      </c>
      <c r="AR21">
        <f t="shared" si="93"/>
        <v>7.6119020335302962E-2</v>
      </c>
      <c r="AS21" s="42" t="str">
        <f t="shared" si="94"/>
        <v>-32,6911662322474+308,87374435249i</v>
      </c>
      <c r="AT21">
        <f t="shared" si="95"/>
        <v>49.843999419735539</v>
      </c>
      <c r="AU21" s="44">
        <f t="shared" si="96"/>
        <v>96.041686747570694</v>
      </c>
      <c r="AV21" s="42" t="str">
        <f t="shared" si="70"/>
        <v>42660,9689889496+34604,0844486557i</v>
      </c>
      <c r="AW21" s="20">
        <f t="shared" si="97"/>
        <v>94.796330206663256</v>
      </c>
      <c r="AX21" s="44">
        <f t="shared" si="98"/>
        <v>39.046944447683899</v>
      </c>
    </row>
    <row r="22" spans="1:50" x14ac:dyDescent="0.3">
      <c r="N22" s="8">
        <v>4</v>
      </c>
      <c r="O22" s="35">
        <f t="shared" si="71"/>
        <v>10.964781961431854</v>
      </c>
      <c r="P22" s="34" t="str">
        <f t="shared" si="72"/>
        <v>324,571428571429</v>
      </c>
      <c r="Q22" s="4" t="str">
        <f t="shared" si="63"/>
        <v>1+1,57471444380563i</v>
      </c>
      <c r="R22" s="4">
        <f t="shared" si="73"/>
        <v>1.8654022567612796</v>
      </c>
      <c r="S22" s="4">
        <f t="shared" si="74"/>
        <v>1.0050128058932719</v>
      </c>
      <c r="T22" s="4" t="str">
        <f t="shared" si="64"/>
        <v>1+0,0000137787513832993i</v>
      </c>
      <c r="U22" s="4">
        <f t="shared" si="75"/>
        <v>1.000000000094927</v>
      </c>
      <c r="V22" s="4">
        <f t="shared" si="76"/>
        <v>1.3778751382427317E-5</v>
      </c>
      <c r="W22" t="str">
        <f t="shared" si="65"/>
        <v>1-0,000119607216868917i</v>
      </c>
      <c r="X22" s="4">
        <f t="shared" si="77"/>
        <v>1.0000000071529431</v>
      </c>
      <c r="Y22" s="4">
        <f t="shared" si="78"/>
        <v>-1.1960721629855458E-4</v>
      </c>
      <c r="Z22" t="str">
        <f t="shared" si="66"/>
        <v>0,999999999519094+0,00010255122774341i</v>
      </c>
      <c r="AA22" s="4">
        <f t="shared" si="79"/>
        <v>1.0000000047774711</v>
      </c>
      <c r="AB22" s="4">
        <f t="shared" si="80"/>
        <v>1.0255122743322548E-4</v>
      </c>
      <c r="AC22" s="48" t="str">
        <f t="shared" si="81"/>
        <v>93,2443983083851-146,900934914288i</v>
      </c>
      <c r="AD22" s="20">
        <f t="shared" si="82"/>
        <v>44.810755805230833</v>
      </c>
      <c r="AE22" s="44">
        <f t="shared" si="83"/>
        <v>-57.59493141119296</v>
      </c>
      <c r="AF22" t="str">
        <f t="shared" si="84"/>
        <v>-20791,6666666667</v>
      </c>
      <c r="AG22" t="str">
        <f t="shared" si="85"/>
        <v>68,8937569164964i</v>
      </c>
      <c r="AH22">
        <f t="shared" si="86"/>
        <v>68.8937569164964</v>
      </c>
      <c r="AI22">
        <f t="shared" si="87"/>
        <v>1.5707963267948966</v>
      </c>
      <c r="AJ22" t="str">
        <f t="shared" si="67"/>
        <v>0,999911462457646+0,080827464595815i</v>
      </c>
      <c r="AK22">
        <f t="shared" si="88"/>
        <v>1.0031729720178748</v>
      </c>
      <c r="AL22">
        <f t="shared" si="89"/>
        <v>8.0659244390551235E-2</v>
      </c>
      <c r="AM22" t="str">
        <f t="shared" si="68"/>
        <v>1+0,111111851154925i</v>
      </c>
      <c r="AN22">
        <f t="shared" si="90"/>
        <v>1.0061539859619273</v>
      </c>
      <c r="AO22">
        <f t="shared" si="91"/>
        <v>0.1106579521927256</v>
      </c>
      <c r="AP22" t="str">
        <f t="shared" si="69"/>
        <v>1+0,0780428478350071i</v>
      </c>
      <c r="AQ22">
        <f t="shared" si="92"/>
        <v>1.0030407200598579</v>
      </c>
      <c r="AR22">
        <f t="shared" si="93"/>
        <v>7.7884979521023467E-2</v>
      </c>
      <c r="AS22" s="42" t="str">
        <f t="shared" si="94"/>
        <v>-32,6911074296259+301,845258696211i</v>
      </c>
      <c r="AT22">
        <f t="shared" si="95"/>
        <v>49.646332583579266</v>
      </c>
      <c r="AU22" s="44">
        <f t="shared" si="96"/>
        <v>96.181279961928212</v>
      </c>
      <c r="AV22" s="42" t="str">
        <f t="shared" si="70"/>
        <v>41293,0880596083+32947,7337741625i</v>
      </c>
      <c r="AW22" s="20">
        <f t="shared" si="97"/>
        <v>94.457088388810106</v>
      </c>
      <c r="AX22" s="44">
        <f t="shared" si="98"/>
        <v>38.586348550735231</v>
      </c>
    </row>
    <row r="23" spans="1:50" x14ac:dyDescent="0.3">
      <c r="N23" s="8">
        <v>5</v>
      </c>
      <c r="O23" s="35">
        <f t="shared" si="71"/>
        <v>11.220184543019636</v>
      </c>
      <c r="P23" s="34" t="str">
        <f t="shared" si="72"/>
        <v>324,571428571429</v>
      </c>
      <c r="Q23" s="4" t="str">
        <f t="shared" si="63"/>
        <v>1+1,61139425518959i</v>
      </c>
      <c r="R23" s="4">
        <f t="shared" si="73"/>
        <v>1.8964681504465117</v>
      </c>
      <c r="S23" s="4">
        <f t="shared" si="74"/>
        <v>1.015381327189449</v>
      </c>
      <c r="T23" s="4" t="str">
        <f t="shared" si="64"/>
        <v>1+0,0000140996997329089i</v>
      </c>
      <c r="U23" s="4">
        <f t="shared" si="75"/>
        <v>1.0000000000994009</v>
      </c>
      <c r="V23" s="4">
        <f t="shared" si="76"/>
        <v>1.4099699731974554E-5</v>
      </c>
      <c r="W23" t="str">
        <f t="shared" si="65"/>
        <v>1-0,000122393226848168i</v>
      </c>
      <c r="X23" s="4">
        <f t="shared" si="77"/>
        <v>1.000000007490051</v>
      </c>
      <c r="Y23" s="4">
        <f t="shared" si="78"/>
        <v>-1.2239322623701368E-4</v>
      </c>
      <c r="Z23" t="str">
        <f t="shared" si="66"/>
        <v>0,99999999949643+0,000104939952699619i</v>
      </c>
      <c r="AA23" s="4">
        <f t="shared" si="79"/>
        <v>1.0000000050026268</v>
      </c>
      <c r="AB23" s="4">
        <f t="shared" si="80"/>
        <v>1.0493995236725025E-4</v>
      </c>
      <c r="AC23" s="48" t="str">
        <f t="shared" si="81"/>
        <v>90,2131652017333-145,438185643054i</v>
      </c>
      <c r="AD23" s="20">
        <f t="shared" si="82"/>
        <v>44.667294693017439</v>
      </c>
      <c r="AE23" s="44">
        <f t="shared" si="83"/>
        <v>-58.189282022737864</v>
      </c>
      <c r="AF23" t="str">
        <f t="shared" si="84"/>
        <v>-20791,6666666667</v>
      </c>
      <c r="AG23" t="str">
        <f t="shared" si="85"/>
        <v>70,4984986645445i</v>
      </c>
      <c r="AH23">
        <f t="shared" si="86"/>
        <v>70.498498664544499</v>
      </c>
      <c r="AI23">
        <f t="shared" si="87"/>
        <v>1.5707963267948966</v>
      </c>
      <c r="AJ23" t="str">
        <f t="shared" si="67"/>
        <v>0,999907289811827+0,0827101781047182i</v>
      </c>
      <c r="AK23">
        <f t="shared" si="88"/>
        <v>1.0033222621774858</v>
      </c>
      <c r="AL23">
        <f t="shared" si="89"/>
        <v>8.2529959120902649E-2</v>
      </c>
      <c r="AM23" t="str">
        <f t="shared" si="68"/>
        <v>1+0,113699978646177i</v>
      </c>
      <c r="AN23">
        <f t="shared" si="90"/>
        <v>1.0064430858941509</v>
      </c>
      <c r="AO23">
        <f t="shared" si="91"/>
        <v>0.11321378514983278</v>
      </c>
      <c r="AP23" t="str">
        <f t="shared" si="69"/>
        <v>1+0,079860699287196i</v>
      </c>
      <c r="AQ23">
        <f t="shared" si="92"/>
        <v>1.0031837973624973</v>
      </c>
      <c r="AR23">
        <f t="shared" si="93"/>
        <v>7.969156932269586E-2</v>
      </c>
      <c r="AS23" s="42" t="str">
        <f t="shared" si="94"/>
        <v>-32,6910458904377+294,976814965734i</v>
      </c>
      <c r="AT23">
        <f t="shared" si="95"/>
        <v>49.448774334155949</v>
      </c>
      <c r="AU23" s="44">
        <f t="shared" si="96"/>
        <v>96.32404431573606</v>
      </c>
      <c r="AV23" s="42" t="str">
        <f t="shared" si="70"/>
        <v>39951,7300518517+31365,318540264i</v>
      </c>
      <c r="AW23" s="20">
        <f t="shared" si="97"/>
        <v>94.116069027173396</v>
      </c>
      <c r="AX23" s="44">
        <f t="shared" si="98"/>
        <v>38.134762292998253</v>
      </c>
    </row>
    <row r="24" spans="1:50" x14ac:dyDescent="0.3">
      <c r="N24" s="8">
        <v>6</v>
      </c>
      <c r="O24" s="35">
        <f t="shared" si="71"/>
        <v>11.481536214968834</v>
      </c>
      <c r="P24" s="34" t="str">
        <f t="shared" si="72"/>
        <v>324,571428571429</v>
      </c>
      <c r="Q24" s="4" t="str">
        <f t="shared" si="63"/>
        <v>1+1,64892844913697i</v>
      </c>
      <c r="R24" s="4">
        <f t="shared" si="73"/>
        <v>1.9284618301571992</v>
      </c>
      <c r="S24" s="4">
        <f t="shared" si="74"/>
        <v>1.0256444167094005</v>
      </c>
      <c r="T24" s="4" t="str">
        <f t="shared" si="64"/>
        <v>1+0,0000144281239299485i</v>
      </c>
      <c r="U24" s="4">
        <f t="shared" si="75"/>
        <v>1.0000000001040854</v>
      </c>
      <c r="V24" s="4">
        <f t="shared" si="76"/>
        <v>1.442812392894733E-5</v>
      </c>
      <c r="W24" t="str">
        <f t="shared" si="65"/>
        <v>1-0,000125244131336359i</v>
      </c>
      <c r="X24" s="4">
        <f t="shared" si="77"/>
        <v>1.0000000078430462</v>
      </c>
      <c r="Y24" s="4">
        <f t="shared" si="78"/>
        <v>-1.2524413068149532E-4</v>
      </c>
      <c r="Z24" t="str">
        <f t="shared" si="66"/>
        <v>0,999999999472697+0,000107384318207794i</v>
      </c>
      <c r="AA24" s="4">
        <f t="shared" si="79"/>
        <v>1.0000000052383928</v>
      </c>
      <c r="AB24" s="4">
        <f t="shared" si="80"/>
        <v>1.0738431785165453E-4</v>
      </c>
      <c r="AC24" s="48" t="str">
        <f t="shared" si="81"/>
        <v>87,2432623964947-143,928718951803i</v>
      </c>
      <c r="AD24" s="20">
        <f t="shared" si="82"/>
        <v>44.521984817182627</v>
      </c>
      <c r="AE24" s="44">
        <f t="shared" si="83"/>
        <v>-58.777598316293926</v>
      </c>
      <c r="AF24" t="str">
        <f t="shared" si="84"/>
        <v>-20791,6666666667</v>
      </c>
      <c r="AG24" t="str">
        <f t="shared" si="85"/>
        <v>72,1406196497425i</v>
      </c>
      <c r="AH24">
        <f t="shared" si="86"/>
        <v>72.140619649742504</v>
      </c>
      <c r="AI24">
        <f t="shared" si="87"/>
        <v>1.5707963267948966</v>
      </c>
      <c r="AJ24" t="str">
        <f t="shared" si="67"/>
        <v>0,999902920515268+0,0846367456448512i</v>
      </c>
      <c r="AK24">
        <f t="shared" si="88"/>
        <v>1.0034785643790871</v>
      </c>
      <c r="AL24">
        <f t="shared" si="89"/>
        <v>8.4443673653108356E-2</v>
      </c>
      <c r="AM24" t="str">
        <f t="shared" si="68"/>
        <v>1+0,116348391371105i</v>
      </c>
      <c r="AN24">
        <f t="shared" si="90"/>
        <v>1.0067457217066502</v>
      </c>
      <c r="AO24">
        <f t="shared" si="91"/>
        <v>0.11582761399913796</v>
      </c>
      <c r="AP24" t="str">
        <f t="shared" si="69"/>
        <v>1+0,0817208939392283i</v>
      </c>
      <c r="AQ24">
        <f t="shared" si="92"/>
        <v>1.0033335958225593</v>
      </c>
      <c r="AR24">
        <f t="shared" si="93"/>
        <v>8.1539700421515746E-2</v>
      </c>
      <c r="AS24" s="42" t="str">
        <f t="shared" si="94"/>
        <v>-32,6909814890271+288,264771391238i</v>
      </c>
      <c r="AT24">
        <f t="shared" si="95"/>
        <v>49.251329658381096</v>
      </c>
      <c r="AU24" s="44">
        <f t="shared" si="96"/>
        <v>96.470048023231797</v>
      </c>
      <c r="AV24" s="42" t="str">
        <f t="shared" si="70"/>
        <v>38637,5113892291+29854,3301771441i</v>
      </c>
      <c r="AW24" s="20">
        <f t="shared" si="97"/>
        <v>93.773314475563723</v>
      </c>
      <c r="AX24" s="44">
        <f t="shared" si="98"/>
        <v>37.692449706937857</v>
      </c>
    </row>
    <row r="25" spans="1:50" x14ac:dyDescent="0.3">
      <c r="A25" t="s">
        <v>32</v>
      </c>
      <c r="B25" s="30">
        <f>VOUT1</f>
        <v>160</v>
      </c>
      <c r="C25" t="s">
        <v>11</v>
      </c>
      <c r="E25" t="s">
        <v>160</v>
      </c>
      <c r="N25" s="8">
        <v>7</v>
      </c>
      <c r="O25" s="35">
        <f t="shared" si="71"/>
        <v>11.748975549395301</v>
      </c>
      <c r="P25" s="34" t="str">
        <f t="shared" si="72"/>
        <v>324,571428571429</v>
      </c>
      <c r="Q25" s="4" t="str">
        <f t="shared" si="63"/>
        <v>1+1,68733692677424i</v>
      </c>
      <c r="R25" s="4">
        <f t="shared" si="73"/>
        <v>1.9614040645557806</v>
      </c>
      <c r="S25" s="4">
        <f t="shared" si="74"/>
        <v>1.0357988674943548</v>
      </c>
      <c r="T25" s="4" t="str">
        <f t="shared" si="64"/>
        <v>1+0,0000147641981092746i</v>
      </c>
      <c r="U25" s="4">
        <f t="shared" si="75"/>
        <v>1.0000000001089908</v>
      </c>
      <c r="V25" s="4">
        <f t="shared" si="76"/>
        <v>1.4764198108201826E-5</v>
      </c>
      <c r="W25" t="str">
        <f t="shared" si="65"/>
        <v>1-0,000128161441920786i</v>
      </c>
      <c r="X25" s="4">
        <f t="shared" si="77"/>
        <v>1.0000000082126776</v>
      </c>
      <c r="Y25" s="4">
        <f t="shared" si="78"/>
        <v>-1.2816144121908694E-4</v>
      </c>
      <c r="Z25" t="str">
        <f t="shared" si="66"/>
        <v>0,999999999447846+0,000109885620302882i</v>
      </c>
      <c r="AA25" s="4">
        <f t="shared" si="79"/>
        <v>1.0000000054852707</v>
      </c>
      <c r="AB25" s="4">
        <f t="shared" si="80"/>
        <v>1.0988561992127167E-4</v>
      </c>
      <c r="AC25" s="48" t="str">
        <f t="shared" si="81"/>
        <v>84,3358997812888-142,375549191133i</v>
      </c>
      <c r="AD25" s="20">
        <f t="shared" si="82"/>
        <v>44.374864346337084</v>
      </c>
      <c r="AE25" s="44">
        <f t="shared" si="83"/>
        <v>-59.359696697546191</v>
      </c>
      <c r="AF25" t="str">
        <f t="shared" si="84"/>
        <v>-20791,6666666667</v>
      </c>
      <c r="AG25" t="str">
        <f t="shared" si="85"/>
        <v>73,8209905463728i</v>
      </c>
      <c r="AH25">
        <f t="shared" si="86"/>
        <v>73.820990546372798</v>
      </c>
      <c r="AI25">
        <f t="shared" si="87"/>
        <v>1.5707963267948966</v>
      </c>
      <c r="AJ25" t="str">
        <f t="shared" si="67"/>
        <v>0,999898345300107+0,0866081887078249i</v>
      </c>
      <c r="AK25">
        <f t="shared" si="88"/>
        <v>1.0036422068073574</v>
      </c>
      <c r="AL25">
        <f t="shared" si="89"/>
        <v>8.640134885984363E-2</v>
      </c>
      <c r="AM25" t="str">
        <f t="shared" si="68"/>
        <v>1+0,11905849355319i</v>
      </c>
      <c r="AN25">
        <f t="shared" si="90"/>
        <v>1.0070625228292209</v>
      </c>
      <c r="AO25">
        <f t="shared" si="91"/>
        <v>0.11850068168655585</v>
      </c>
      <c r="AP25" t="str">
        <f t="shared" si="69"/>
        <v>1+0,0836244180909311i</v>
      </c>
      <c r="AQ25">
        <f t="shared" si="92"/>
        <v>1.0034904300993841</v>
      </c>
      <c r="AR25">
        <f t="shared" si="93"/>
        <v>8.3430302193262154E-2</v>
      </c>
      <c r="AS25" s="42" t="str">
        <f t="shared" si="94"/>
        <v>-32,6909140941318+281,705569126231i</v>
      </c>
      <c r="AT25">
        <f t="shared" si="95"/>
        <v>49.054003765848144</v>
      </c>
      <c r="AU25" s="44">
        <f t="shared" si="96"/>
        <v>96.619360495331378</v>
      </c>
      <c r="AV25" s="42" t="str">
        <f t="shared" si="70"/>
        <v>37350,9674597464+28412,2794933729i</v>
      </c>
      <c r="AW25" s="20">
        <f t="shared" si="97"/>
        <v>93.428868112185214</v>
      </c>
      <c r="AX25" s="44">
        <f t="shared" si="98"/>
        <v>37.25966379778518</v>
      </c>
    </row>
    <row r="26" spans="1:50" x14ac:dyDescent="0.3">
      <c r="A26" t="s">
        <v>33</v>
      </c>
      <c r="B26" s="30">
        <f>IOUT1</f>
        <v>0.5</v>
      </c>
      <c r="C26" t="s">
        <v>12</v>
      </c>
      <c r="E26" t="s">
        <v>34</v>
      </c>
      <c r="N26" s="8">
        <v>8</v>
      </c>
      <c r="O26" s="35">
        <f t="shared" si="71"/>
        <v>12.022644346174133</v>
      </c>
      <c r="P26" s="34" t="str">
        <f t="shared" si="72"/>
        <v>324,571428571429</v>
      </c>
      <c r="Q26" s="4" t="str">
        <f t="shared" si="63"/>
        <v>1+1,72664005278462i</v>
      </c>
      <c r="R26" s="4">
        <f t="shared" si="73"/>
        <v>1.9953159829661256</v>
      </c>
      <c r="S26" s="4">
        <f t="shared" si="74"/>
        <v>1.0458416866397366</v>
      </c>
      <c r="T26" s="4" t="str">
        <f t="shared" si="64"/>
        <v>1+0,0000151081004618654i</v>
      </c>
      <c r="U26" s="4">
        <f t="shared" si="75"/>
        <v>1.0000000001141274</v>
      </c>
      <c r="V26" s="4">
        <f t="shared" si="76"/>
        <v>1.5108100460715901E-5</v>
      </c>
      <c r="W26" t="str">
        <f t="shared" si="65"/>
        <v>1-0,000131146705398137i</v>
      </c>
      <c r="X26" s="4">
        <f t="shared" si="77"/>
        <v>1.0000000085997292</v>
      </c>
      <c r="Y26" s="4">
        <f t="shared" si="78"/>
        <v>-1.3114670464625289E-4</v>
      </c>
      <c r="Z26" t="str">
        <f t="shared" si="66"/>
        <v>0,999999999421824+0,000112445185208363i</v>
      </c>
      <c r="AA26" s="4">
        <f t="shared" si="79"/>
        <v>1.0000000057437839</v>
      </c>
      <c r="AB26" s="4">
        <f t="shared" si="80"/>
        <v>1.1244518479946013E-4</v>
      </c>
      <c r="AC26" s="48" t="str">
        <f t="shared" si="81"/>
        <v>81,4921070905844-140,781695397788i</v>
      </c>
      <c r="AD26" s="20">
        <f t="shared" si="82"/>
        <v>44.225972138849571</v>
      </c>
      <c r="AE26" s="44">
        <f t="shared" si="83"/>
        <v>-59.935405840096507</v>
      </c>
      <c r="AF26" t="str">
        <f t="shared" si="84"/>
        <v>-20791,6666666667</v>
      </c>
      <c r="AG26" t="str">
        <f t="shared" si="85"/>
        <v>75,540502309327i</v>
      </c>
      <c r="AH26">
        <f t="shared" si="86"/>
        <v>75.540502309326996</v>
      </c>
      <c r="AI26">
        <f t="shared" si="87"/>
        <v>1.5707963267948966</v>
      </c>
      <c r="AJ26" t="str">
        <f t="shared" si="67"/>
        <v>0,999893554461699+0,0886255525788464i</v>
      </c>
      <c r="AK26">
        <f t="shared" si="88"/>
        <v>1.0038135328954061</v>
      </c>
      <c r="AL26">
        <f t="shared" si="89"/>
        <v>8.840396512943359E-2</v>
      </c>
      <c r="AM26" t="str">
        <f t="shared" si="68"/>
        <v>1+0,121831722124482i</v>
      </c>
      <c r="AN26">
        <f t="shared" si="90"/>
        <v>1.0073941475489208</v>
      </c>
      <c r="AO26">
        <f t="shared" si="91"/>
        <v>0.12123425262686884</v>
      </c>
      <c r="AP26" t="str">
        <f t="shared" si="69"/>
        <v>1+0,0855722810160056i</v>
      </c>
      <c r="AQ26">
        <f t="shared" si="92"/>
        <v>1.00365462948082</v>
      </c>
      <c r="AR26">
        <f t="shared" si="93"/>
        <v>8.5364322968169273E-2</v>
      </c>
      <c r="AS26" s="42" t="str">
        <f t="shared" si="94"/>
        <v>-32,6908435686474+275,295730360468i</v>
      </c>
      <c r="AT26">
        <f t="shared" si="95"/>
        <v>48.856802098168885</v>
      </c>
      <c r="AU26" s="44">
        <f t="shared" si="96"/>
        <v>96.772052340871937</v>
      </c>
      <c r="AV26" s="42" t="str">
        <f t="shared" si="70"/>
        <v>36092,5539309412+27036,701521694i</v>
      </c>
      <c r="AW26" s="20">
        <f t="shared" si="97"/>
        <v>93.082774237018455</v>
      </c>
      <c r="AX26" s="44">
        <f t="shared" si="98"/>
        <v>36.836646500775494</v>
      </c>
    </row>
    <row r="27" spans="1:50" x14ac:dyDescent="0.3">
      <c r="N27" s="8">
        <v>9</v>
      </c>
      <c r="O27" s="35">
        <f t="shared" si="71"/>
        <v>12.302687708123818</v>
      </c>
      <c r="P27" s="34" t="str">
        <f t="shared" si="72"/>
        <v>324,571428571429</v>
      </c>
      <c r="Q27" s="4" t="str">
        <f t="shared" si="63"/>
        <v>1+1,76685866620577i</v>
      </c>
      <c r="R27" s="4">
        <f t="shared" si="73"/>
        <v>2.0302190882627498</v>
      </c>
      <c r="S27" s="4">
        <f t="shared" si="74"/>
        <v>1.0557700952070939</v>
      </c>
      <c r="T27" s="4" t="str">
        <f t="shared" si="64"/>
        <v>1+0,0000154600133293005i</v>
      </c>
      <c r="U27" s="4">
        <f t="shared" si="75"/>
        <v>1.000000000119506</v>
      </c>
      <c r="V27" s="4">
        <f t="shared" si="76"/>
        <v>1.546001332806879E-5</v>
      </c>
      <c r="W27" t="str">
        <f t="shared" si="65"/>
        <v>1-0,000134201504594622i</v>
      </c>
      <c r="X27" s="4">
        <f t="shared" si="77"/>
        <v>1.0000000090050218</v>
      </c>
      <c r="Y27" s="4">
        <f t="shared" si="78"/>
        <v>-1.3420150378896367E-4</v>
      </c>
      <c r="Z27" t="str">
        <f t="shared" si="66"/>
        <v>0,999999999394576+0,000115064370039429i</v>
      </c>
      <c r="AA27" s="4">
        <f t="shared" si="79"/>
        <v>1.0000000060144805</v>
      </c>
      <c r="AB27" s="4">
        <f t="shared" si="80"/>
        <v>1.1506436960128164E-4</v>
      </c>
      <c r="AC27" s="48" t="str">
        <f t="shared" si="81"/>
        <v>78,7127377526533-139,150169540611i</v>
      </c>
      <c r="AD27" s="20">
        <f t="shared" si="82"/>
        <v>44.075347632993029</v>
      </c>
      <c r="AE27" s="44">
        <f t="shared" si="83"/>
        <v>-60.504566680498584</v>
      </c>
      <c r="AF27" t="str">
        <f t="shared" si="84"/>
        <v>-20791,6666666667</v>
      </c>
      <c r="AG27" t="str">
        <f t="shared" si="85"/>
        <v>77,3000666465025i</v>
      </c>
      <c r="AH27">
        <f t="shared" si="86"/>
        <v>77.300066646502501</v>
      </c>
      <c r="AI27">
        <f t="shared" si="87"/>
        <v>1.5707963267948966</v>
      </c>
      <c r="AJ27" t="str">
        <f t="shared" si="67"/>
        <v>0,999888537838032+0,090689906890943i</v>
      </c>
      <c r="AK27">
        <f t="shared" si="88"/>
        <v>1.0039929020226015</v>
      </c>
      <c r="AL27">
        <f t="shared" si="89"/>
        <v>9.0452522621052231E-2</v>
      </c>
      <c r="AM27" t="str">
        <f t="shared" si="68"/>
        <v>1+0,124669547487479i</v>
      </c>
      <c r="AN27">
        <f t="shared" si="90"/>
        <v>1.0077412842941054</v>
      </c>
      <c r="AO27">
        <f t="shared" si="91"/>
        <v>0.12402961269690031</v>
      </c>
      <c r="AP27" t="str">
        <f t="shared" si="69"/>
        <v>1+0,087565515497158i</v>
      </c>
      <c r="AQ27">
        <f t="shared" si="92"/>
        <v>1.0038265385534908</v>
      </c>
      <c r="AR27">
        <f t="shared" si="93"/>
        <v>8.7342730284834427E-2</v>
      </c>
      <c r="AS27" s="42" t="str">
        <f t="shared" si="94"/>
        <v>-32,6907697693864+269,031856475807i</v>
      </c>
      <c r="AT27">
        <f t="shared" si="95"/>
        <v>48.659730338647449</v>
      </c>
      <c r="AU27" s="44">
        <f t="shared" si="96"/>
        <v>96.928195366147179</v>
      </c>
      <c r="AV27" s="42" t="str">
        <f t="shared" si="70"/>
        <v>34862,6484526438+25725,1601217129i</v>
      </c>
      <c r="AW27" s="20">
        <f t="shared" si="97"/>
        <v>92.735077971640493</v>
      </c>
      <c r="AX27" s="44">
        <f t="shared" si="98"/>
        <v>36.423628685648623</v>
      </c>
    </row>
    <row r="28" spans="1:50" x14ac:dyDescent="0.3">
      <c r="A28" t="s">
        <v>161</v>
      </c>
      <c r="N28" s="8">
        <v>10</v>
      </c>
      <c r="O28" s="35">
        <f t="shared" si="71"/>
        <v>12.58925411794168</v>
      </c>
      <c r="P28" s="34" t="str">
        <f t="shared" si="72"/>
        <v>324,571428571429</v>
      </c>
      <c r="Q28" s="4" t="str">
        <f t="shared" si="63"/>
        <v>1+1,80801409147889i</v>
      </c>
      <c r="R28" s="4">
        <f t="shared" si="73"/>
        <v>2.0661352702536773</v>
      </c>
      <c r="S28" s="4">
        <f t="shared" si="74"/>
        <v>1.0655815273246241</v>
      </c>
      <c r="T28" s="4" t="str">
        <f t="shared" si="64"/>
        <v>1+0,0000158201233004403i</v>
      </c>
      <c r="U28" s="4">
        <f t="shared" si="75"/>
        <v>1.0000000001251381</v>
      </c>
      <c r="V28" s="4">
        <f t="shared" si="76"/>
        <v>1.5820123299120501E-5</v>
      </c>
      <c r="W28" t="str">
        <f t="shared" si="65"/>
        <v>1-0,000137327459205211i</v>
      </c>
      <c r="X28" s="4">
        <f t="shared" si="77"/>
        <v>1.0000000094294155</v>
      </c>
      <c r="Y28" s="4">
        <f t="shared" si="78"/>
        <v>-1.3732745834193254E-4</v>
      </c>
      <c r="Z28" t="str">
        <f t="shared" si="66"/>
        <v>0,999999999366043+0,000117744563522547i</v>
      </c>
      <c r="AA28" s="4">
        <f t="shared" si="79"/>
        <v>1.000000006297934</v>
      </c>
      <c r="AB28" s="4">
        <f t="shared" si="80"/>
        <v>1.1774456305306366E-4</v>
      </c>
      <c r="AC28" s="48" t="str">
        <f t="shared" si="81"/>
        <v>75,9984735318642-137,483965406362i</v>
      </c>
      <c r="AD28" s="20">
        <f t="shared" si="82"/>
        <v>43.923030739711237</v>
      </c>
      <c r="AE28" s="44">
        <f t="shared" si="83"/>
        <v>-61.067032366806657</v>
      </c>
      <c r="AF28" t="str">
        <f t="shared" si="84"/>
        <v>-20791,6666666667</v>
      </c>
      <c r="AG28" t="str">
        <f t="shared" si="85"/>
        <v>79,1006165022013i</v>
      </c>
      <c r="AH28">
        <f t="shared" si="86"/>
        <v>79.100616502201305</v>
      </c>
      <c r="AI28">
        <f t="shared" si="87"/>
        <v>1.5707963267948966</v>
      </c>
      <c r="AJ28" t="str">
        <f t="shared" si="67"/>
        <v>0,999883284788176+0,0928023461920961i</v>
      </c>
      <c r="AK28">
        <f t="shared" si="88"/>
        <v>1.0041806902433199</v>
      </c>
      <c r="AL28">
        <f t="shared" si="89"/>
        <v>9.2548041512276386E-2</v>
      </c>
      <c r="AM28" t="str">
        <f t="shared" si="68"/>
        <v>1+0,12757347429475i</v>
      </c>
      <c r="AN28">
        <f t="shared" si="90"/>
        <v>1.0081046529719191</v>
      </c>
      <c r="AO28">
        <f t="shared" si="91"/>
        <v>0.12688806919560452</v>
      </c>
      <c r="AP28" t="str">
        <f t="shared" si="69"/>
        <v>1+0,0896051783736936i</v>
      </c>
      <c r="AQ28">
        <f t="shared" si="92"/>
        <v>1.0040065179028379</v>
      </c>
      <c r="AR28">
        <f t="shared" si="93"/>
        <v>8.9366511137225824E-2</v>
      </c>
      <c r="AS28" s="42" t="str">
        <f t="shared" si="94"/>
        <v>-32,6906925468236+262,910626244056i</v>
      </c>
      <c r="AT28">
        <f t="shared" si="95"/>
        <v>48.462794422295019</v>
      </c>
      <c r="AU28" s="44">
        <f t="shared" si="96"/>
        <v>97.087862572588989</v>
      </c>
      <c r="AV28" s="42" t="str">
        <f t="shared" si="70"/>
        <v>33661,5527112447+24475,2523130722i</v>
      </c>
      <c r="AW28" s="20">
        <f t="shared" si="97"/>
        <v>92.385825162006242</v>
      </c>
      <c r="AX28" s="44">
        <f t="shared" si="98"/>
        <v>36.020830205782268</v>
      </c>
    </row>
    <row r="29" spans="1:50" x14ac:dyDescent="0.3">
      <c r="A29" t="s">
        <v>162</v>
      </c>
      <c r="B29" s="30">
        <f>Lm</f>
        <v>4.9999999999999996E-6</v>
      </c>
      <c r="C29" t="s">
        <v>75</v>
      </c>
      <c r="E29" t="s">
        <v>163</v>
      </c>
      <c r="N29" s="8">
        <v>11</v>
      </c>
      <c r="O29" s="35">
        <f t="shared" si="71"/>
        <v>12.882495516931346</v>
      </c>
      <c r="P29" s="34" t="str">
        <f t="shared" si="72"/>
        <v>324,571428571429</v>
      </c>
      <c r="Q29" s="4" t="str">
        <f t="shared" si="63"/>
        <v>1+1,8501281497552i</v>
      </c>
      <c r="R29" s="4">
        <f t="shared" si="73"/>
        <v>2.1030868195385088</v>
      </c>
      <c r="S29" s="4">
        <f t="shared" si="74"/>
        <v>1.0752736285234956</v>
      </c>
      <c r="T29" s="4" t="str">
        <f t="shared" si="64"/>
        <v>1+0,000016188621310358i</v>
      </c>
      <c r="U29" s="4">
        <f t="shared" si="75"/>
        <v>1.0000000001310356</v>
      </c>
      <c r="V29" s="4">
        <f t="shared" si="76"/>
        <v>1.6188621308943806E-5</v>
      </c>
      <c r="W29" t="str">
        <f t="shared" si="65"/>
        <v>1-0,000140526226652413i</v>
      </c>
      <c r="X29" s="4">
        <f t="shared" si="77"/>
        <v>1.0000000098738102</v>
      </c>
      <c r="Y29" s="4">
        <f t="shared" si="78"/>
        <v>-1.4052622572739349E-4</v>
      </c>
      <c r="Z29" t="str">
        <f t="shared" si="66"/>
        <v>0,999999999336165+0,000120487186731779i</v>
      </c>
      <c r="AA29" s="4">
        <f t="shared" si="79"/>
        <v>1.0000000065947461</v>
      </c>
      <c r="AB29" s="4">
        <f t="shared" si="80"/>
        <v>1.2048718622871862E-4</v>
      </c>
      <c r="AC29" s="48" t="str">
        <f t="shared" si="81"/>
        <v>73,349829880779-135,786048173711i</v>
      </c>
      <c r="AD29" s="20">
        <f t="shared" si="82"/>
        <v>43.769061738468551</v>
      </c>
      <c r="AE29" s="44">
        <f t="shared" si="83"/>
        <v>-61.622668163338368</v>
      </c>
      <c r="AF29" t="str">
        <f t="shared" si="84"/>
        <v>-20791,6666666667</v>
      </c>
      <c r="AG29" t="str">
        <f t="shared" si="85"/>
        <v>80,9431065517899i</v>
      </c>
      <c r="AH29">
        <f t="shared" si="86"/>
        <v>80.943106551789896</v>
      </c>
      <c r="AI29">
        <f t="shared" si="87"/>
        <v>1.5707963267948966</v>
      </c>
      <c r="AJ29" t="str">
        <f t="shared" si="67"/>
        <v>0,999877784169707+0,0949639905255844i</v>
      </c>
      <c r="AK29">
        <f t="shared" si="88"/>
        <v>1.0043772910478741</v>
      </c>
      <c r="AL29">
        <f t="shared" si="89"/>
        <v>9.4691562237924146E-2</v>
      </c>
      <c r="AM29" t="str">
        <f t="shared" si="68"/>
        <v>1+0,130545042246727i</v>
      </c>
      <c r="AN29">
        <f t="shared" si="90"/>
        <v>1.0084850063611257</v>
      </c>
      <c r="AO29">
        <f t="shared" si="91"/>
        <v>0.12981095076834429</v>
      </c>
      <c r="AP29" t="str">
        <f t="shared" si="69"/>
        <v>1+0,0916923511018676i</v>
      </c>
      <c r="AQ29">
        <f t="shared" si="92"/>
        <v>1.0041949448441712</v>
      </c>
      <c r="AR29">
        <f t="shared" si="93"/>
        <v>9.1436672213788234E-2</v>
      </c>
      <c r="AS29" s="42" t="str">
        <f t="shared" si="94"/>
        <v>-32,690611744839+256,928794065841i</v>
      </c>
      <c r="AT29">
        <f t="shared" si="95"/>
        <v>48.266000546190767</v>
      </c>
      <c r="AU29" s="44">
        <f t="shared" si="96"/>
        <v>97.251128152444423</v>
      </c>
      <c r="AV29" s="42" t="str">
        <f t="shared" si="70"/>
        <v>32489,4947980552+23284,6123174159i</v>
      </c>
      <c r="AW29" s="20">
        <f t="shared" si="97"/>
        <v>92.03506228465929</v>
      </c>
      <c r="AX29" s="44">
        <f t="shared" si="98"/>
        <v>35.628459989106055</v>
      </c>
    </row>
    <row r="30" spans="1:50" x14ac:dyDescent="0.3">
      <c r="N30" s="8">
        <v>12</v>
      </c>
      <c r="O30" s="35">
        <f t="shared" si="71"/>
        <v>13.182567385564075</v>
      </c>
      <c r="P30" s="34" t="str">
        <f t="shared" si="72"/>
        <v>324,571428571429</v>
      </c>
      <c r="Q30" s="4" t="str">
        <f t="shared" si="63"/>
        <v>1+1,89322317046585i</v>
      </c>
      <c r="R30" s="4">
        <f t="shared" si="73"/>
        <v>2.141096441823386</v>
      </c>
      <c r="S30" s="4">
        <f t="shared" si="74"/>
        <v>1.0848442533601965</v>
      </c>
      <c r="T30" s="4" t="str">
        <f t="shared" si="64"/>
        <v>1+0,0000165657027415762i</v>
      </c>
      <c r="U30" s="4">
        <f t="shared" si="75"/>
        <v>1.0000000001372111</v>
      </c>
      <c r="V30" s="4">
        <f t="shared" si="76"/>
        <v>1.6565702740060863E-5</v>
      </c>
      <c r="W30" t="str">
        <f t="shared" si="65"/>
        <v>1-0,000143799502965071i</v>
      </c>
      <c r="X30" s="4">
        <f t="shared" si="77"/>
        <v>1.0000000103391484</v>
      </c>
      <c r="Y30" s="4">
        <f t="shared" si="78"/>
        <v>-1.4379950197389473E-4</v>
      </c>
      <c r="Z30" t="str">
        <f t="shared" si="66"/>
        <v>0,99999999930488+0,000123293693842252i</v>
      </c>
      <c r="AA30" s="4">
        <f t="shared" si="79"/>
        <v>1.0000000069055475</v>
      </c>
      <c r="AB30" s="4">
        <f t="shared" si="80"/>
        <v>1.23293693303213E-4</v>
      </c>
      <c r="AC30" s="48" t="str">
        <f t="shared" si="81"/>
        <v>70,7671619161003-134,059344713258i</v>
      </c>
      <c r="AD30" s="20">
        <f t="shared" si="82"/>
        <v>43.613481176593794</v>
      </c>
      <c r="AE30" s="44">
        <f t="shared" si="83"/>
        <v>-62.171351314534519</v>
      </c>
      <c r="AF30" t="str">
        <f t="shared" si="84"/>
        <v>-20791,6666666667</v>
      </c>
      <c r="AG30" t="str">
        <f t="shared" si="85"/>
        <v>82,828513707881i</v>
      </c>
      <c r="AH30">
        <f t="shared" si="86"/>
        <v>82.828513707881001</v>
      </c>
      <c r="AI30">
        <f t="shared" si="87"/>
        <v>1.5707963267948966</v>
      </c>
      <c r="AJ30" t="str">
        <f t="shared" si="67"/>
        <v>0,999872024315077+0,0971759860238465i</v>
      </c>
      <c r="AK30">
        <f t="shared" si="88"/>
        <v>1.0045831161569643</v>
      </c>
      <c r="AL30">
        <f t="shared" si="89"/>
        <v>9.6884145719028619E-2</v>
      </c>
      <c r="AM30" t="str">
        <f t="shared" si="68"/>
        <v>1+0,13358582690807i</v>
      </c>
      <c r="AN30">
        <f t="shared" si="90"/>
        <v>1.0088831315621809</v>
      </c>
      <c r="AO30">
        <f t="shared" si="91"/>
        <v>0.1327996072924385</v>
      </c>
      <c r="AP30" t="str">
        <f t="shared" si="69"/>
        <v>1+0,0938281403282876i</v>
      </c>
      <c r="AQ30">
        <f t="shared" si="92"/>
        <v>1.0043922141860047</v>
      </c>
      <c r="AR30">
        <f t="shared" si="93"/>
        <v>9.355424012756354E-2</v>
      </c>
      <c r="AS30" s="42" t="str">
        <f t="shared" si="94"/>
        <v>-32,6905272004471+251,083188249558i</v>
      </c>
      <c r="AT30">
        <f t="shared" si="95"/>
        <v>48.069355180194009</v>
      </c>
      <c r="AU30" s="44">
        <f t="shared" si="96"/>
        <v>97.418067482283504</v>
      </c>
      <c r="AV30" s="42" t="str">
        <f t="shared" si="70"/>
        <v>31346,6318537346+22150,91529209i</v>
      </c>
      <c r="AW30" s="20">
        <f t="shared" si="97"/>
        <v>91.682836356787789</v>
      </c>
      <c r="AX30" s="44">
        <f t="shared" si="98"/>
        <v>35.246716167748971</v>
      </c>
    </row>
    <row r="31" spans="1:50" x14ac:dyDescent="0.3">
      <c r="A31" t="s">
        <v>124</v>
      </c>
      <c r="B31" s="30">
        <f>R_cs</f>
        <v>6.0000000000000001E-3</v>
      </c>
      <c r="C31" s="2" t="s">
        <v>35</v>
      </c>
      <c r="E31" t="s">
        <v>164</v>
      </c>
      <c r="N31" s="8">
        <v>13</v>
      </c>
      <c r="O31" s="35">
        <f t="shared" si="71"/>
        <v>13.489628825916535</v>
      </c>
      <c r="P31" s="34" t="str">
        <f t="shared" si="72"/>
        <v>324,571428571429</v>
      </c>
      <c r="Q31" s="4" t="str">
        <f t="shared" si="63"/>
        <v>1+1,93732200316126i</v>
      </c>
      <c r="R31" s="4">
        <f t="shared" si="73"/>
        <v>2.1801872726747025</v>
      </c>
      <c r="S31" s="4">
        <f t="shared" si="74"/>
        <v>1.0942914623774129</v>
      </c>
      <c r="T31" s="4" t="str">
        <f t="shared" si="64"/>
        <v>1+0,000016951567527661i</v>
      </c>
      <c r="U31" s="4">
        <f t="shared" si="75"/>
        <v>1.000000000143678</v>
      </c>
      <c r="V31" s="4">
        <f t="shared" si="76"/>
        <v>1.6951567526037291E-5</v>
      </c>
      <c r="W31" t="str">
        <f t="shared" si="65"/>
        <v>1-0,000147149023677613i</v>
      </c>
      <c r="X31" s="4">
        <f t="shared" si="77"/>
        <v>1.0000000108264175</v>
      </c>
      <c r="Y31" s="4">
        <f t="shared" si="78"/>
        <v>-1.471490226155485E-4</v>
      </c>
      <c r="Z31" t="str">
        <f t="shared" si="66"/>
        <v>0,99999999927212+0,000126165572901185i</v>
      </c>
      <c r="AA31" s="4">
        <f t="shared" si="79"/>
        <v>1.0000000072309958</v>
      </c>
      <c r="AB31" s="4">
        <f t="shared" si="80"/>
        <v>1.261655723235943E-4</v>
      </c>
      <c r="AC31" s="48" t="str">
        <f t="shared" si="81"/>
        <v>68,2506709323767-132,306734641252i</v>
      </c>
      <c r="AD31" s="20">
        <f t="shared" si="82"/>
        <v>43.456329772475712</v>
      </c>
      <c r="AE31" s="44">
        <f t="shared" si="83"/>
        <v>-62.712970870918625</v>
      </c>
      <c r="AF31" t="str">
        <f t="shared" si="84"/>
        <v>-20791,6666666667</v>
      </c>
      <c r="AG31" t="str">
        <f t="shared" si="85"/>
        <v>84,757837638305i</v>
      </c>
      <c r="AH31">
        <f t="shared" si="86"/>
        <v>84.757837638305006</v>
      </c>
      <c r="AI31">
        <f t="shared" si="87"/>
        <v>1.5707963267948966</v>
      </c>
      <c r="AJ31" t="str">
        <f t="shared" si="67"/>
        <v>0,999865993006861+0,0994395055161745i</v>
      </c>
      <c r="AK31">
        <f t="shared" si="88"/>
        <v>1.0047985963509789</v>
      </c>
      <c r="AL31">
        <f t="shared" si="89"/>
        <v>9.912687358071158E-2</v>
      </c>
      <c r="AM31" t="str">
        <f t="shared" si="68"/>
        <v>1+0,136697440543058i</v>
      </c>
      <c r="AN31">
        <f t="shared" si="90"/>
        <v>1.0092998515064902</v>
      </c>
      <c r="AO31">
        <f t="shared" si="91"/>
        <v>0.13585540972093157</v>
      </c>
      <c r="AP31" t="str">
        <f t="shared" si="69"/>
        <v>1+0,0960136784766719i</v>
      </c>
      <c r="AQ31">
        <f t="shared" si="92"/>
        <v>1.0045987390269917</v>
      </c>
      <c r="AR31">
        <f t="shared" si="93"/>
        <v>9.5720261636166232E-2</v>
      </c>
      <c r="AS31" s="42" t="str">
        <f t="shared" si="94"/>
        <v>-32,6904387435218+245,370709329501i</v>
      </c>
      <c r="AT31">
        <f t="shared" si="95"/>
        <v>47.872865078012261</v>
      </c>
      <c r="AU31" s="44">
        <f t="shared" si="96"/>
        <v>97.588757114168629</v>
      </c>
      <c r="AV31" s="42" t="str">
        <f t="shared" si="70"/>
        <v>30233,0529506749+21071,8807430369i</v>
      </c>
      <c r="AW31" s="20">
        <f t="shared" si="97"/>
        <v>91.329194850487966</v>
      </c>
      <c r="AX31" s="44">
        <f t="shared" si="98"/>
        <v>34.875786243250076</v>
      </c>
    </row>
    <row r="32" spans="1:50" x14ac:dyDescent="0.3">
      <c r="A32" t="s">
        <v>125</v>
      </c>
      <c r="B32" s="30">
        <f>R_sl</f>
        <v>0</v>
      </c>
      <c r="C32" s="2" t="s">
        <v>35</v>
      </c>
      <c r="E32" t="s">
        <v>165</v>
      </c>
      <c r="N32" s="8">
        <v>14</v>
      </c>
      <c r="O32" s="35">
        <f t="shared" si="71"/>
        <v>13.803842646028857</v>
      </c>
      <c r="P32" s="34" t="str">
        <f t="shared" si="72"/>
        <v>324,571428571429</v>
      </c>
      <c r="Q32" s="4" t="str">
        <f t="shared" si="63"/>
        <v>1+1,98244802962623i</v>
      </c>
      <c r="R32" s="4">
        <f t="shared" si="73"/>
        <v>2.2203828926941678</v>
      </c>
      <c r="S32" s="4">
        <f t="shared" si="74"/>
        <v>1.1036135184576148</v>
      </c>
      <c r="T32" s="4" t="str">
        <f t="shared" si="64"/>
        <v>1+0,0000173464202592295i</v>
      </c>
      <c r="U32" s="4">
        <f t="shared" si="75"/>
        <v>1.000000000150449</v>
      </c>
      <c r="V32" s="4">
        <f t="shared" si="76"/>
        <v>1.7346420257489663E-5</v>
      </c>
      <c r="W32" t="str">
        <f t="shared" si="65"/>
        <v>1-0,000150576564750256i</v>
      </c>
      <c r="X32" s="4">
        <f t="shared" si="77"/>
        <v>1.000000011336651</v>
      </c>
      <c r="Y32" s="4">
        <f t="shared" si="78"/>
        <v>-1.5057656361223338E-4</v>
      </c>
      <c r="Z32" t="str">
        <f t="shared" si="66"/>
        <v>0,999999999237816+0,000129104346616869i</v>
      </c>
      <c r="AA32" s="4">
        <f t="shared" si="79"/>
        <v>1.0000000075717821</v>
      </c>
      <c r="AB32" s="4">
        <f t="shared" si="80"/>
        <v>1.2910434599796943E-4</v>
      </c>
      <c r="AC32" s="48" t="str">
        <f t="shared" si="81"/>
        <v>65,8004113683182-130,531042145048i</v>
      </c>
      <c r="AD32" s="20">
        <f t="shared" si="82"/>
        <v>43.297648322916089</v>
      </c>
      <c r="AE32" s="44">
        <f t="shared" si="83"/>
        <v>-63.247427480265259</v>
      </c>
      <c r="AF32" t="str">
        <f t="shared" si="84"/>
        <v>-20791,6666666667</v>
      </c>
      <c r="AG32" t="str">
        <f t="shared" si="85"/>
        <v>86,7321012961475i</v>
      </c>
      <c r="AH32">
        <f t="shared" si="86"/>
        <v>86.732101296147505</v>
      </c>
      <c r="AI32">
        <f t="shared" si="87"/>
        <v>1.5707963267948966</v>
      </c>
      <c r="AJ32" t="str">
        <f t="shared" si="67"/>
        <v>0,999859677451845+0,101755749150565i</v>
      </c>
      <c r="AK32">
        <f t="shared" si="88"/>
        <v>1.0050241823355797</v>
      </c>
      <c r="AL32">
        <f t="shared" si="89"/>
        <v>0.10142084835763723</v>
      </c>
      <c r="AM32" t="str">
        <f t="shared" si="68"/>
        <v>1+0,139881532970427i</v>
      </c>
      <c r="AN32">
        <f t="shared" si="90"/>
        <v>1.0097360265268129</v>
      </c>
      <c r="AO32">
        <f t="shared" si="91"/>
        <v>0.13897974988132375</v>
      </c>
      <c r="AP32" t="str">
        <f t="shared" si="69"/>
        <v>1+0,0982501243482759i</v>
      </c>
      <c r="AQ32">
        <f t="shared" si="92"/>
        <v>1.0048149515878293</v>
      </c>
      <c r="AR32">
        <f t="shared" si="93"/>
        <v>9.7935803850369846E-2</v>
      </c>
      <c r="AS32" s="42" t="str">
        <f t="shared" si="94"/>
        <v>-32,6903461965085+239,788328422272i</v>
      </c>
      <c r="AT32">
        <f t="shared" si="95"/>
        <v>47.676537288628722</v>
      </c>
      <c r="AU32" s="44">
        <f t="shared" si="96"/>
        <v>97.763274764301997</v>
      </c>
      <c r="AV32" s="42" t="str">
        <f t="shared" si="70"/>
        <v>29148,7821756752+20045,2756086195i</v>
      </c>
      <c r="AW32" s="20">
        <f t="shared" si="97"/>
        <v>90.974185611544812</v>
      </c>
      <c r="AX32" s="44">
        <f t="shared" si="98"/>
        <v>34.515847284036688</v>
      </c>
    </row>
    <row r="33" spans="1:50" x14ac:dyDescent="0.3">
      <c r="A33" t="s">
        <v>111</v>
      </c>
      <c r="B33" s="12">
        <f>Rsl_int</f>
        <v>1333</v>
      </c>
      <c r="C33" s="2" t="s">
        <v>35</v>
      </c>
      <c r="E33" t="s">
        <v>166</v>
      </c>
      <c r="N33" s="8">
        <v>15</v>
      </c>
      <c r="O33" s="35">
        <f t="shared" si="71"/>
        <v>14.125375446227544</v>
      </c>
      <c r="P33" s="34" t="str">
        <f t="shared" si="72"/>
        <v>324,571428571429</v>
      </c>
      <c r="Q33" s="4" t="str">
        <f t="shared" si="63"/>
        <v>1+2,02862517627731i</v>
      </c>
      <c r="R33" s="4">
        <f t="shared" si="73"/>
        <v>2.2617073430986041</v>
      </c>
      <c r="S33" s="4">
        <f t="shared" si="74"/>
        <v>1.11280888262447</v>
      </c>
      <c r="T33" s="4" t="str">
        <f t="shared" si="64"/>
        <v>1+0,0000177504702924264i</v>
      </c>
      <c r="U33" s="4">
        <f t="shared" si="75"/>
        <v>1.0000000001575398</v>
      </c>
      <c r="V33" s="4">
        <f t="shared" si="76"/>
        <v>1.775047029056213E-5</v>
      </c>
      <c r="W33" t="str">
        <f t="shared" si="65"/>
        <v>1-0,000154083943510646i</v>
      </c>
      <c r="X33" s="4">
        <f t="shared" si="77"/>
        <v>1.0000000118709307</v>
      </c>
      <c r="Y33" s="4">
        <f t="shared" si="78"/>
        <v>-1.5408394229123279E-4</v>
      </c>
      <c r="Z33" t="str">
        <f t="shared" si="66"/>
        <v>0,999999999201895+0,000132111573166028i</v>
      </c>
      <c r="AA33" s="4">
        <f t="shared" si="79"/>
        <v>1.0000000079286286</v>
      </c>
      <c r="AB33" s="4">
        <f t="shared" si="80"/>
        <v>1.3211157250286523E-4</v>
      </c>
      <c r="AC33" s="48" t="str">
        <f t="shared" si="81"/>
        <v>63,416298142554-128,735028589191i</v>
      </c>
      <c r="AD33" s="20">
        <f t="shared" si="82"/>
        <v>43.137477614892205</v>
      </c>
      <c r="AE33" s="44">
        <f t="shared" si="83"/>
        <v>-63.774633147132349</v>
      </c>
      <c r="AF33" t="str">
        <f t="shared" si="84"/>
        <v>-20791,6666666667</v>
      </c>
      <c r="AG33" t="str">
        <f t="shared" si="85"/>
        <v>88,7523514621322i</v>
      </c>
      <c r="AH33">
        <f t="shared" si="86"/>
        <v>88.752351462132197</v>
      </c>
      <c r="AI33">
        <f t="shared" si="87"/>
        <v>1.5707963267948966</v>
      </c>
      <c r="AJ33" t="str">
        <f t="shared" si="67"/>
        <v>0,999853064253892+0,104125945030051i</v>
      </c>
      <c r="AK33">
        <f t="shared" si="88"/>
        <v>1.0052603456449969</v>
      </c>
      <c r="AL33">
        <f t="shared" si="89"/>
        <v>0.10376719368562358</v>
      </c>
      <c r="AM33" t="str">
        <f t="shared" si="68"/>
        <v>1+0,143139792438127i</v>
      </c>
      <c r="AN33">
        <f t="shared" si="90"/>
        <v>1.0101925559908023</v>
      </c>
      <c r="AO33">
        <f t="shared" si="91"/>
        <v>0.14217404022586277</v>
      </c>
      <c r="AP33" t="str">
        <f t="shared" si="69"/>
        <v>1+0,100538663736303i</v>
      </c>
      <c r="AQ33">
        <f t="shared" si="92"/>
        <v>1.0050413040795296</v>
      </c>
      <c r="AR33">
        <f t="shared" si="93"/>
        <v>0.10020195442996818</v>
      </c>
      <c r="AS33" s="42" t="str">
        <f t="shared" si="94"/>
        <v>-32,6902493741289+234,333085620605i</v>
      </c>
      <c r="AT33">
        <f t="shared" si="95"/>
        <v>47.480379168092313</v>
      </c>
      <c r="AU33" s="44">
        <f t="shared" si="96"/>
        <v>97.941699298961709</v>
      </c>
      <c r="AV33" s="42" t="str">
        <f t="shared" si="70"/>
        <v>28093,7818760977+19068,9170101472i</v>
      </c>
      <c r="AW33" s="20">
        <f t="shared" si="97"/>
        <v>90.617856782984504</v>
      </c>
      <c r="AX33" s="44">
        <f t="shared" si="98"/>
        <v>34.167066151829417</v>
      </c>
    </row>
    <row r="34" spans="1:50" x14ac:dyDescent="0.3">
      <c r="A34" t="s">
        <v>109</v>
      </c>
      <c r="B34" s="12">
        <f>Isl</f>
        <v>2.9999999999999997E-5</v>
      </c>
      <c r="C34" s="2" t="s">
        <v>12</v>
      </c>
      <c r="E34" t="s">
        <v>167</v>
      </c>
      <c r="N34" s="8">
        <v>16</v>
      </c>
      <c r="O34" s="35">
        <f t="shared" si="71"/>
        <v>14.454397707459275</v>
      </c>
      <c r="P34" s="34" t="str">
        <f t="shared" si="72"/>
        <v>324,571428571429</v>
      </c>
      <c r="Q34" s="4" t="str">
        <f t="shared" si="63"/>
        <v>1+2,07587792684888i</v>
      </c>
      <c r="R34" s="4">
        <f t="shared" si="73"/>
        <v>2.3041851416885764</v>
      </c>
      <c r="S34" s="4">
        <f t="shared" si="74"/>
        <v>1.1218762093474968</v>
      </c>
      <c r="T34" s="4" t="str">
        <f t="shared" si="64"/>
        <v>1+0,0000181639318599277i</v>
      </c>
      <c r="U34" s="4">
        <f t="shared" si="75"/>
        <v>1.0000000001649643</v>
      </c>
      <c r="V34" s="4">
        <f t="shared" si="76"/>
        <v>1.8163931857930103E-5</v>
      </c>
      <c r="W34" t="str">
        <f t="shared" si="65"/>
        <v>1-0,000157673019617428i</v>
      </c>
      <c r="X34" s="4">
        <f t="shared" si="77"/>
        <v>1.0000000124303905</v>
      </c>
      <c r="Y34" s="4">
        <f t="shared" si="78"/>
        <v>-1.5767301831080322E-4</v>
      </c>
      <c r="Z34" t="str">
        <f t="shared" si="66"/>
        <v>0,999999999164282+0,000135188847019982i</v>
      </c>
      <c r="AA34" s="4">
        <f t="shared" si="79"/>
        <v>1.000000008302294</v>
      </c>
      <c r="AB34" s="4">
        <f t="shared" si="80"/>
        <v>1.351888463093902E-4</v>
      </c>
      <c r="AC34" s="48" t="str">
        <f t="shared" si="81"/>
        <v>61,0981142785465-126,921385902649i</v>
      </c>
      <c r="AD34" s="20">
        <f t="shared" si="82"/>
        <v>42.975858341932707</v>
      </c>
      <c r="AE34" s="44">
        <f t="shared" si="83"/>
        <v>-64.294510963935053</v>
      </c>
      <c r="AF34" t="str">
        <f t="shared" si="84"/>
        <v>-20791,6666666667</v>
      </c>
      <c r="AG34" t="str">
        <f t="shared" si="85"/>
        <v>90,8196592996384i</v>
      </c>
      <c r="AH34">
        <f t="shared" si="86"/>
        <v>90.819659299638403</v>
      </c>
      <c r="AI34">
        <f t="shared" si="87"/>
        <v>1.5707963267948966</v>
      </c>
      <c r="AJ34" t="str">
        <f t="shared" si="67"/>
        <v>0,999846139385521+0,106551349863862i</v>
      </c>
      <c r="AK34">
        <f t="shared" si="88"/>
        <v>1.005507579584531</v>
      </c>
      <c r="AL34">
        <f t="shared" si="89"/>
        <v>0.10616705447790624</v>
      </c>
      <c r="AM34" t="str">
        <f t="shared" si="68"/>
        <v>1+0,146473946518457i</v>
      </c>
      <c r="AN34">
        <f t="shared" si="90"/>
        <v>1.0106703799996772</v>
      </c>
      <c r="AO34">
        <f t="shared" si="91"/>
        <v>0.14543971352979101</v>
      </c>
      <c r="AP34" t="str">
        <f t="shared" si="69"/>
        <v>1+0,10288051005463i</v>
      </c>
      <c r="AQ34">
        <f t="shared" si="92"/>
        <v>1.0052782696095151</v>
      </c>
      <c r="AR34">
        <f t="shared" si="93"/>
        <v>0.10251982176548666</v>
      </c>
      <c r="AS34" s="42" t="str">
        <f t="shared" si="94"/>
        <v>-32,6901480830786+229,002088423739i</v>
      </c>
      <c r="AT34">
        <f t="shared" si="95"/>
        <v>47.284398391671367</v>
      </c>
      <c r="AU34" s="44">
        <f t="shared" si="96"/>
        <v>98.124110717525056</v>
      </c>
      <c r="AV34" s="42" t="str">
        <f t="shared" si="70"/>
        <v>27067,9560339794+18140,6746686066i</v>
      </c>
      <c r="AW34" s="20">
        <f t="shared" si="97"/>
        <v>90.260256733604081</v>
      </c>
      <c r="AX34" s="44">
        <f t="shared" si="98"/>
        <v>33.829599753590031</v>
      </c>
    </row>
    <row r="35" spans="1:50" x14ac:dyDescent="0.3">
      <c r="C35" s="2"/>
      <c r="N35" s="8">
        <v>17</v>
      </c>
      <c r="O35" s="35">
        <f t="shared" si="71"/>
        <v>14.791083881682074</v>
      </c>
      <c r="P35" s="34" t="str">
        <f t="shared" si="72"/>
        <v>324,571428571429</v>
      </c>
      <c r="Q35" s="4" t="str">
        <f t="shared" si="63"/>
        <v>1+2,12423133537476i</v>
      </c>
      <c r="R35" s="4">
        <f t="shared" si="73"/>
        <v>2.3478412991912454</v>
      </c>
      <c r="S35" s="4">
        <f t="shared" si="74"/>
        <v>1.1308143414051741</v>
      </c>
      <c r="T35" s="4" t="str">
        <f t="shared" si="64"/>
        <v>1+0,0000185870241845291i</v>
      </c>
      <c r="U35" s="4">
        <f t="shared" si="75"/>
        <v>1.0000000001727387</v>
      </c>
      <c r="V35" s="4">
        <f t="shared" si="76"/>
        <v>1.8587024182388636E-5</v>
      </c>
      <c r="W35" t="str">
        <f t="shared" si="65"/>
        <v>1-0,00016134569604626i</v>
      </c>
      <c r="X35" s="4">
        <f t="shared" si="77"/>
        <v>1.0000000130162168</v>
      </c>
      <c r="Y35" s="4">
        <f t="shared" si="78"/>
        <v>-1.6134569464618632E-4</v>
      </c>
      <c r="Z35" t="str">
        <f t="shared" si="66"/>
        <v>0,999999999124895+0,000138337799790063i</v>
      </c>
      <c r="AA35" s="4">
        <f t="shared" si="79"/>
        <v>1.0000000086935683</v>
      </c>
      <c r="AB35" s="4">
        <f t="shared" si="80"/>
        <v>1.3833779902865028E-4</v>
      </c>
      <c r="AC35" s="48" t="str">
        <f t="shared" si="81"/>
        <v>58,8455187419854-125,092730739986i</v>
      </c>
      <c r="AD35" s="20">
        <f t="shared" si="82"/>
        <v>42.812831025259911</v>
      </c>
      <c r="AE35" s="44">
        <f t="shared" si="83"/>
        <v>-64.806994816720149</v>
      </c>
      <c r="AF35" t="str">
        <f t="shared" si="84"/>
        <v>-20791,6666666667</v>
      </c>
      <c r="AG35" t="str">
        <f t="shared" si="85"/>
        <v>92,9351209226456i</v>
      </c>
      <c r="AH35">
        <f t="shared" si="86"/>
        <v>92.935120922645595</v>
      </c>
      <c r="AI35">
        <f t="shared" si="87"/>
        <v>1.5707963267948966</v>
      </c>
      <c r="AJ35" t="str">
        <f t="shared" si="67"/>
        <v>0,999838888158159+0,109033249633745i</v>
      </c>
      <c r="AK35">
        <f t="shared" si="88"/>
        <v>1.005766400213806</v>
      </c>
      <c r="AL35">
        <f t="shared" si="89"/>
        <v>0.10862159708442001</v>
      </c>
      <c r="AM35" t="str">
        <f t="shared" si="68"/>
        <v>1+0,149885763024043i</v>
      </c>
      <c r="AN35">
        <f t="shared" si="90"/>
        <v>1.0111704811540434</v>
      </c>
      <c r="AO35">
        <f t="shared" si="91"/>
        <v>0.14877822253374967</v>
      </c>
      <c r="AP35" t="str">
        <f t="shared" si="69"/>
        <v>1+0,105276904981173i</v>
      </c>
      <c r="AQ35">
        <f t="shared" si="92"/>
        <v>1.0055263431270287</v>
      </c>
      <c r="AR35">
        <f t="shared" si="93"/>
        <v>0.10489053514420793</v>
      </c>
      <c r="AS35" s="42" t="str">
        <f t="shared" si="94"/>
        <v>-32,6900421217131+223,792510203523i</v>
      </c>
      <c r="AT35">
        <f t="shared" si="95"/>
        <v>47.088602966372235</v>
      </c>
      <c r="AU35" s="44">
        <f t="shared" si="96"/>
        <v>98.310590132365959</v>
      </c>
      <c r="AV35" s="42" t="str">
        <f t="shared" si="70"/>
        <v>26071,1537341653+17258,4729905076i</v>
      </c>
      <c r="AW35" s="20">
        <f t="shared" si="97"/>
        <v>89.901433991632146</v>
      </c>
      <c r="AX35" s="44">
        <f t="shared" si="98"/>
        <v>33.503595315645782</v>
      </c>
    </row>
    <row r="36" spans="1:50" x14ac:dyDescent="0.3">
      <c r="A36" t="s">
        <v>190</v>
      </c>
      <c r="B36" s="12">
        <f>Gcomp</f>
        <v>0.14199999999999999</v>
      </c>
      <c r="C36" s="2"/>
      <c r="E36" t="s">
        <v>191</v>
      </c>
      <c r="N36" s="8">
        <v>18</v>
      </c>
      <c r="O36" s="35">
        <f t="shared" si="71"/>
        <v>15.135612484362087</v>
      </c>
      <c r="P36" s="34" t="str">
        <f t="shared" si="72"/>
        <v>324,571428571429</v>
      </c>
      <c r="Q36" s="4" t="str">
        <f t="shared" si="63"/>
        <v>1+2,17371103947218i</v>
      </c>
      <c r="R36" s="4">
        <f t="shared" si="73"/>
        <v>2.3927013359638569</v>
      </c>
      <c r="S36" s="4">
        <f t="shared" si="74"/>
        <v>1.1396223043609355</v>
      </c>
      <c r="T36" s="4" t="str">
        <f t="shared" si="64"/>
        <v>1+0,0000190199715953816i</v>
      </c>
      <c r="U36" s="4">
        <f t="shared" si="75"/>
        <v>1.0000000001808798</v>
      </c>
      <c r="V36" s="4">
        <f t="shared" si="76"/>
        <v>1.901997159308805E-5</v>
      </c>
      <c r="W36" t="str">
        <f t="shared" si="65"/>
        <v>1-0,000165103920098798i</v>
      </c>
      <c r="X36" s="4">
        <f t="shared" si="77"/>
        <v>1.0000000136296521</v>
      </c>
      <c r="Y36" s="4">
        <f t="shared" si="78"/>
        <v>-1.6510391859859202E-4</v>
      </c>
      <c r="Z36" t="str">
        <f t="shared" si="66"/>
        <v>0,999999999083653+0,00014156010109271i</v>
      </c>
      <c r="AA36" s="4">
        <f t="shared" si="79"/>
        <v>1.0000000091032841</v>
      </c>
      <c r="AB36" s="4">
        <f t="shared" si="80"/>
        <v>1.4156010027684151E-4</v>
      </c>
      <c r="AC36" s="48" t="str">
        <f t="shared" si="81"/>
        <v>56,6580544182334-123,251599402428i</v>
      </c>
      <c r="AD36" s="20">
        <f t="shared" si="82"/>
        <v>42.648435939808422</v>
      </c>
      <c r="AE36" s="44">
        <f t="shared" si="83"/>
        <v>-65.312029068766279</v>
      </c>
      <c r="AF36" t="str">
        <f t="shared" si="84"/>
        <v>-20791,6666666667</v>
      </c>
      <c r="AG36" t="str">
        <f t="shared" si="85"/>
        <v>95,0998579769078i</v>
      </c>
      <c r="AH36">
        <f t="shared" si="86"/>
        <v>95.099857976907799</v>
      </c>
      <c r="AI36">
        <f t="shared" si="87"/>
        <v>1.5707963267948966</v>
      </c>
      <c r="AJ36" t="str">
        <f t="shared" si="67"/>
        <v>0,999831295190979+0,11157296027581i</v>
      </c>
      <c r="AK36">
        <f t="shared" si="88"/>
        <v>1.0060373473723419</v>
      </c>
      <c r="AL36">
        <f t="shared" si="89"/>
        <v>0.11113200943237984</v>
      </c>
      <c r="AM36" t="str">
        <f t="shared" si="68"/>
        <v>1+0,153377050945157i</v>
      </c>
      <c r="AN36">
        <f t="shared" si="90"/>
        <v>1.0116938863888787</v>
      </c>
      <c r="AO36">
        <f t="shared" si="91"/>
        <v>0.15219103952637031</v>
      </c>
      <c r="AP36" t="str">
        <f t="shared" si="69"/>
        <v>1+0,107729119116241i</v>
      </c>
      <c r="AQ36">
        <f t="shared" si="92"/>
        <v>1.005786042409399</v>
      </c>
      <c r="AR36">
        <f t="shared" si="93"/>
        <v>0.10731524489888446</v>
      </c>
      <c r="AS36" s="42" t="str">
        <f t="shared" si="94"/>
        <v>-32,6899312797264+218,701588705428i</v>
      </c>
      <c r="AT36">
        <f t="shared" si="95"/>
        <v>46.893001243821686</v>
      </c>
      <c r="AU36" s="44">
        <f t="shared" si="96"/>
        <v>98.501219745405237</v>
      </c>
      <c r="AV36" s="42" t="str">
        <f t="shared" si="70"/>
        <v>25103,1726944209+16420,292828808i</v>
      </c>
      <c r="AW36" s="20">
        <f t="shared" si="97"/>
        <v>89.541437183630109</v>
      </c>
      <c r="AX36" s="44">
        <f t="shared" si="98"/>
        <v>33.189190676639036</v>
      </c>
    </row>
    <row r="37" spans="1:50" x14ac:dyDescent="0.3">
      <c r="N37" s="8">
        <v>19</v>
      </c>
      <c r="O37" s="35">
        <f t="shared" si="71"/>
        <v>15.488166189124817</v>
      </c>
      <c r="P37" s="34" t="str">
        <f t="shared" si="72"/>
        <v>324,571428571429</v>
      </c>
      <c r="Q37" s="4" t="str">
        <f t="shared" si="63"/>
        <v>1+2,22434327393519i</v>
      </c>
      <c r="R37" s="4">
        <f t="shared" si="73"/>
        <v>2.43879129904564</v>
      </c>
      <c r="S37" s="4">
        <f t="shared" si="74"/>
        <v>1.148299300705272</v>
      </c>
      <c r="T37" s="4" t="str">
        <f t="shared" si="64"/>
        <v>1+0,0000194630036469329i</v>
      </c>
      <c r="U37" s="4">
        <f t="shared" si="75"/>
        <v>1.0000000001894043</v>
      </c>
      <c r="V37" s="4">
        <f t="shared" si="76"/>
        <v>1.9463003644475316E-5</v>
      </c>
      <c r="W37" t="str">
        <f t="shared" si="65"/>
        <v>1-0,000168949684435182i</v>
      </c>
      <c r="X37" s="4">
        <f t="shared" si="77"/>
        <v>1.0000000142719978</v>
      </c>
      <c r="Y37" s="4">
        <f t="shared" si="78"/>
        <v>-1.6894968282768233E-4</v>
      </c>
      <c r="Z37" t="str">
        <f t="shared" si="66"/>
        <v>0,999999999040467+0,000144857459434725i</v>
      </c>
      <c r="AA37" s="4">
        <f t="shared" si="79"/>
        <v>1.0000000095323087</v>
      </c>
      <c r="AB37" s="4">
        <f t="shared" si="80"/>
        <v>1.4485745856050613E-4</v>
      </c>
      <c r="AC37" s="48" t="str">
        <f t="shared" si="81"/>
        <v>54,5351561621427-121,400443498638i</v>
      </c>
      <c r="AD37" s="20">
        <f t="shared" si="82"/>
        <v>42.482713045183722</v>
      </c>
      <c r="AE37" s="44">
        <f t="shared" si="83"/>
        <v>-65.809568225053027</v>
      </c>
      <c r="AF37" t="str">
        <f t="shared" si="84"/>
        <v>-20791,6666666667</v>
      </c>
      <c r="AG37" t="str">
        <f t="shared" si="85"/>
        <v>97,3150182346647i</v>
      </c>
      <c r="AH37">
        <f t="shared" si="86"/>
        <v>97.315018234664706</v>
      </c>
      <c r="AI37">
        <f t="shared" si="87"/>
        <v>1.5707963267948966</v>
      </c>
      <c r="AJ37" t="str">
        <f t="shared" si="67"/>
        <v>0,99982334437828+0,114171828378255i</v>
      </c>
      <c r="AK37">
        <f t="shared" si="88"/>
        <v>1.0063209857490811</v>
      </c>
      <c r="AL37">
        <f t="shared" si="89"/>
        <v>0.11369950114630635</v>
      </c>
      <c r="AM37" t="str">
        <f t="shared" si="68"/>
        <v>1+0,156949661408867i</v>
      </c>
      <c r="AN37">
        <f t="shared" si="90"/>
        <v>1.0122416688796989</v>
      </c>
      <c r="AO37">
        <f t="shared" si="91"/>
        <v>0.15567965586287083</v>
      </c>
      <c r="AP37" t="str">
        <f t="shared" si="69"/>
        <v>1+0,110238452656228i</v>
      </c>
      <c r="AQ37">
        <f t="shared" si="92"/>
        <v>1.0060579090907438</v>
      </c>
      <c r="AR37">
        <f t="shared" si="93"/>
        <v>0.10979512253739489</v>
      </c>
      <c r="AS37" s="42" t="str">
        <f t="shared" si="94"/>
        <v>-32,6898153378213+213,726624583676i</v>
      </c>
      <c r="AT37">
        <f t="shared" si="95"/>
        <v>46.697601933511024</v>
      </c>
      <c r="AU37" s="44">
        <f t="shared" si="96"/>
        <v>98.696082821079798</v>
      </c>
      <c r="AV37" s="42" t="str">
        <f t="shared" si="70"/>
        <v>24163,7628275655+15624,1729275785i</v>
      </c>
      <c r="AW37" s="20">
        <f t="shared" si="97"/>
        <v>89.180314978694753</v>
      </c>
      <c r="AX37" s="44">
        <f t="shared" si="98"/>
        <v>32.88651459602675</v>
      </c>
    </row>
    <row r="38" spans="1:50" x14ac:dyDescent="0.3">
      <c r="N38" s="8">
        <v>20</v>
      </c>
      <c r="O38" s="35">
        <f t="shared" si="71"/>
        <v>15.848931924611136</v>
      </c>
      <c r="P38" s="34" t="str">
        <f t="shared" si="72"/>
        <v>324,571428571429</v>
      </c>
      <c r="Q38" s="4" t="str">
        <f t="shared" si="63"/>
        <v>1+2,27615488464471i</v>
      </c>
      <c r="R38" s="4">
        <f t="shared" si="73"/>
        <v>2.4861377795472182</v>
      </c>
      <c r="S38" s="4">
        <f t="shared" si="74"/>
        <v>1.1568447037155416</v>
      </c>
      <c r="T38" s="4" t="str">
        <f t="shared" si="64"/>
        <v>1+0,0000199163552406412i</v>
      </c>
      <c r="U38" s="4">
        <f t="shared" si="75"/>
        <v>1.0000000001983307</v>
      </c>
      <c r="V38" s="4">
        <f t="shared" si="76"/>
        <v>1.9916355238007854E-5</v>
      </c>
      <c r="W38" t="str">
        <f t="shared" si="65"/>
        <v>1-0,000172885028130566i</v>
      </c>
      <c r="X38" s="4">
        <f t="shared" si="77"/>
        <v>1.0000000149446162</v>
      </c>
      <c r="Y38" s="4">
        <f t="shared" si="78"/>
        <v>-1.7288502640809908E-4</v>
      </c>
      <c r="Z38" t="str">
        <f t="shared" si="66"/>
        <v>0,999999998995245+0,000148231623119147i</v>
      </c>
      <c r="AA38" s="4">
        <f t="shared" si="79"/>
        <v>1.000000009981552</v>
      </c>
      <c r="AB38" s="4">
        <f t="shared" si="80"/>
        <v>1.4823162218240469E-4</v>
      </c>
      <c r="AC38" s="48" t="str">
        <f t="shared" si="81"/>
        <v>52,4761588576676-119,541626319798i</v>
      </c>
      <c r="AD38" s="20">
        <f t="shared" si="82"/>
        <v>42.315701921586651</v>
      </c>
      <c r="AE38" s="44">
        <f t="shared" si="83"/>
        <v>-66.299576580559958</v>
      </c>
      <c r="AF38" t="str">
        <f t="shared" si="84"/>
        <v>-20791,6666666667</v>
      </c>
      <c r="AG38" t="str">
        <f t="shared" si="85"/>
        <v>99,5817762032062i</v>
      </c>
      <c r="AH38">
        <f t="shared" si="86"/>
        <v>99.581776203206203</v>
      </c>
      <c r="AI38">
        <f t="shared" si="87"/>
        <v>1.5707963267948966</v>
      </c>
      <c r="AJ38" t="str">
        <f t="shared" si="67"/>
        <v>0,999815018855324+0,116831231895349i</v>
      </c>
      <c r="AK38">
        <f t="shared" si="88"/>
        <v>1.0066179059975322</v>
      </c>
      <c r="AL38">
        <f t="shared" si="89"/>
        <v>0.11632530364553766</v>
      </c>
      <c r="AM38" t="str">
        <f t="shared" si="68"/>
        <v>1+0,160605488660531i</v>
      </c>
      <c r="AN38">
        <f t="shared" si="90"/>
        <v>1.0128149500219119</v>
      </c>
      <c r="AO38">
        <f t="shared" si="91"/>
        <v>0.15924558141528422</v>
      </c>
      <c r="AP38" t="str">
        <f t="shared" si="69"/>
        <v>1+0,112806236082992i</v>
      </c>
      <c r="AQ38">
        <f t="shared" si="92"/>
        <v>1.0063425097347383</v>
      </c>
      <c r="AR38">
        <f t="shared" si="93"/>
        <v>0.11233136085147544</v>
      </c>
      <c r="AS38" s="42" t="str">
        <f t="shared" si="94"/>
        <v>-32,6896940673707+208,864979969698i</v>
      </c>
      <c r="AT38">
        <f t="shared" si="95"/>
        <v>46.502414116397802</v>
      </c>
      <c r="AU38" s="44">
        <f t="shared" si="96"/>
        <v>98.895263655486332</v>
      </c>
      <c r="AV38" s="42" t="str">
        <f t="shared" si="70"/>
        <v>23252,6298079418+14868,2110614036i</v>
      </c>
      <c r="AW38" s="20">
        <f t="shared" si="97"/>
        <v>88.818116037984453</v>
      </c>
      <c r="AX38" s="44">
        <f t="shared" si="98"/>
        <v>32.595687074926452</v>
      </c>
    </row>
    <row r="39" spans="1:50" x14ac:dyDescent="0.3">
      <c r="A39" t="s">
        <v>504</v>
      </c>
      <c r="N39" s="8">
        <v>21</v>
      </c>
      <c r="O39" s="35">
        <f t="shared" si="71"/>
        <v>16.218100973589298</v>
      </c>
      <c r="P39" s="34" t="str">
        <f t="shared" si="72"/>
        <v>324,571428571429</v>
      </c>
      <c r="Q39" s="4" t="str">
        <f t="shared" si="63"/>
        <v>1+2,32917334280254i</v>
      </c>
      <c r="R39" s="4">
        <f t="shared" si="73"/>
        <v>2.5347679303679773</v>
      </c>
      <c r="S39" s="4">
        <f t="shared" si="74"/>
        <v>1.1652580510831079</v>
      </c>
      <c r="T39" s="4" t="str">
        <f t="shared" si="64"/>
        <v>1+0,0000203802667495222i</v>
      </c>
      <c r="U39" s="4">
        <f t="shared" si="75"/>
        <v>1.0000000002076777</v>
      </c>
      <c r="V39" s="4">
        <f t="shared" si="76"/>
        <v>2.0380266746700518E-5</v>
      </c>
      <c r="W39" t="str">
        <f t="shared" si="65"/>
        <v>1-0,000176912037756269i</v>
      </c>
      <c r="X39" s="4">
        <f t="shared" si="77"/>
        <v>1.0000000156489344</v>
      </c>
      <c r="Y39" s="4">
        <f t="shared" si="78"/>
        <v>-1.7691203591061242E-4</v>
      </c>
      <c r="Z39" t="str">
        <f t="shared" si="66"/>
        <v>0,999999998947893+0,000151684381172225i</v>
      </c>
      <c r="AA39" s="4">
        <f t="shared" si="79"/>
        <v>1.0000000104519686</v>
      </c>
      <c r="AB39" s="4">
        <f t="shared" si="80"/>
        <v>1.5168438016848745E-4</v>
      </c>
      <c r="AC39" s="48" t="str">
        <f t="shared" si="81"/>
        <v>50,4803054300842-117,677419899137i</v>
      </c>
      <c r="AD39" s="20">
        <f t="shared" si="82"/>
        <v>42.147441710692199</v>
      </c>
      <c r="AE39" s="44">
        <f t="shared" si="83"/>
        <v>-66.782027855236308</v>
      </c>
      <c r="AF39" t="str">
        <f t="shared" si="84"/>
        <v>-20791,6666666667</v>
      </c>
      <c r="AG39" t="str">
        <f t="shared" si="85"/>
        <v>101,901333747611i</v>
      </c>
      <c r="AH39">
        <f t="shared" si="86"/>
        <v>101.90133374761101</v>
      </c>
      <c r="AI39">
        <f t="shared" si="87"/>
        <v>1.5707963267948966</v>
      </c>
      <c r="AJ39" t="str">
        <f t="shared" si="67"/>
        <v>0,999806300962558+0,119552580878039i</v>
      </c>
      <c r="AK39">
        <f t="shared" si="88"/>
        <v>1.0069287258982302</v>
      </c>
      <c r="AL39">
        <f t="shared" si="89"/>
        <v>0.11901067021711952</v>
      </c>
      <c r="AM39" t="str">
        <f t="shared" si="68"/>
        <v>1+0,164346471068147i</v>
      </c>
      <c r="AN39">
        <f t="shared" si="90"/>
        <v>1.013414901485346</v>
      </c>
      <c r="AO39">
        <f t="shared" si="91"/>
        <v>0.16289034394973684</v>
      </c>
      <c r="AP39" t="str">
        <f t="shared" si="69"/>
        <v>1+0,115433830869294i</v>
      </c>
      <c r="AQ39">
        <f t="shared" si="92"/>
        <v>1.0066404369531163</v>
      </c>
      <c r="AR39">
        <f t="shared" si="93"/>
        <v>0.1149251740025504</v>
      </c>
      <c r="AS39" s="42" t="str">
        <f t="shared" si="94"/>
        <v>-32,6895672300692+204,114077073182i</v>
      </c>
      <c r="AT39">
        <f t="shared" si="95"/>
        <v>46.307447258860321</v>
      </c>
      <c r="AU39" s="44">
        <f t="shared" si="96"/>
        <v>99.098847541442808</v>
      </c>
      <c r="AV39" s="42" t="str">
        <f t="shared" si="70"/>
        <v>22369,4386169145+14150,5648824879i</v>
      </c>
      <c r="AW39" s="20">
        <f t="shared" si="97"/>
        <v>88.454888969552528</v>
      </c>
      <c r="AX39" s="44">
        <f t="shared" si="98"/>
        <v>32.316819686206493</v>
      </c>
    </row>
    <row r="40" spans="1:50" x14ac:dyDescent="0.3">
      <c r="A40" t="s">
        <v>505</v>
      </c>
      <c r="B40" s="20">
        <f>((Np/NS1_)*(VOUT1+VD))/((VIN_var+(Np/NS1_)*(VOUT1+VD)))</f>
        <v>0.4</v>
      </c>
      <c r="C40" t="s">
        <v>14</v>
      </c>
      <c r="E40" t="s">
        <v>506</v>
      </c>
      <c r="N40" s="8">
        <v>22</v>
      </c>
      <c r="O40" s="35">
        <f t="shared" si="71"/>
        <v>16.595869074375614</v>
      </c>
      <c r="P40" s="34" t="str">
        <f t="shared" si="72"/>
        <v>324,571428571429</v>
      </c>
      <c r="Q40" s="4" t="str">
        <f t="shared" si="63"/>
        <v>1+2,38342675949698i</v>
      </c>
      <c r="R40" s="4">
        <f t="shared" si="73"/>
        <v>2.5847094842334362</v>
      </c>
      <c r="S40" s="4">
        <f t="shared" si="74"/>
        <v>1.1735390383552027</v>
      </c>
      <c r="T40" s="4" t="str">
        <f t="shared" si="64"/>
        <v>1+0,0000208549841455986i</v>
      </c>
      <c r="U40" s="4">
        <f t="shared" si="75"/>
        <v>1.0000000002174652</v>
      </c>
      <c r="V40" s="4">
        <f t="shared" si="76"/>
        <v>2.0854984142575112E-5</v>
      </c>
      <c r="W40" t="str">
        <f t="shared" si="65"/>
        <v>1-0,000181032848486099i</v>
      </c>
      <c r="X40" s="4">
        <f t="shared" si="77"/>
        <v>1.000000016386446</v>
      </c>
      <c r="Y40" s="4">
        <f t="shared" si="78"/>
        <v>-1.8103284650844236E-4</v>
      </c>
      <c r="Z40" t="str">
        <f t="shared" si="66"/>
        <v>0,999999998898308+0,000155217564291981i</v>
      </c>
      <c r="AA40" s="4">
        <f t="shared" si="79"/>
        <v>1.0000000109445539</v>
      </c>
      <c r="AB40" s="4">
        <f t="shared" si="80"/>
        <v>1.5521756321645698E-4</v>
      </c>
      <c r="AC40" s="48" t="str">
        <f t="shared" si="81"/>
        <v>48,5467547591272-115,81000272237i</v>
      </c>
      <c r="AD40" s="20">
        <f t="shared" si="82"/>
        <v>41.977971061435937</v>
      </c>
      <c r="AE40" s="44">
        <f t="shared" si="83"/>
        <v>-67.256904818358038</v>
      </c>
      <c r="AF40" t="str">
        <f t="shared" si="84"/>
        <v>-20791,6666666667</v>
      </c>
      <c r="AG40" t="str">
        <f t="shared" si="85"/>
        <v>104,274920727993i</v>
      </c>
      <c r="AH40">
        <f t="shared" si="86"/>
        <v>104.27492072799301</v>
      </c>
      <c r="AI40">
        <f t="shared" si="87"/>
        <v>1.5707963267948966</v>
      </c>
      <c r="AJ40" t="str">
        <f t="shared" si="67"/>
        <v>0,999797172208165+0,122337318221575i</v>
      </c>
      <c r="AK40">
        <f t="shared" si="88"/>
        <v>1.0072540915702901</v>
      </c>
      <c r="AL40">
        <f t="shared" si="89"/>
        <v>0.12175687606184832</v>
      </c>
      <c r="AM40" t="str">
        <f t="shared" si="68"/>
        <v>1+0,168174592150107i</v>
      </c>
      <c r="AN40">
        <f t="shared" si="90"/>
        <v>1.0140427473459168</v>
      </c>
      <c r="AO40">
        <f t="shared" si="91"/>
        <v>0.16661548842601551</v>
      </c>
      <c r="AP40" t="str">
        <f t="shared" si="69"/>
        <v>1+0,11812263020067i</v>
      </c>
      <c r="AQ40">
        <f t="shared" si="92"/>
        <v>1.00695231057162</v>
      </c>
      <c r="AR40">
        <f t="shared" si="93"/>
        <v>0.11757779758254955</v>
      </c>
      <c r="AS40" s="42" t="str">
        <f t="shared" si="94"/>
        <v>-32,6894345775805+199,471396814937i</v>
      </c>
      <c r="AT40">
        <f t="shared" si="95"/>
        <v>46.11271122699592</v>
      </c>
      <c r="AU40" s="44">
        <f t="shared" si="96"/>
        <v>99.306920729203725</v>
      </c>
      <c r="AV40" s="42" t="str">
        <f t="shared" si="70"/>
        <v>21513,8170445205+13469,4524900576i</v>
      </c>
      <c r="AW40" s="20">
        <f t="shared" si="97"/>
        <v>88.090682288431864</v>
      </c>
      <c r="AX40" s="44">
        <f t="shared" si="98"/>
        <v>32.050015910845595</v>
      </c>
    </row>
    <row r="41" spans="1:50" x14ac:dyDescent="0.3">
      <c r="A41" t="s">
        <v>189</v>
      </c>
      <c r="B41" s="16">
        <f>Gcomp*((VOUT1^2)/(Pout_var))*((1-Dc_var_ccm)/((1+Dc_var_ccm)*((Acs*R_cs)/(Np/NS1_))))</f>
        <v>324.57142857142856</v>
      </c>
      <c r="C41" t="s">
        <v>144</v>
      </c>
      <c r="E41" t="s">
        <v>193</v>
      </c>
      <c r="N41" s="8">
        <v>23</v>
      </c>
      <c r="O41" s="35">
        <f t="shared" si="71"/>
        <v>16.982436524617448</v>
      </c>
      <c r="P41" s="34" t="str">
        <f t="shared" si="72"/>
        <v>324,571428571429</v>
      </c>
      <c r="Q41" s="4" t="str">
        <f t="shared" si="63"/>
        <v>1+2,43894390060768i</v>
      </c>
      <c r="R41" s="4">
        <f t="shared" si="73"/>
        <v>2.6359907720459499</v>
      </c>
      <c r="S41" s="4">
        <f t="shared" si="74"/>
        <v>1.181687512236397</v>
      </c>
      <c r="T41" s="4" t="str">
        <f t="shared" si="64"/>
        <v>1+0,0000213407591303172i</v>
      </c>
      <c r="U41" s="4">
        <f t="shared" si="75"/>
        <v>1.0000000002277138</v>
      </c>
      <c r="V41" s="4">
        <f t="shared" si="76"/>
        <v>2.1340759127077475E-5</v>
      </c>
      <c r="W41" t="str">
        <f t="shared" si="65"/>
        <v>1-0,000185249645228448i</v>
      </c>
      <c r="X41" s="4">
        <f t="shared" si="77"/>
        <v>1.0000000171587153</v>
      </c>
      <c r="Y41" s="4">
        <f t="shared" si="78"/>
        <v>-1.8524964310935073E-4</v>
      </c>
      <c r="Z41" t="str">
        <f t="shared" si="66"/>
        <v>0,999999998846387+0,000158833045818871i</v>
      </c>
      <c r="AA41" s="4">
        <f t="shared" si="79"/>
        <v>1.0000000114603551</v>
      </c>
      <c r="AB41" s="4">
        <f t="shared" si="80"/>
        <v>1.5883304466642623E-4</v>
      </c>
      <c r="AC41" s="48" t="str">
        <f t="shared" si="81"/>
        <v>46,6745894469493-113,941458052648i</v>
      </c>
      <c r="AD41" s="20">
        <f t="shared" si="82"/>
        <v>41.807328080634022</v>
      </c>
      <c r="AE41" s="44">
        <f t="shared" si="83"/>
        <v>-67.724198904842822</v>
      </c>
      <c r="AF41" t="str">
        <f t="shared" si="84"/>
        <v>-20791,6666666667</v>
      </c>
      <c r="AG41" t="str">
        <f t="shared" si="85"/>
        <v>106,703795651586i</v>
      </c>
      <c r="AH41">
        <f t="shared" si="86"/>
        <v>106.70379565158601</v>
      </c>
      <c r="AI41">
        <f t="shared" si="87"/>
        <v>1.5707963267948966</v>
      </c>
      <c r="AJ41" t="str">
        <f t="shared" si="67"/>
        <v>0,999787613228831+0,125186920430558i</v>
      </c>
      <c r="AK41">
        <f t="shared" si="88"/>
        <v>1.0075946787338099</v>
      </c>
      <c r="AL41">
        <f t="shared" si="89"/>
        <v>0.12456521831110989</v>
      </c>
      <c r="AM41" t="str">
        <f t="shared" si="68"/>
        <v>1+0,172091881626878i</v>
      </c>
      <c r="AN41">
        <f t="shared" si="90"/>
        <v>1.0146997662963559</v>
      </c>
      <c r="AO41">
        <f t="shared" si="91"/>
        <v>0.1704225762144253</v>
      </c>
      <c r="AP41" t="str">
        <f t="shared" si="69"/>
        <v>1+0,120874059714117i</v>
      </c>
      <c r="AQ41">
        <f t="shared" si="92"/>
        <v>1.0072787788451476</v>
      </c>
      <c r="AR41">
        <f t="shared" si="93"/>
        <v>0.12029048864746512</v>
      </c>
      <c r="AS41" s="42" t="str">
        <f t="shared" si="94"/>
        <v>-32,6892958511735+194,93447749089i</v>
      </c>
      <c r="AT41">
        <f t="shared" si="95"/>
        <v>45.9182163012551</v>
      </c>
      <c r="AU41" s="44">
        <f t="shared" si="96"/>
        <v>99.519570382546931</v>
      </c>
      <c r="AV41" s="42" t="str">
        <f t="shared" si="70"/>
        <v>20685,3591268797+12823,15273794i</v>
      </c>
      <c r="AW41" s="20">
        <f t="shared" si="97"/>
        <v>87.725544381889122</v>
      </c>
      <c r="AX41" s="44">
        <f t="shared" si="98"/>
        <v>31.795371477704229</v>
      </c>
    </row>
    <row r="42" spans="1:50" x14ac:dyDescent="0.3">
      <c r="A42" t="s">
        <v>206</v>
      </c>
      <c r="B42" s="18">
        <f>(1+Dc_var_ccm)/(Cout_total*((VOUT1^2)/Pout_var))</f>
        <v>43.749999999999993</v>
      </c>
      <c r="C42" t="s">
        <v>205</v>
      </c>
      <c r="E42" t="s">
        <v>196</v>
      </c>
      <c r="N42" s="8">
        <v>24</v>
      </c>
      <c r="O42" s="35">
        <f t="shared" si="71"/>
        <v>17.378008287493756</v>
      </c>
      <c r="P42" s="34" t="str">
        <f t="shared" si="72"/>
        <v>324,571428571429</v>
      </c>
      <c r="Q42" s="4" t="str">
        <f t="shared" si="63"/>
        <v>1+2,49575420205774i</v>
      </c>
      <c r="R42" s="4">
        <f t="shared" si="73"/>
        <v>2.6886407415437392</v>
      </c>
      <c r="S42" s="4">
        <f t="shared" si="74"/>
        <v>1.1897034637919213</v>
      </c>
      <c r="T42" s="4" t="str">
        <f t="shared" si="64"/>
        <v>1+0,0000218378492680052i</v>
      </c>
      <c r="U42" s="4">
        <f t="shared" si="75"/>
        <v>1.0000000002384457</v>
      </c>
      <c r="V42" s="4">
        <f t="shared" si="76"/>
        <v>2.183784926453377E-5</v>
      </c>
      <c r="W42" t="str">
        <f t="shared" si="65"/>
        <v>1-0,000189564663784767i</v>
      </c>
      <c r="X42" s="4">
        <f t="shared" si="77"/>
        <v>1.0000000179673807</v>
      </c>
      <c r="Y42" s="4">
        <f t="shared" si="78"/>
        <v>-1.8956466151411337E-4</v>
      </c>
      <c r="Z42" t="str">
        <f t="shared" si="66"/>
        <v>0,999999998792019+0,000162532742729059i</v>
      </c>
      <c r="AA42" s="4">
        <f t="shared" si="79"/>
        <v>1.0000000120004651</v>
      </c>
      <c r="AB42" s="4">
        <f t="shared" si="80"/>
        <v>1.6253274149419217E-4</v>
      </c>
      <c r="AC42" s="48" t="str">
        <f t="shared" si="81"/>
        <v>44,8628234003256-112,073772831412i</v>
      </c>
      <c r="AD42" s="20">
        <f t="shared" si="82"/>
        <v>41.635550288333611</v>
      </c>
      <c r="AE42" s="44">
        <f t="shared" si="83"/>
        <v>-68.183909825945719</v>
      </c>
      <c r="AF42" t="str">
        <f t="shared" si="84"/>
        <v>-20791,6666666667</v>
      </c>
      <c r="AG42" t="str">
        <f t="shared" si="85"/>
        <v>109,189246340026i</v>
      </c>
      <c r="AH42">
        <f t="shared" si="86"/>
        <v>109.189246340026</v>
      </c>
      <c r="AI42">
        <f t="shared" si="87"/>
        <v>1.5707963267948966</v>
      </c>
      <c r="AJ42" t="str">
        <f t="shared" si="67"/>
        <v>0,999777603748681+0,128102898401799i</v>
      </c>
      <c r="AK42">
        <f t="shared" si="88"/>
        <v>1.0079511940249866</v>
      </c>
      <c r="AL42">
        <f t="shared" si="89"/>
        <v>0.12743701601197727</v>
      </c>
      <c r="AM42" t="str">
        <f t="shared" si="68"/>
        <v>1+0,176100416497194i</v>
      </c>
      <c r="AN42">
        <f t="shared" si="90"/>
        <v>1.0153872939378774</v>
      </c>
      <c r="AO42">
        <f t="shared" si="91"/>
        <v>0.17431318422478961</v>
      </c>
      <c r="AP42" t="str">
        <f t="shared" si="69"/>
        <v>1+0,123689578253981i</v>
      </c>
      <c r="AQ42">
        <f t="shared" si="92"/>
        <v>1.0076205197238928</v>
      </c>
      <c r="AR42">
        <f t="shared" si="93"/>
        <v>0.12306452572125894</v>
      </c>
      <c r="AS42" s="42" t="str">
        <f t="shared" si="94"/>
        <v>-32,6891507813506+190,500913466444i</v>
      </c>
      <c r="AT42">
        <f t="shared" si="95"/>
        <v>45.723973191396503</v>
      </c>
      <c r="AU42" s="44">
        <f t="shared" si="96"/>
        <v>99.736884529946749</v>
      </c>
      <c r="AV42" s="42" t="str">
        <f t="shared" si="70"/>
        <v>19883,6285014044+12210,0052971666i</v>
      </c>
      <c r="AW42" s="20">
        <f t="shared" si="97"/>
        <v>87.359523479730115</v>
      </c>
      <c r="AX42" s="44">
        <f t="shared" si="98"/>
        <v>31.552974704000899</v>
      </c>
    </row>
    <row r="43" spans="1:50" x14ac:dyDescent="0.3">
      <c r="B43" s="18">
        <f>wp_lf/(2*PI())</f>
        <v>6.9630287602704204</v>
      </c>
      <c r="C43" t="s">
        <v>61</v>
      </c>
      <c r="N43" s="8">
        <v>25</v>
      </c>
      <c r="O43" s="35">
        <f t="shared" si="71"/>
        <v>17.782794100389236</v>
      </c>
      <c r="P43" s="34" t="str">
        <f t="shared" si="72"/>
        <v>324,571428571429</v>
      </c>
      <c r="Q43" s="4" t="str">
        <f t="shared" si="63"/>
        <v>1+2,55388778542091i</v>
      </c>
      <c r="R43" s="4">
        <f t="shared" si="73"/>
        <v>2.742688976264374</v>
      </c>
      <c r="S43" s="4">
        <f t="shared" si="74"/>
        <v>1.1975870215922408</v>
      </c>
      <c r="T43" s="4" t="str">
        <f t="shared" si="64"/>
        <v>1+0,000022346518122433i</v>
      </c>
      <c r="U43" s="4">
        <f t="shared" si="75"/>
        <v>1.0000000002496834</v>
      </c>
      <c r="V43" s="4">
        <f t="shared" si="76"/>
        <v>2.2346518118713297E-5</v>
      </c>
      <c r="W43" t="str">
        <f t="shared" si="65"/>
        <v>1-0,000193980192035009i</v>
      </c>
      <c r="X43" s="4">
        <f t="shared" si="77"/>
        <v>1.0000000188141573</v>
      </c>
      <c r="Y43" s="4">
        <f t="shared" si="78"/>
        <v>-1.9398018960195979E-4</v>
      </c>
      <c r="Z43" t="str">
        <f t="shared" si="66"/>
        <v>0,999999998735089+0,000166318616650816i</v>
      </c>
      <c r="AA43" s="4">
        <f t="shared" si="79"/>
        <v>1.00000001256603</v>
      </c>
      <c r="AB43" s="4">
        <f t="shared" si="80"/>
        <v>1.6631861532763226E-4</v>
      </c>
      <c r="AC43" s="48" t="str">
        <f t="shared" si="81"/>
        <v>43,1104091919769-110,208837115031i</v>
      </c>
      <c r="AD43" s="20">
        <f t="shared" si="82"/>
        <v>41.462674577768475</v>
      </c>
      <c r="AE43" s="44">
        <f t="shared" si="83"/>
        <v>-68.636045176589036</v>
      </c>
      <c r="AF43" t="str">
        <f t="shared" si="84"/>
        <v>-20791,6666666667</v>
      </c>
      <c r="AG43" t="str">
        <f t="shared" si="85"/>
        <v>111,732590612165i</v>
      </c>
      <c r="AH43">
        <f t="shared" si="86"/>
        <v>111.732590612165</v>
      </c>
      <c r="AI43">
        <f t="shared" si="87"/>
        <v>1.5707963267948966</v>
      </c>
      <c r="AJ43" t="str">
        <f t="shared" si="67"/>
        <v>0,999767122536264+0,131086798225414i</v>
      </c>
      <c r="AK43">
        <f t="shared" si="88"/>
        <v>1.0083243763657761</v>
      </c>
      <c r="AL43">
        <f t="shared" si="89"/>
        <v>0.13037361007791329</v>
      </c>
      <c r="AM43" t="str">
        <f t="shared" si="68"/>
        <v>1+0,1802023221393i</v>
      </c>
      <c r="AN43">
        <f t="shared" si="90"/>
        <v>1.0161067251545952</v>
      </c>
      <c r="AO43">
        <f t="shared" si="91"/>
        <v>0.17828890394219499</v>
      </c>
      <c r="AP43" t="str">
        <f t="shared" si="69"/>
        <v>1+0,12657067864546i</v>
      </c>
      <c r="AQ43">
        <f t="shared" si="92"/>
        <v>1.0079782421723062</v>
      </c>
      <c r="AR43">
        <f t="shared" si="93"/>
        <v>0.12590120876759855</v>
      </c>
      <c r="AS43" s="42" t="str">
        <f t="shared" si="94"/>
        <v>-32,688999087475+186,168353900592i</v>
      </c>
      <c r="AT43">
        <f t="shared" si="95"/>
        <v>45.529993051751731</v>
      </c>
      <c r="AU43" s="44">
        <f t="shared" si="96"/>
        <v>99.958952010531277</v>
      </c>
      <c r="AV43" s="42" t="str">
        <f t="shared" si="70"/>
        <v>19108,1616642666+11628,4104911362i</v>
      </c>
      <c r="AW43" s="20">
        <f t="shared" si="97"/>
        <v>86.992667629520213</v>
      </c>
      <c r="AX43" s="44">
        <f t="shared" si="98"/>
        <v>31.322906833942195</v>
      </c>
    </row>
    <row r="44" spans="1:50" x14ac:dyDescent="0.3">
      <c r="N44" s="8">
        <v>26</v>
      </c>
      <c r="O44" s="35">
        <f t="shared" si="71"/>
        <v>18.197008586099841</v>
      </c>
      <c r="P44" s="34" t="str">
        <f t="shared" si="72"/>
        <v>324,571428571429</v>
      </c>
      <c r="Q44" s="4" t="str">
        <f t="shared" si="63"/>
        <v>1+2,61337547389264i</v>
      </c>
      <c r="R44" s="4">
        <f t="shared" si="73"/>
        <v>2.7981657148109687</v>
      </c>
      <c r="S44" s="4">
        <f t="shared" si="74"/>
        <v>1.2053384448355047</v>
      </c>
      <c r="T44" s="4" t="str">
        <f t="shared" si="64"/>
        <v>1+0,0000228670353965606i</v>
      </c>
      <c r="U44" s="4">
        <f t="shared" si="75"/>
        <v>1.0000000002614506</v>
      </c>
      <c r="V44" s="4">
        <f t="shared" si="76"/>
        <v>2.2867035392574867E-5</v>
      </c>
      <c r="W44" t="str">
        <f t="shared" si="65"/>
        <v>1-0,0001984985711507i</v>
      </c>
      <c r="X44" s="4">
        <f t="shared" si="77"/>
        <v>1.0000000197008412</v>
      </c>
      <c r="Y44" s="4">
        <f t="shared" si="78"/>
        <v>-1.9849856854364082E-4</v>
      </c>
      <c r="Z44" t="str">
        <f t="shared" si="66"/>
        <v>0,999999998675476+0,00017019267490461i</v>
      </c>
      <c r="AA44" s="4">
        <f t="shared" si="79"/>
        <v>1.0000000131582492</v>
      </c>
      <c r="AB44" s="4">
        <f t="shared" si="80"/>
        <v>1.7019267348679303E-4</v>
      </c>
      <c r="AC44" s="48" t="str">
        <f t="shared" si="81"/>
        <v>41,4162451711087-108,34844400621i</v>
      </c>
      <c r="AD44" s="20">
        <f t="shared" si="82"/>
        <v>41.288737179773911</v>
      </c>
      <c r="AE44" s="44">
        <f t="shared" si="83"/>
        <v>-69.080620041430521</v>
      </c>
      <c r="AF44" t="str">
        <f t="shared" si="84"/>
        <v>-20791,6666666667</v>
      </c>
      <c r="AG44" t="str">
        <f t="shared" si="85"/>
        <v>114,335176982803i</v>
      </c>
      <c r="AH44">
        <f t="shared" si="86"/>
        <v>114.33517698280301</v>
      </c>
      <c r="AI44">
        <f t="shared" si="87"/>
        <v>1.5707963267948966</v>
      </c>
      <c r="AJ44" t="str">
        <f t="shared" si="67"/>
        <v>0,999756147359525+0,134140202004588i</v>
      </c>
      <c r="AK44">
        <f t="shared" si="88"/>
        <v>1.008714998390027</v>
      </c>
      <c r="AL44">
        <f t="shared" si="89"/>
        <v>0.13337636320225688</v>
      </c>
      <c r="AM44" t="str">
        <f t="shared" si="68"/>
        <v>1+0,184399773437865i</v>
      </c>
      <c r="AN44">
        <f t="shared" si="90"/>
        <v>1.0168595165724399</v>
      </c>
      <c r="AO44">
        <f t="shared" si="91"/>
        <v>0.18235134036395528</v>
      </c>
      <c r="AP44" t="str">
        <f t="shared" si="69"/>
        <v>1+0,129518888486119i</v>
      </c>
      <c r="AQ44">
        <f t="shared" si="92"/>
        <v>1.0083526875427464</v>
      </c>
      <c r="AR44">
        <f t="shared" si="93"/>
        <v>0.12880185912672454</v>
      </c>
      <c r="AS44" s="42" t="str">
        <f t="shared" si="94"/>
        <v>-32,6888404773845+181,934501499001i</v>
      </c>
      <c r="AT44">
        <f t="shared" si="95"/>
        <v>45.33628749677731</v>
      </c>
      <c r="AU44" s="44">
        <f t="shared" si="96"/>
        <v>100.18586241451482</v>
      </c>
      <c r="AV44" s="42" t="str">
        <f t="shared" si="70"/>
        <v>18358,4711168916+11076,8289212579i</v>
      </c>
      <c r="AW44" s="20">
        <f t="shared" si="97"/>
        <v>86.62502467655122</v>
      </c>
      <c r="AX44" s="44">
        <f t="shared" si="98"/>
        <v>31.105242373084341</v>
      </c>
    </row>
    <row r="45" spans="1:50" x14ac:dyDescent="0.3">
      <c r="A45" t="s">
        <v>207</v>
      </c>
      <c r="B45" s="18">
        <f>(((VOUT1^2)/Pout_var)*((1-Dc_var_ccm)^2))/((Lm/((Np/NS1_)^2))*Dc_var_ccm)</f>
        <v>576000</v>
      </c>
      <c r="C45" t="s">
        <v>205</v>
      </c>
      <c r="E45" t="s">
        <v>197</v>
      </c>
      <c r="N45" s="8">
        <v>27</v>
      </c>
      <c r="O45" s="35">
        <f t="shared" si="71"/>
        <v>18.62087136662868</v>
      </c>
      <c r="P45" s="34" t="str">
        <f t="shared" si="72"/>
        <v>324,571428571429</v>
      </c>
      <c r="Q45" s="4" t="str">
        <f t="shared" si="63"/>
        <v>1+2,67424880863273i</v>
      </c>
      <c r="R45" s="4">
        <f t="shared" si="73"/>
        <v>2.8551018704196132</v>
      </c>
      <c r="S45" s="4">
        <f t="shared" si="74"/>
        <v>1.212958116481399</v>
      </c>
      <c r="T45" s="4" t="str">
        <f t="shared" si="64"/>
        <v>1+0,0000233996770755364i</v>
      </c>
      <c r="U45" s="4">
        <f t="shared" si="75"/>
        <v>1.0000000002737726</v>
      </c>
      <c r="V45" s="4">
        <f t="shared" si="76"/>
        <v>2.3399677071265608E-5</v>
      </c>
      <c r="W45" t="str">
        <f t="shared" si="65"/>
        <v>1-0,000203122196836253i</v>
      </c>
      <c r="X45" s="4">
        <f t="shared" si="77"/>
        <v>1.0000000206293131</v>
      </c>
      <c r="Y45" s="4">
        <f t="shared" si="78"/>
        <v>-2.0312219404273877E-4</v>
      </c>
      <c r="Z45" t="str">
        <f t="shared" si="66"/>
        <v>0,999999998613053+0,000174156971567404i</v>
      </c>
      <c r="AA45" s="4">
        <f t="shared" si="79"/>
        <v>1.0000000137783782</v>
      </c>
      <c r="AB45" s="4">
        <f t="shared" si="80"/>
        <v>1.7415697004818576E-4</v>
      </c>
      <c r="AC45" s="48" t="str">
        <f t="shared" si="81"/>
        <v>39,7791822983404-106,494290038786i</v>
      </c>
      <c r="AD45" s="20">
        <f t="shared" si="82"/>
        <v>41.11377363149937</v>
      </c>
      <c r="AE45" s="44">
        <f t="shared" si="83"/>
        <v>-69.517656601584321</v>
      </c>
      <c r="AF45" t="str">
        <f t="shared" si="84"/>
        <v>-20791,6666666667</v>
      </c>
      <c r="AG45" t="str">
        <f t="shared" si="85"/>
        <v>116,998385377682i</v>
      </c>
      <c r="AH45">
        <f t="shared" si="86"/>
        <v>116.998385377682</v>
      </c>
      <c r="AI45">
        <f t="shared" si="87"/>
        <v>1.5707963267948966</v>
      </c>
      <c r="AJ45" t="str">
        <f t="shared" si="67"/>
        <v>0,999744654938641+0,137264728694419i</v>
      </c>
      <c r="AK45">
        <f t="shared" si="88"/>
        <v>1.0091238679279837</v>
      </c>
      <c r="AL45">
        <f t="shared" si="89"/>
        <v>0.13644665973148296</v>
      </c>
      <c r="AM45" t="str">
        <f t="shared" si="68"/>
        <v>1+0,188694995937125i</v>
      </c>
      <c r="AN45">
        <f t="shared" si="90"/>
        <v>1.0176471891042158</v>
      </c>
      <c r="AO45">
        <f t="shared" si="91"/>
        <v>0.18650211083202148</v>
      </c>
      <c r="AP45" t="str">
        <f t="shared" si="69"/>
        <v>1+0,132535770955838i</v>
      </c>
      <c r="AQ45">
        <f t="shared" si="92"/>
        <v>1.008744631005716</v>
      </c>
      <c r="AR45">
        <f t="shared" si="93"/>
        <v>0.13176781941460558</v>
      </c>
      <c r="AS45" s="42" t="str">
        <f t="shared" si="94"/>
        <v>-32,688674647004+177,797111295508i</v>
      </c>
      <c r="AT45">
        <f t="shared" si="95"/>
        <v>45.142868616877578</v>
      </c>
      <c r="AU45" s="44">
        <f t="shared" si="96"/>
        <v>100.41770601778323</v>
      </c>
      <c r="AV45" s="42" t="str">
        <f t="shared" si="70"/>
        <v>17634,0483904878+10553,7809011839i</v>
      </c>
      <c r="AW45" s="20">
        <f t="shared" si="97"/>
        <v>86.256642248376934</v>
      </c>
      <c r="AX45" s="44">
        <f t="shared" si="98"/>
        <v>30.900049416199003</v>
      </c>
    </row>
    <row r="46" spans="1:50" x14ac:dyDescent="0.3">
      <c r="B46" s="18">
        <f>wz_rhp/(2*PI())</f>
        <v>91673.24722093172</v>
      </c>
      <c r="C46" t="s">
        <v>61</v>
      </c>
      <c r="N46" s="8">
        <v>28</v>
      </c>
      <c r="O46" s="35">
        <f t="shared" si="71"/>
        <v>19.054607179632477</v>
      </c>
      <c r="P46" s="34" t="str">
        <f t="shared" si="72"/>
        <v>324,571428571429</v>
      </c>
      <c r="Q46" s="4" t="str">
        <f t="shared" si="63"/>
        <v>1+2,73654006548903i</v>
      </c>
      <c r="R46" s="4">
        <f t="shared" si="73"/>
        <v>2.9135290508293723</v>
      </c>
      <c r="S46" s="4">
        <f t="shared" si="74"/>
        <v>1.220446536427203</v>
      </c>
      <c r="T46" s="4" t="str">
        <f t="shared" si="64"/>
        <v>1+0,000023944725573029i</v>
      </c>
      <c r="U46" s="4">
        <f t="shared" si="75"/>
        <v>1.0000000002866749</v>
      </c>
      <c r="V46" s="4">
        <f t="shared" si="76"/>
        <v>2.3944725568452765E-5</v>
      </c>
      <c r="W46" t="str">
        <f t="shared" si="65"/>
        <v>1-0,00020785352059921i</v>
      </c>
      <c r="X46" s="4">
        <f t="shared" si="77"/>
        <v>1.0000000216015428</v>
      </c>
      <c r="Y46" s="4">
        <f t="shared" si="78"/>
        <v>-2.0785351760590557E-4</v>
      </c>
      <c r="Z46" t="str">
        <f t="shared" si="66"/>
        <v>0,999999998547688+0,000178213608561763i</v>
      </c>
      <c r="AA46" s="4">
        <f t="shared" si="79"/>
        <v>1.000000014427733</v>
      </c>
      <c r="AB46" s="4">
        <f t="shared" si="80"/>
        <v>1.7821360693389137E-4</v>
      </c>
      <c r="AC46" s="48" t="str">
        <f t="shared" si="81"/>
        <v>38,1980306849029-104,647975974676i</v>
      </c>
      <c r="AD46" s="20">
        <f t="shared" si="82"/>
        <v>40.937818749241693</v>
      </c>
      <c r="AE46" s="44">
        <f t="shared" si="83"/>
        <v>-69.947183743766203</v>
      </c>
      <c r="AF46" t="str">
        <f t="shared" si="84"/>
        <v>-20791,6666666667</v>
      </c>
      <c r="AG46" t="str">
        <f t="shared" si="85"/>
        <v>119,723627865145i</v>
      </c>
      <c r="AH46">
        <f t="shared" si="86"/>
        <v>119.723627865145</v>
      </c>
      <c r="AI46">
        <f t="shared" si="87"/>
        <v>1.5707963267948966</v>
      </c>
      <c r="AJ46" t="str">
        <f t="shared" si="67"/>
        <v>0,999732620896647+0,140462034960318i</v>
      </c>
      <c r="AK46">
        <f t="shared" si="88"/>
        <v>1.0095518295511492</v>
      </c>
      <c r="AL46">
        <f t="shared" si="89"/>
        <v>0.13958590549510311</v>
      </c>
      <c r="AM46" t="str">
        <f t="shared" si="68"/>
        <v>1+0,193090267020906i</v>
      </c>
      <c r="AN46">
        <f t="shared" si="90"/>
        <v>1.0184713305823609</v>
      </c>
      <c r="AO46">
        <f t="shared" si="91"/>
        <v>0.19074284375496559</v>
      </c>
      <c r="AP46" t="str">
        <f t="shared" si="69"/>
        <v>1+0,135622925645636i</v>
      </c>
      <c r="AQ46">
        <f t="shared" si="92"/>
        <v>1.0091548830386154</v>
      </c>
      <c r="AR46">
        <f t="shared" si="93"/>
        <v>0.13480045338138558</v>
      </c>
      <c r="AS46" s="42" t="str">
        <f t="shared" si="94"/>
        <v>-32,6885012799534+173,753989461308i</v>
      </c>
      <c r="AT46">
        <f t="shared" si="95"/>
        <v>44.949748994470859</v>
      </c>
      <c r="AU46" s="44">
        <f t="shared" si="96"/>
        <v>100.65457371030476</v>
      </c>
      <c r="AV46" s="42" t="str">
        <f t="shared" si="70"/>
        <v>16934,3669397159+10057,8457176601i</v>
      </c>
      <c r="AW46" s="20">
        <f t="shared" si="97"/>
        <v>85.887567743712552</v>
      </c>
      <c r="AX46" s="44">
        <f t="shared" si="98"/>
        <v>30.70738996653866</v>
      </c>
    </row>
    <row r="47" spans="1:50" x14ac:dyDescent="0.3">
      <c r="B47" s="1"/>
      <c r="N47" s="8">
        <v>29</v>
      </c>
      <c r="O47" s="35">
        <f t="shared" si="71"/>
        <v>19.498445997580465</v>
      </c>
      <c r="P47" s="34" t="str">
        <f t="shared" si="72"/>
        <v>324,571428571429</v>
      </c>
      <c r="Q47" s="4" t="str">
        <f t="shared" si="63"/>
        <v>1+2,80028227211045i</v>
      </c>
      <c r="R47" s="4">
        <f t="shared" si="73"/>
        <v>2.9734795784562005</v>
      </c>
      <c r="S47" s="4">
        <f t="shared" si="74"/>
        <v>1.227804314753761</v>
      </c>
      <c r="T47" s="4" t="str">
        <f t="shared" si="64"/>
        <v>1+0,0000245024698809664i</v>
      </c>
      <c r="U47" s="4">
        <f t="shared" si="75"/>
        <v>1.0000000003001857</v>
      </c>
      <c r="V47" s="4">
        <f t="shared" si="76"/>
        <v>2.4502469876062877E-5</v>
      </c>
      <c r="W47" t="str">
        <f t="shared" si="65"/>
        <v>1-0,000212695051050056i</v>
      </c>
      <c r="X47" s="4">
        <f t="shared" si="77"/>
        <v>1.0000000226195922</v>
      </c>
      <c r="Y47" s="4">
        <f t="shared" si="78"/>
        <v>-2.1269504784267253E-4</v>
      </c>
      <c r="Z47" t="str">
        <f t="shared" si="66"/>
        <v>0,999999998479242+0,000182364736770317i</v>
      </c>
      <c r="AA47" s="4">
        <f t="shared" si="79"/>
        <v>1.0000000151076904</v>
      </c>
      <c r="AB47" s="4">
        <f t="shared" si="80"/>
        <v>1.8236473502602121E-4</v>
      </c>
      <c r="AC47" s="48" t="str">
        <f t="shared" si="81"/>
        <v>36,6715658204943-102,811007972294i</v>
      </c>
      <c r="AD47" s="20">
        <f t="shared" si="82"/>
        <v>40.760906605211595</v>
      </c>
      <c r="AE47" s="44">
        <f t="shared" si="83"/>
        <v>-70.369236673444732</v>
      </c>
      <c r="AF47" t="str">
        <f t="shared" si="84"/>
        <v>-20791,6666666667</v>
      </c>
      <c r="AG47" t="str">
        <f t="shared" si="85"/>
        <v>122,512349404832i</v>
      </c>
      <c r="AH47">
        <f t="shared" si="86"/>
        <v>122.51234940483199</v>
      </c>
      <c r="AI47">
        <f t="shared" si="87"/>
        <v>1.5707963267948966</v>
      </c>
      <c r="AJ47" t="str">
        <f t="shared" si="67"/>
        <v>0,999720019707727+0,143733816056388i</v>
      </c>
      <c r="AK47">
        <f t="shared" si="88"/>
        <v>1.0099997661794529</v>
      </c>
      <c r="AL47">
        <f t="shared" si="89"/>
        <v>0.14279552758884198</v>
      </c>
      <c r="AM47" t="str">
        <f t="shared" si="68"/>
        <v>1+0,197587917120113i</v>
      </c>
      <c r="AN47">
        <f t="shared" si="90"/>
        <v>1.0193335984808236</v>
      </c>
      <c r="AO47">
        <f t="shared" si="91"/>
        <v>0.19507517721343273</v>
      </c>
      <c r="AP47" t="str">
        <f t="shared" si="69"/>
        <v>1+0,138781989405794i</v>
      </c>
      <c r="AQ47">
        <f t="shared" si="92"/>
        <v>1.0095842909749686</v>
      </c>
      <c r="AR47">
        <f t="shared" si="93"/>
        <v>0.13790114572592641</v>
      </c>
      <c r="AS47" s="42" t="str">
        <f t="shared" si="94"/>
        <v>-32,6883200471495+169,802992141225i</v>
      </c>
      <c r="AT47">
        <f t="shared" si="95"/>
        <v>44.756941720271683</v>
      </c>
      <c r="AU47" s="44">
        <f t="shared" si="96"/>
        <v>100.89655691802588</v>
      </c>
      <c r="AV47" s="42" t="str">
        <f t="shared" si="70"/>
        <v>16258,8848985804+9587,66073579219i</v>
      </c>
      <c r="AW47" s="20">
        <f t="shared" si="97"/>
        <v>85.517848325483271</v>
      </c>
      <c r="AX47" s="44">
        <f t="shared" si="98"/>
        <v>30.52732024458119</v>
      </c>
    </row>
    <row r="48" spans="1:50" x14ac:dyDescent="0.3">
      <c r="A48" t="s">
        <v>208</v>
      </c>
      <c r="B48" s="18">
        <f>1/(Cout_total*Resr_total)</f>
        <v>5000000</v>
      </c>
      <c r="C48" t="s">
        <v>205</v>
      </c>
      <c r="E48" t="s">
        <v>198</v>
      </c>
      <c r="N48" s="8">
        <v>30</v>
      </c>
      <c r="O48" s="35">
        <f t="shared" si="71"/>
        <v>19.952623149688804</v>
      </c>
      <c r="P48" s="34" t="str">
        <f t="shared" si="72"/>
        <v>324,571428571429</v>
      </c>
      <c r="Q48" s="4" t="str">
        <f t="shared" si="63"/>
        <v>1+2,86550922545865i</v>
      </c>
      <c r="R48" s="4">
        <f t="shared" si="73"/>
        <v>3.0349865108742464</v>
      </c>
      <c r="S48" s="4">
        <f t="shared" si="74"/>
        <v>1.2350321650663363</v>
      </c>
      <c r="T48" s="4" t="str">
        <f t="shared" si="64"/>
        <v>1+0,0000250732057227632i</v>
      </c>
      <c r="U48" s="4">
        <f t="shared" si="75"/>
        <v>1.0000000003143328</v>
      </c>
      <c r="V48" s="4">
        <f t="shared" si="76"/>
        <v>2.5073205717508981E-5</v>
      </c>
      <c r="W48" t="str">
        <f t="shared" si="65"/>
        <v>1-0,000217649355232319i</v>
      </c>
      <c r="X48" s="4">
        <f t="shared" si="77"/>
        <v>1.0000000236856206</v>
      </c>
      <c r="Y48" s="4">
        <f t="shared" si="78"/>
        <v>-2.1764935179554567E-4</v>
      </c>
      <c r="Z48" t="str">
        <f t="shared" si="66"/>
        <v>0,999999998407571+0,000186612557176191i</v>
      </c>
      <c r="AA48" s="4">
        <f t="shared" si="79"/>
        <v>1.000000015819694</v>
      </c>
      <c r="AB48" s="4">
        <f t="shared" si="80"/>
        <v>1.8661255530714438E-4</v>
      </c>
      <c r="AC48" s="48" t="str">
        <f t="shared" si="81"/>
        <v>35,1985344782908-100,984799086731i</v>
      </c>
      <c r="AD48" s="20">
        <f t="shared" si="82"/>
        <v>40.583070508039413</v>
      </c>
      <c r="AE48" s="44">
        <f t="shared" si="83"/>
        <v>-70.783856533433948</v>
      </c>
      <c r="AF48" t="str">
        <f t="shared" si="84"/>
        <v>-20791,6666666667</v>
      </c>
      <c r="AG48" t="str">
        <f t="shared" si="85"/>
        <v>125,366028613816i</v>
      </c>
      <c r="AH48">
        <f t="shared" si="86"/>
        <v>125.366028613816</v>
      </c>
      <c r="AI48">
        <f t="shared" si="87"/>
        <v>1.5707963267948966</v>
      </c>
      <c r="AJ48" t="str">
        <f t="shared" si="67"/>
        <v>0,999706824643069+0,147081806724273i</v>
      </c>
      <c r="AK48">
        <f t="shared" si="88"/>
        <v>1.0104686007527419</v>
      </c>
      <c r="AL48">
        <f t="shared" si="89"/>
        <v>0.14607697410759626</v>
      </c>
      <c r="AM48" t="str">
        <f t="shared" si="68"/>
        <v>1+0,202190330948362i</v>
      </c>
      <c r="AN48">
        <f t="shared" si="90"/>
        <v>1.0202357227273549</v>
      </c>
      <c r="AO48">
        <f t="shared" si="91"/>
        <v>0.19950075744288895</v>
      </c>
      <c r="AP48" t="str">
        <f t="shared" si="69"/>
        <v>1+0,142014637213731i</v>
      </c>
      <c r="AQ48">
        <f t="shared" si="92"/>
        <v>1.0100337406160982</v>
      </c>
      <c r="AR48">
        <f t="shared" si="93"/>
        <v>0.14107130186309469</v>
      </c>
      <c r="AS48" s="42" t="str">
        <f t="shared" si="94"/>
        <v>-32,688130606407+165,942024316479i</v>
      </c>
      <c r="AT48">
        <f t="shared" si="95"/>
        <v>44.56446040975878</v>
      </c>
      <c r="AU48" s="44">
        <f t="shared" si="96"/>
        <v>101.14374751790488</v>
      </c>
      <c r="AV48" s="42" t="str">
        <f t="shared" si="70"/>
        <v>15607,0476934646+9141,92036610979i</v>
      </c>
      <c r="AW48" s="20">
        <f t="shared" si="97"/>
        <v>85.147530917798221</v>
      </c>
      <c r="AX48" s="44">
        <f t="shared" si="98"/>
        <v>30.359890984470912</v>
      </c>
    </row>
    <row r="49" spans="1:50" x14ac:dyDescent="0.3">
      <c r="B49" s="18">
        <f>wz_esr/(2*PI())</f>
        <v>795774.71545947669</v>
      </c>
      <c r="C49" t="s">
        <v>61</v>
      </c>
      <c r="N49" s="8">
        <v>31</v>
      </c>
      <c r="O49" s="35">
        <f t="shared" si="71"/>
        <v>20.4173794466953</v>
      </c>
      <c r="P49" s="34" t="str">
        <f t="shared" si="72"/>
        <v>324,571428571429</v>
      </c>
      <c r="Q49" s="4" t="str">
        <f t="shared" si="63"/>
        <v>1+2,93225550972768i</v>
      </c>
      <c r="R49" s="4">
        <f t="shared" si="73"/>
        <v>3.0980836616089529</v>
      </c>
      <c r="S49" s="4">
        <f t="shared" si="74"/>
        <v>1.2421308979525094</v>
      </c>
      <c r="T49" s="4" t="str">
        <f t="shared" si="64"/>
        <v>1+0,0000256572357101172i</v>
      </c>
      <c r="U49" s="4">
        <f t="shared" si="75"/>
        <v>1.0000000003291469</v>
      </c>
      <c r="V49" s="4">
        <f t="shared" si="76"/>
        <v>2.5657235704487204E-5</v>
      </c>
      <c r="W49" t="str">
        <f t="shared" si="65"/>
        <v>1-0,000222719059983656i</v>
      </c>
      <c r="X49" s="4">
        <f t="shared" si="77"/>
        <v>1.0000000248018897</v>
      </c>
      <c r="Y49" s="4">
        <f t="shared" si="78"/>
        <v>-2.2271905630108705E-4</v>
      </c>
      <c r="Z49" t="str">
        <f t="shared" si="66"/>
        <v>0,999999998332523+0,000190959322029987i</v>
      </c>
      <c r="AA49" s="4">
        <f t="shared" si="79"/>
        <v>1.0000000165652543</v>
      </c>
      <c r="AB49" s="4">
        <f t="shared" si="80"/>
        <v>1.9095932002726731E-4</v>
      </c>
      <c r="AC49" s="48" t="str">
        <f t="shared" si="81"/>
        <v>33,7776602894128-99,1706710631872i</v>
      </c>
      <c r="AD49" s="20">
        <f t="shared" si="82"/>
        <v>40.404342986816161</v>
      </c>
      <c r="AE49" s="44">
        <f t="shared" si="83"/>
        <v>-71.191090029193532</v>
      </c>
      <c r="AF49" t="str">
        <f t="shared" si="84"/>
        <v>-20791,6666666667</v>
      </c>
      <c r="AG49" t="str">
        <f t="shared" si="85"/>
        <v>128,286178550586i</v>
      </c>
      <c r="AH49">
        <f t="shared" si="86"/>
        <v>128.28617855058599</v>
      </c>
      <c r="AI49">
        <f t="shared" si="87"/>
        <v>1.5707963267948966</v>
      </c>
      <c r="AJ49" t="str">
        <f t="shared" si="67"/>
        <v>0,999693007714172+0,15050778211294i</v>
      </c>
      <c r="AK49">
        <f t="shared" si="88"/>
        <v>1.0109592979685995</v>
      </c>
      <c r="AL49">
        <f t="shared" si="89"/>
        <v>0.14943171382445941</v>
      </c>
      <c r="AM49" t="str">
        <f t="shared" si="68"/>
        <v>1+0,206899948766385i</v>
      </c>
      <c r="AN49">
        <f t="shared" si="90"/>
        <v>1.0211795086073421</v>
      </c>
      <c r="AO49">
        <f t="shared" si="91"/>
        <v>0.2040212371873083</v>
      </c>
      <c r="AP49" t="str">
        <f t="shared" si="69"/>
        <v>1+0,145322583062104i</v>
      </c>
      <c r="AQ49">
        <f t="shared" si="92"/>
        <v>1.0105041579072507</v>
      </c>
      <c r="AR49">
        <f t="shared" si="93"/>
        <v>0.14431234764026526</v>
      </c>
      <c r="AS49" s="42" t="str">
        <f t="shared" si="94"/>
        <v>-32,6879326020377+162,169038693265i</v>
      </c>
      <c r="AT49">
        <f t="shared" si="95"/>
        <v>44.372319219788317</v>
      </c>
      <c r="AU49" s="44">
        <f t="shared" si="96"/>
        <v>101.396237745734</v>
      </c>
      <c r="AV49" s="42" t="str">
        <f t="shared" si="70"/>
        <v>14978,2905098882+8719,37491025406i</v>
      </c>
      <c r="AW49" s="20">
        <f t="shared" si="97"/>
        <v>84.77666220660447</v>
      </c>
      <c r="AX49" s="44">
        <f t="shared" si="98"/>
        <v>30.205147716540498</v>
      </c>
    </row>
    <row r="50" spans="1:50" x14ac:dyDescent="0.3">
      <c r="N50" s="8">
        <v>32</v>
      </c>
      <c r="O50" s="35">
        <f t="shared" si="71"/>
        <v>20.8929613085404</v>
      </c>
      <c r="P50" s="34" t="str">
        <f t="shared" si="72"/>
        <v>324,571428571429</v>
      </c>
      <c r="Q50" s="4" t="str">
        <f t="shared" si="63"/>
        <v>1+3,00055651468098i</v>
      </c>
      <c r="R50" s="4">
        <f t="shared" si="73"/>
        <v>3.1628056212474505</v>
      </c>
      <c r="S50" s="4">
        <f t="shared" si="74"/>
        <v>1.2491014145765882</v>
      </c>
      <c r="T50" s="4" t="str">
        <f t="shared" si="64"/>
        <v>1+0,0000262548695034586i</v>
      </c>
      <c r="U50" s="4">
        <f t="shared" si="75"/>
        <v>1.000000000344659</v>
      </c>
      <c r="V50" s="4">
        <f t="shared" si="76"/>
        <v>2.6254869497425946E-5</v>
      </c>
      <c r="W50" t="str">
        <f t="shared" si="65"/>
        <v>1-0,000227906853328634i</v>
      </c>
      <c r="X50" s="4">
        <f t="shared" si="77"/>
        <v>1.0000000259707664</v>
      </c>
      <c r="Y50" s="4">
        <f t="shared" si="78"/>
        <v>-2.2790684938269026E-4</v>
      </c>
      <c r="Z50" t="str">
        <f t="shared" si="66"/>
        <v>0,999999998253937+0,00019540733604397i</v>
      </c>
      <c r="AA50" s="4">
        <f t="shared" si="79"/>
        <v>1.0000000173459502</v>
      </c>
      <c r="AB50" s="4">
        <f t="shared" si="80"/>
        <v>1.9540733389801723E-4</v>
      </c>
      <c r="AC50" s="48" t="str">
        <f t="shared" si="81"/>
        <v>32,4076489826049-97,3698563867212i</v>
      </c>
      <c r="AD50" s="20">
        <f t="shared" si="82"/>
        <v>40.224755778466907</v>
      </c>
      <c r="AE50" s="44">
        <f t="shared" si="83"/>
        <v>-71.59098906195554</v>
      </c>
      <c r="AF50" t="str">
        <f t="shared" si="84"/>
        <v>-20791,6666666667</v>
      </c>
      <c r="AG50" t="str">
        <f t="shared" si="85"/>
        <v>131,274347517293i</v>
      </c>
      <c r="AH50">
        <f t="shared" si="86"/>
        <v>131.27434751729299</v>
      </c>
      <c r="AI50">
        <f t="shared" si="87"/>
        <v>1.5707963267948966</v>
      </c>
      <c r="AJ50" t="str">
        <f t="shared" si="67"/>
        <v>0,999678539613479+0,154013558719891i</v>
      </c>
      <c r="AK50">
        <f t="shared" si="88"/>
        <v>1.0114728660885091</v>
      </c>
      <c r="AL50">
        <f t="shared" si="89"/>
        <v>0.1528612358119289</v>
      </c>
      <c r="AM50" t="str">
        <f t="shared" si="68"/>
        <v>1+0,21171926767589i</v>
      </c>
      <c r="AN50">
        <f t="shared" si="90"/>
        <v>1.0221668397601318</v>
      </c>
      <c r="AO50">
        <f t="shared" si="91"/>
        <v>0.20863827391737891</v>
      </c>
      <c r="AP50" t="str">
        <f t="shared" si="69"/>
        <v>1+0,148707580867589i</v>
      </c>
      <c r="AQ50">
        <f t="shared" si="92"/>
        <v>1.0109965106801757</v>
      </c>
      <c r="AR50">
        <f t="shared" si="93"/>
        <v>0.14762572899930351</v>
      </c>
      <c r="AS50" s="42" t="str">
        <f t="shared" si="94"/>
        <v>-32,6877256644472+158,482034616651i</v>
      </c>
      <c r="AT50">
        <f t="shared" si="95"/>
        <v>44.180532865316295</v>
      </c>
      <c r="AU50" s="44">
        <f t="shared" si="96"/>
        <v>101.6541200963848</v>
      </c>
      <c r="AV50" s="42" t="str">
        <f t="shared" si="70"/>
        <v>14372,0406111256+8318,82930146123i</v>
      </c>
      <c r="AW50" s="20">
        <f t="shared" si="97"/>
        <v>84.405288643783209</v>
      </c>
      <c r="AX50" s="44">
        <f t="shared" si="98"/>
        <v>30.063131034429258</v>
      </c>
    </row>
    <row r="51" spans="1:50" x14ac:dyDescent="0.3">
      <c r="A51" t="s">
        <v>201</v>
      </c>
      <c r="B51" s="1">
        <f>(Isl*(Rsl_int+R_sl)*Fsw)</f>
        <v>39990</v>
      </c>
      <c r="C51" t="s">
        <v>144</v>
      </c>
      <c r="E51" t="s">
        <v>202</v>
      </c>
      <c r="N51" s="8">
        <v>33</v>
      </c>
      <c r="O51" s="35">
        <f t="shared" si="71"/>
        <v>21.379620895022335</v>
      </c>
      <c r="P51" s="34" t="str">
        <f t="shared" si="72"/>
        <v>324,571428571429</v>
      </c>
      <c r="Q51" s="4" t="str">
        <f t="shared" si="63"/>
        <v>1+3,07044845441541i</v>
      </c>
      <c r="R51" s="4">
        <f t="shared" si="73"/>
        <v>3.2291877788728827</v>
      </c>
      <c r="S51" s="4">
        <f t="shared" si="74"/>
        <v>1.2559447004274455</v>
      </c>
      <c r="T51" s="4" t="str">
        <f t="shared" si="64"/>
        <v>1+0,0000268664239761348i</v>
      </c>
      <c r="U51" s="4">
        <f t="shared" si="75"/>
        <v>1.0000000003609024</v>
      </c>
      <c r="V51" s="4">
        <f t="shared" si="76"/>
        <v>2.6866423969670694E-5</v>
      </c>
      <c r="W51" t="str">
        <f t="shared" si="65"/>
        <v>1-0,000233215485903948i</v>
      </c>
      <c r="X51" s="4">
        <f t="shared" si="77"/>
        <v>1.0000000271947311</v>
      </c>
      <c r="Y51" s="4">
        <f t="shared" si="78"/>
        <v>-2.3321548167579313E-4</v>
      </c>
      <c r="Z51" t="str">
        <f t="shared" si="66"/>
        <v>0,999999998171647+0,000199958957614045i</v>
      </c>
      <c r="AA51" s="4">
        <f t="shared" si="79"/>
        <v>1.0000000181634392</v>
      </c>
      <c r="AB51" s="4">
        <f t="shared" si="80"/>
        <v>1.9995895531461531E-4</v>
      </c>
      <c r="AC51" s="48" t="str">
        <f t="shared" si="81"/>
        <v>31,0871932879893-95,5835005530561i</v>
      </c>
      <c r="AD51" s="20">
        <f t="shared" si="82"/>
        <v>40.044339818249014</v>
      </c>
      <c r="AE51" s="44">
        <f t="shared" si="83"/>
        <v>-71.983610370643589</v>
      </c>
      <c r="AF51" t="str">
        <f t="shared" si="84"/>
        <v>-20791,6666666667</v>
      </c>
      <c r="AG51" t="str">
        <f t="shared" si="85"/>
        <v>134,332119880674i</v>
      </c>
      <c r="AH51">
        <f t="shared" si="86"/>
        <v>134.33211988067399</v>
      </c>
      <c r="AI51">
        <f t="shared" si="87"/>
        <v>1.5707963267948966</v>
      </c>
      <c r="AJ51" t="str">
        <f t="shared" si="67"/>
        <v>0,999663389652206+0,157600995354284i</v>
      </c>
      <c r="AK51">
        <f t="shared" si="88"/>
        <v>1.0120103588143747</v>
      </c>
      <c r="AL51">
        <f t="shared" si="89"/>
        <v>0.1563670490011897</v>
      </c>
      <c r="AM51" t="str">
        <f t="shared" si="68"/>
        <v>1+0,216650842943551i</v>
      </c>
      <c r="AN51">
        <f t="shared" si="90"/>
        <v>1.0231996812685935</v>
      </c>
      <c r="AO51">
        <f t="shared" si="91"/>
        <v>0.21335352790671386</v>
      </c>
      <c r="AP51" t="str">
        <f t="shared" si="69"/>
        <v>1+0,152171425400827i</v>
      </c>
      <c r="AQ51">
        <f t="shared" si="92"/>
        <v>1.011511810464178</v>
      </c>
      <c r="AR51">
        <f t="shared" si="93"/>
        <v>0.15101291158011337</v>
      </c>
      <c r="AS51" s="42" t="str">
        <f t="shared" si="94"/>
        <v>-32,6875094097371+154,879057009143i</v>
      </c>
      <c r="AT51">
        <f t="shared" si="95"/>
        <v>43.989116636180441</v>
      </c>
      <c r="AU51" s="44">
        <f t="shared" si="96"/>
        <v>101.91748721612059</v>
      </c>
      <c r="AV51" s="42" t="str">
        <f t="shared" si="70"/>
        <v>13787,7195081668+7939,14175524838i</v>
      </c>
      <c r="AW51" s="20">
        <f t="shared" si="97"/>
        <v>84.033456454429469</v>
      </c>
      <c r="AX51" s="44">
        <f t="shared" si="98"/>
        <v>29.93387684547697</v>
      </c>
    </row>
    <row r="52" spans="1:50" x14ac:dyDescent="0.3">
      <c r="A52" t="s">
        <v>204</v>
      </c>
      <c r="B52" s="1">
        <f>(R_cs*VIN_var*Acs*(1-Dc_var_ccm))/Lm</f>
        <v>17280.000000000004</v>
      </c>
      <c r="C52" t="s">
        <v>144</v>
      </c>
      <c r="E52" t="s">
        <v>203</v>
      </c>
      <c r="N52" s="8">
        <v>34</v>
      </c>
      <c r="O52" s="35">
        <f t="shared" si="71"/>
        <v>21.877616239495538</v>
      </c>
      <c r="P52" s="34" t="str">
        <f t="shared" si="72"/>
        <v>324,571428571429</v>
      </c>
      <c r="Q52" s="4" t="str">
        <f t="shared" si="63"/>
        <v>1+3,14196838656256i</v>
      </c>
      <c r="R52" s="4">
        <f t="shared" si="73"/>
        <v>3.2972663438306791</v>
      </c>
      <c r="S52" s="4">
        <f t="shared" si="74"/>
        <v>1.2626618192343029</v>
      </c>
      <c r="T52" s="4" t="str">
        <f t="shared" si="64"/>
        <v>1+0,0000274922233824224i</v>
      </c>
      <c r="U52" s="4">
        <f t="shared" si="75"/>
        <v>1.000000000377911</v>
      </c>
      <c r="V52" s="4">
        <f t="shared" si="76"/>
        <v>2.7492223375495988E-5</v>
      </c>
      <c r="W52" t="str">
        <f t="shared" si="65"/>
        <v>1-0,000238647772416861i</v>
      </c>
      <c r="X52" s="4">
        <f t="shared" si="77"/>
        <v>1.0000000284763793</v>
      </c>
      <c r="Y52" s="4">
        <f t="shared" si="78"/>
        <v>-2.3864776788631146E-4</v>
      </c>
      <c r="Z52" t="str">
        <f t="shared" si="66"/>
        <v>0,99999999808548+0,000204616600070217i</v>
      </c>
      <c r="AA52" s="4">
        <f t="shared" si="79"/>
        <v>1.0000000190194562</v>
      </c>
      <c r="AB52" s="4">
        <f t="shared" si="80"/>
        <v>2.0461659760633358E-4</v>
      </c>
      <c r="AC52" s="48" t="str">
        <f t="shared" si="81"/>
        <v>29,814977506504-93,8126645270759i</v>
      </c>
      <c r="AD52" s="20">
        <f t="shared" si="82"/>
        <v>39.86312523316785</v>
      </c>
      <c r="AE52" s="44">
        <f t="shared" si="83"/>
        <v>-72.369015183418483</v>
      </c>
      <c r="AF52" t="str">
        <f t="shared" si="84"/>
        <v>-20791,6666666667</v>
      </c>
      <c r="AG52" t="str">
        <f t="shared" si="85"/>
        <v>137,461116912112i</v>
      </c>
      <c r="AH52">
        <f t="shared" si="86"/>
        <v>137.461116912112</v>
      </c>
      <c r="AI52">
        <f t="shared" si="87"/>
        <v>1.5707963267948966</v>
      </c>
      <c r="AJ52" t="str">
        <f t="shared" si="67"/>
        <v>0,999647525695255+0,161271994122511i</v>
      </c>
      <c r="AK52">
        <f t="shared" si="88"/>
        <v>1.0125728772374345</v>
      </c>
      <c r="AL52">
        <f t="shared" si="89"/>
        <v>0.15995068167522297</v>
      </c>
      <c r="AM52" t="str">
        <f t="shared" si="68"/>
        <v>1+0,221697289355854i</v>
      </c>
      <c r="AN52">
        <f t="shared" si="90"/>
        <v>1.0242800828424485</v>
      </c>
      <c r="AO52">
        <f t="shared" si="91"/>
        <v>0.21816866015954278</v>
      </c>
      <c r="AP52" t="str">
        <f t="shared" si="69"/>
        <v>1+0,15571595323804i</v>
      </c>
      <c r="AQ52">
        <f t="shared" si="92"/>
        <v>1.0120511143676645</v>
      </c>
      <c r="AR52">
        <f t="shared" si="93"/>
        <v>0.15447538026165394</v>
      </c>
      <c r="AS52" s="42" t="str">
        <f t="shared" si="94"/>
        <v>-32,6872834393051+151,358195333383i</v>
      </c>
      <c r="AT52">
        <f t="shared" si="95"/>
        <v>43.798086413891795</v>
      </c>
      <c r="AU52" s="44">
        <f t="shared" si="96"/>
        <v>102.18643178660622</v>
      </c>
      <c r="AV52" s="42" t="str">
        <f t="shared" si="70"/>
        <v>13224,7449817427+7579,22234488283i</v>
      </c>
      <c r="AW52" s="20">
        <f t="shared" si="97"/>
        <v>83.661211647059659</v>
      </c>
      <c r="AX52" s="44">
        <f t="shared" si="98"/>
        <v>29.817416603187731</v>
      </c>
    </row>
    <row r="53" spans="1:50" x14ac:dyDescent="0.3">
      <c r="A53" t="s">
        <v>507</v>
      </c>
      <c r="B53" s="1">
        <f>1+(B51/B52)</f>
        <v>3.3142361111111107</v>
      </c>
      <c r="N53" s="8">
        <v>35</v>
      </c>
      <c r="O53" s="35">
        <f t="shared" si="71"/>
        <v>22.387211385683404</v>
      </c>
      <c r="P53" s="34" t="str">
        <f t="shared" si="72"/>
        <v>324,571428571429</v>
      </c>
      <c r="Q53" s="4" t="str">
        <f t="shared" si="63"/>
        <v>1+3,21515423193714i</v>
      </c>
      <c r="R53" s="4">
        <f t="shared" si="73"/>
        <v>3.3670783678351328</v>
      </c>
      <c r="S53" s="4">
        <f t="shared" si="74"/>
        <v>1.269253907062607</v>
      </c>
      <c r="T53" s="4" t="str">
        <f t="shared" si="64"/>
        <v>1+0,00002813259952945i</v>
      </c>
      <c r="U53" s="4">
        <f t="shared" si="75"/>
        <v>1.0000000003957215</v>
      </c>
      <c r="V53" s="4">
        <f t="shared" si="76"/>
        <v>2.8132599522028218E-5</v>
      </c>
      <c r="W53" t="str">
        <f t="shared" si="65"/>
        <v>1-0,000244206593137587i</v>
      </c>
      <c r="X53" s="4">
        <f t="shared" si="77"/>
        <v>1.0000000298184295</v>
      </c>
      <c r="Y53" s="4">
        <f t="shared" si="78"/>
        <v>-2.4420658828301574E-4</v>
      </c>
      <c r="Z53" t="str">
        <f t="shared" si="66"/>
        <v>0,999999997995251+0,000209382732956167i</v>
      </c>
      <c r="AA53" s="4">
        <f t="shared" si="79"/>
        <v>1.0000000199158152</v>
      </c>
      <c r="AB53" s="4">
        <f t="shared" si="80"/>
        <v>2.0938273031606843E-4</v>
      </c>
      <c r="AC53" s="48" t="str">
        <f t="shared" si="81"/>
        <v>28,5896817490792-92,0583273576502i</v>
      </c>
      <c r="AD53" s="20">
        <f t="shared" si="82"/>
        <v>39.681141338106436</v>
      </c>
      <c r="AE53" s="44">
        <f t="shared" si="83"/>
        <v>-72.747268879545999</v>
      </c>
      <c r="AF53" t="str">
        <f t="shared" si="84"/>
        <v>-20791,6666666667</v>
      </c>
      <c r="AG53" t="str">
        <f t="shared" si="85"/>
        <v>140,66299764725i</v>
      </c>
      <c r="AH53">
        <f t="shared" si="86"/>
        <v>140.66299764724999</v>
      </c>
      <c r="AI53">
        <f t="shared" si="87"/>
        <v>1.5707963267948966</v>
      </c>
      <c r="AJ53" t="str">
        <f t="shared" si="67"/>
        <v>0,999630914093048+0,165028501436708i</v>
      </c>
      <c r="AK53">
        <f t="shared" si="88"/>
        <v>1.0131615718615408</v>
      </c>
      <c r="AL53">
        <f t="shared" si="89"/>
        <v>0.16361368089121373</v>
      </c>
      <c r="AM53" t="str">
        <f t="shared" si="68"/>
        <v>1+0,226861282605485i</v>
      </c>
      <c r="AN53">
        <f t="shared" si="90"/>
        <v>1.0254101820956363</v>
      </c>
      <c r="AO53">
        <f t="shared" si="91"/>
        <v>0.22308533018330223</v>
      </c>
      <c r="AP53" t="str">
        <f t="shared" si="69"/>
        <v>1+0,159343043734805i</v>
      </c>
      <c r="AQ53">
        <f t="shared" si="92"/>
        <v>1.0126155270321862</v>
      </c>
      <c r="AR53">
        <f t="shared" si="93"/>
        <v>0.1580146386361006</v>
      </c>
      <c r="AS53" s="42" t="str">
        <f t="shared" si="94"/>
        <v>-32,6870473394538+147,917582578432i</v>
      </c>
      <c r="AT53">
        <f t="shared" si="95"/>
        <v>43.607458688379516</v>
      </c>
      <c r="AU53" s="44">
        <f t="shared" si="96"/>
        <v>102.46104640025224</v>
      </c>
      <c r="AV53" s="42" t="str">
        <f t="shared" si="70"/>
        <v>12682,5329582055+7238,03151534096i</v>
      </c>
      <c r="AW53" s="20">
        <f t="shared" si="97"/>
        <v>83.288600026485966</v>
      </c>
      <c r="AX53" s="44">
        <f t="shared" si="98"/>
        <v>29.713777520706209</v>
      </c>
    </row>
    <row r="54" spans="1:50" x14ac:dyDescent="0.3">
      <c r="A54" t="s">
        <v>199</v>
      </c>
      <c r="B54" s="1">
        <f>2*PI()*Fsw</f>
        <v>6283185.307179586</v>
      </c>
      <c r="C54" t="s">
        <v>205</v>
      </c>
      <c r="N54" s="8">
        <v>36</v>
      </c>
      <c r="O54" s="35">
        <f t="shared" si="71"/>
        <v>22.908676527677727</v>
      </c>
      <c r="P54" s="34" t="str">
        <f t="shared" si="72"/>
        <v>324,571428571429</v>
      </c>
      <c r="Q54" s="4" t="str">
        <f t="shared" si="63"/>
        <v>1+3,29004479464309i</v>
      </c>
      <c r="R54" s="4">
        <f t="shared" si="73"/>
        <v>3.4386617674261148</v>
      </c>
      <c r="S54" s="4">
        <f t="shared" si="74"/>
        <v>1.2757221666000613</v>
      </c>
      <c r="T54" s="4" t="str">
        <f t="shared" si="64"/>
        <v>1+0,000028787891953127i</v>
      </c>
      <c r="U54" s="4">
        <f t="shared" si="75"/>
        <v>1.0000000004143712</v>
      </c>
      <c r="V54" s="4">
        <f t="shared" si="76"/>
        <v>2.8787891945174414E-5</v>
      </c>
      <c r="W54" t="str">
        <f t="shared" si="65"/>
        <v>1-0,00024989489542645i</v>
      </c>
      <c r="X54" s="4">
        <f t="shared" si="77"/>
        <v>1.0000000312237289</v>
      </c>
      <c r="Y54" s="4">
        <f t="shared" si="78"/>
        <v>-2.4989489022468316E-4</v>
      </c>
      <c r="Z54" t="str">
        <f t="shared" si="66"/>
        <v>0,99999999790077+0,000214259883338638i</v>
      </c>
      <c r="AA54" s="4">
        <f t="shared" si="79"/>
        <v>1.0000000208544184</v>
      </c>
      <c r="AB54" s="4">
        <f t="shared" si="80"/>
        <v>2.1425988050972146E-4</v>
      </c>
      <c r="AC54" s="48" t="str">
        <f t="shared" si="81"/>
        <v>27,4099858516979-90,3213889194805i</v>
      </c>
      <c r="AD54" s="20">
        <f t="shared" si="82"/>
        <v>39.498416634466246</v>
      </c>
      <c r="AE54" s="44">
        <f t="shared" si="83"/>
        <v>-73.118440662163195</v>
      </c>
      <c r="AF54" t="str">
        <f t="shared" si="84"/>
        <v>-20791,6666666667</v>
      </c>
      <c r="AG54" t="str">
        <f t="shared" si="85"/>
        <v>143,939459765635i</v>
      </c>
      <c r="AH54">
        <f t="shared" si="86"/>
        <v>143.93945976563501</v>
      </c>
      <c r="AI54">
        <f t="shared" si="87"/>
        <v>1.5707963267948966</v>
      </c>
      <c r="AJ54" t="str">
        <f t="shared" si="67"/>
        <v>0,999613519610147+0,168872509046778i</v>
      </c>
      <c r="AK54">
        <f t="shared" si="88"/>
        <v>1.0137776447027917</v>
      </c>
      <c r="AL54">
        <f t="shared" si="89"/>
        <v>0.16735761182761663</v>
      </c>
      <c r="AM54" t="str">
        <f t="shared" si="68"/>
        <v>1+0,232145560710016i</v>
      </c>
      <c r="AN54">
        <f t="shared" si="90"/>
        <v>1.0265922079177145</v>
      </c>
      <c r="AO54">
        <f t="shared" si="91"/>
        <v>0.22810519359962841</v>
      </c>
      <c r="AP54" t="str">
        <f t="shared" si="69"/>
        <v>1+0,163054620022511i</v>
      </c>
      <c r="AQ54">
        <f t="shared" si="92"/>
        <v>1.0132062026609812</v>
      </c>
      <c r="AR54">
        <f t="shared" si="93"/>
        <v>0.16163220841165316</v>
      </c>
      <c r="AS54" s="42" t="str">
        <f t="shared" si="94"/>
        <v>-32,6868006810028+144,55539426909i</v>
      </c>
      <c r="AT54">
        <f t="shared" si="95"/>
        <v>43.417250574625569</v>
      </c>
      <c r="AU54" s="44">
        <f t="shared" si="96"/>
        <v>102.74142342652878</v>
      </c>
      <c r="AV54" s="42" t="str">
        <f t="shared" si="70"/>
        <v>12160,4992419838+6914,57854854476i</v>
      </c>
      <c r="AW54" s="20">
        <f t="shared" si="97"/>
        <v>82.915667209091822</v>
      </c>
      <c r="AX54" s="44">
        <f t="shared" si="98"/>
        <v>29.622982764365513</v>
      </c>
    </row>
    <row r="55" spans="1:50" x14ac:dyDescent="0.3">
      <c r="A55" t="s">
        <v>200</v>
      </c>
      <c r="B55" s="1">
        <f>1/(PI()*(((1-Dc_var_ccm)*mc)-0.5))</f>
        <v>0.21384009148806096</v>
      </c>
      <c r="N55" s="8">
        <v>37</v>
      </c>
      <c r="O55" s="35">
        <f t="shared" si="71"/>
        <v>23.442288153199236</v>
      </c>
      <c r="P55" s="34" t="str">
        <f t="shared" si="72"/>
        <v>324,571428571429</v>
      </c>
      <c r="Q55" s="4" t="str">
        <f t="shared" si="63"/>
        <v>1+3,36667978264805i</v>
      </c>
      <c r="R55" s="4">
        <f t="shared" si="73"/>
        <v>3.5120553467864255</v>
      </c>
      <c r="S55" s="4">
        <f t="shared" si="74"/>
        <v>1.2820678616408441</v>
      </c>
      <c r="T55" s="4" t="str">
        <f t="shared" si="64"/>
        <v>1+0,0000294584480981704i</v>
      </c>
      <c r="U55" s="4">
        <f t="shared" si="75"/>
        <v>1.0000000004339</v>
      </c>
      <c r="V55" s="4">
        <f t="shared" si="76"/>
        <v>2.9458448089649053E-5</v>
      </c>
      <c r="W55" t="str">
        <f t="shared" si="65"/>
        <v>1-0,000255715695296618i</v>
      </c>
      <c r="X55" s="4">
        <f t="shared" si="77"/>
        <v>1.0000000326952578</v>
      </c>
      <c r="Y55" s="4">
        <f t="shared" si="78"/>
        <v>-2.5571568972282443E-4</v>
      </c>
      <c r="Z55" t="str">
        <f t="shared" si="66"/>
        <v>0,999999997801836+0,00021925063714732i</v>
      </c>
      <c r="AA55" s="4">
        <f t="shared" si="79"/>
        <v>1.0000000218372567</v>
      </c>
      <c r="AB55" s="4">
        <f t="shared" si="80"/>
        <v>2.1925063411608136E-4</v>
      </c>
      <c r="AC55" s="48" t="str">
        <f t="shared" si="81"/>
        <v>26,2745729742952-88,6026727547916i</v>
      </c>
      <c r="AD55" s="20">
        <f t="shared" si="82"/>
        <v>39.314978811122721</v>
      </c>
      <c r="AE55" s="44">
        <f t="shared" si="83"/>
        <v>-73.482603242402973</v>
      </c>
      <c r="AF55" t="str">
        <f t="shared" si="84"/>
        <v>-20791,6666666667</v>
      </c>
      <c r="AG55" t="str">
        <f t="shared" si="85"/>
        <v>147,292240490852i</v>
      </c>
      <c r="AH55">
        <f t="shared" si="86"/>
        <v>147.29224049085201</v>
      </c>
      <c r="AI55">
        <f t="shared" si="87"/>
        <v>1.5707963267948966</v>
      </c>
      <c r="AJ55" t="str">
        <f t="shared" si="67"/>
        <v>0,999595305350523+0,172806055096436i</v>
      </c>
      <c r="AK55">
        <f t="shared" si="88"/>
        <v>1.0144223514674733</v>
      </c>
      <c r="AL55">
        <f t="shared" si="89"/>
        <v>0.17118405705095568</v>
      </c>
      <c r="AM55" t="str">
        <f t="shared" si="68"/>
        <v>1+0,237552925463646i</v>
      </c>
      <c r="AN55">
        <f t="shared" si="90"/>
        <v>1.0278284839389968</v>
      </c>
      <c r="AO55">
        <f t="shared" si="91"/>
        <v>0.23322989958732171</v>
      </c>
      <c r="AP55" t="str">
        <f t="shared" si="69"/>
        <v>1+0,166852650028037i</v>
      </c>
      <c r="AQ55">
        <f t="shared" si="92"/>
        <v>1.0138243471239869</v>
      </c>
      <c r="AR55">
        <f t="shared" si="93"/>
        <v>0.16532962873929283</v>
      </c>
      <c r="AS55" s="42" t="str">
        <f t="shared" si="94"/>
        <v>-32,6865430189135+141,26984749772i</v>
      </c>
      <c r="AT55">
        <f t="shared" si="95"/>
        <v>43.227479829120071</v>
      </c>
      <c r="AU55" s="44">
        <f t="shared" si="96"/>
        <v>103.02765486889342</v>
      </c>
      <c r="AV55" s="42" t="str">
        <f t="shared" si="70"/>
        <v>11658,0611081319+6607,91999173661i</v>
      </c>
      <c r="AW55" s="20">
        <f t="shared" si="97"/>
        <v>82.542458640242785</v>
      </c>
      <c r="AX55" s="44">
        <f t="shared" si="98"/>
        <v>29.545051626490494</v>
      </c>
    </row>
    <row r="56" spans="1:50" x14ac:dyDescent="0.3">
      <c r="N56" s="8">
        <v>38</v>
      </c>
      <c r="O56" s="35">
        <f t="shared" si="71"/>
        <v>23.988329190194907</v>
      </c>
      <c r="P56" s="34" t="str">
        <f t="shared" si="72"/>
        <v>324,571428571429</v>
      </c>
      <c r="Q56" s="4" t="str">
        <f t="shared" si="63"/>
        <v>1+3,44509982883703i</v>
      </c>
      <c r="R56" s="4">
        <f t="shared" si="73"/>
        <v>3.5872988209309988</v>
      </c>
      <c r="S56" s="4">
        <f t="shared" si="74"/>
        <v>1.2882923117741831</v>
      </c>
      <c r="T56" s="4" t="str">
        <f t="shared" si="64"/>
        <v>1+0,000030144623502324i</v>
      </c>
      <c r="U56" s="4">
        <f t="shared" si="75"/>
        <v>1.000000000454349</v>
      </c>
      <c r="V56" s="4">
        <f t="shared" si="76"/>
        <v>3.0144623493193213E-5</v>
      </c>
      <c r="W56" t="str">
        <f t="shared" si="65"/>
        <v>1-0,000261672079013229i</v>
      </c>
      <c r="X56" s="4">
        <f t="shared" si="77"/>
        <v>1.0000000342361379</v>
      </c>
      <c r="Y56" s="4">
        <f t="shared" si="78"/>
        <v>-2.6167207304080155E-4</v>
      </c>
      <c r="Z56" t="str">
        <f t="shared" si="66"/>
        <v>0,99999999769824+0,000224357640545942i</v>
      </c>
      <c r="AA56" s="4">
        <f t="shared" si="79"/>
        <v>1.0000000228664152</v>
      </c>
      <c r="AB56" s="4">
        <f t="shared" si="80"/>
        <v>2.2435763729791123E-4</v>
      </c>
      <c r="AC56" s="48" t="str">
        <f t="shared" si="81"/>
        <v>25,1821328929556-86,9029289897988i</v>
      </c>
      <c r="AD56" s="20">
        <f t="shared" si="82"/>
        <v>39.130854747502681</v>
      </c>
      <c r="AE56" s="44">
        <f t="shared" si="83"/>
        <v>-73.839832535231906</v>
      </c>
      <c r="AF56" t="str">
        <f t="shared" si="84"/>
        <v>-20791,6666666667</v>
      </c>
      <c r="AG56" t="str">
        <f t="shared" si="85"/>
        <v>150,72311751162i</v>
      </c>
      <c r="AH56">
        <f t="shared" si="86"/>
        <v>150.72311751161999</v>
      </c>
      <c r="AI56">
        <f t="shared" si="87"/>
        <v>1.5707963267948966</v>
      </c>
      <c r="AJ56" t="str">
        <f t="shared" si="67"/>
        <v>0,999576232679289+0,176831225203865i</v>
      </c>
      <c r="AK56">
        <f t="shared" si="88"/>
        <v>1.0150970038101876</v>
      </c>
      <c r="AL56">
        <f t="shared" si="89"/>
        <v>0.17509461569730742</v>
      </c>
      <c r="AM56" t="str">
        <f t="shared" si="68"/>
        <v>1+0,243086243922741i</v>
      </c>
      <c r="AN56">
        <f t="shared" si="90"/>
        <v>1.0291214320887825</v>
      </c>
      <c r="AO56">
        <f t="shared" si="91"/>
        <v>0.23846108815095945</v>
      </c>
      <c r="AP56" t="str">
        <f t="shared" si="69"/>
        <v>1+0,170739147517163i</v>
      </c>
      <c r="AQ56">
        <f t="shared" si="92"/>
        <v>1.0144712201412556</v>
      </c>
      <c r="AR56">
        <f t="shared" si="93"/>
        <v>0.16910845545855244</v>
      </c>
      <c r="AS56" s="42" t="str">
        <f t="shared" si="94"/>
        <v>-32,6862738919208+138,059199978087i</v>
      </c>
      <c r="AT56">
        <f t="shared" si="95"/>
        <v>43.038164866063198</v>
      </c>
      <c r="AU56" s="44">
        <f t="shared" si="96"/>
        <v>103.3198322119773</v>
      </c>
      <c r="AV56" s="42" t="str">
        <f t="shared" si="70"/>
        <v>11174,6387591622+6317,15805991403i</v>
      </c>
      <c r="AW56" s="20">
        <f t="shared" si="97"/>
        <v>82.169019613565865</v>
      </c>
      <c r="AX56" s="44">
        <f t="shared" si="98"/>
        <v>29.479999676745468</v>
      </c>
    </row>
    <row r="57" spans="1:50" x14ac:dyDescent="0.3">
      <c r="N57" s="8">
        <v>39</v>
      </c>
      <c r="O57" s="35">
        <f t="shared" si="71"/>
        <v>24.547089156850316</v>
      </c>
      <c r="P57" s="34" t="str">
        <f t="shared" si="72"/>
        <v>324,571428571429</v>
      </c>
      <c r="Q57" s="4" t="str">
        <f t="shared" si="63"/>
        <v>1+3,52534651255655i</v>
      </c>
      <c r="R57" s="4">
        <f t="shared" si="73"/>
        <v>3.6644328392801291</v>
      </c>
      <c r="S57" s="4">
        <f t="shared" si="74"/>
        <v>1.294396887281781</v>
      </c>
      <c r="T57" s="4" t="str">
        <f t="shared" si="64"/>
        <v>1+0,0000308467819848698i</v>
      </c>
      <c r="U57" s="4">
        <f t="shared" si="75"/>
        <v>1.0000000004757619</v>
      </c>
      <c r="V57" s="4">
        <f t="shared" si="76"/>
        <v>3.0846781975085978E-5</v>
      </c>
      <c r="W57" t="str">
        <f t="shared" si="65"/>
        <v>1-0,000267767204729773i</v>
      </c>
      <c r="X57" s="4">
        <f t="shared" si="77"/>
        <v>1.0000000358496373</v>
      </c>
      <c r="Y57" s="4">
        <f t="shared" si="78"/>
        <v>-2.6776719833020168E-4</v>
      </c>
      <c r="Z57" t="str">
        <f t="shared" si="66"/>
        <v>0,999999997589762+0,000229583601335307i</v>
      </c>
      <c r="AA57" s="4">
        <f t="shared" si="79"/>
        <v>1.0000000239440767</v>
      </c>
      <c r="AB57" s="4">
        <f t="shared" si="80"/>
        <v>2.2958359785497917E-4</v>
      </c>
      <c r="AC57" s="48" t="str">
        <f t="shared" si="81"/>
        <v>24,1313649961201-85,2228373030106i</v>
      </c>
      <c r="AD57" s="20">
        <f t="shared" si="82"/>
        <v>38.946070518598766</v>
      </c>
      <c r="AE57" s="44">
        <f t="shared" si="83"/>
        <v>-74.190207367257173</v>
      </c>
      <c r="AF57" t="str">
        <f t="shared" si="84"/>
        <v>-20791,6666666667</v>
      </c>
      <c r="AG57" t="str">
        <f t="shared" si="85"/>
        <v>154,233909924349i</v>
      </c>
      <c r="AH57">
        <f t="shared" si="86"/>
        <v>154.23390992434901</v>
      </c>
      <c r="AI57">
        <f t="shared" si="87"/>
        <v>1.5707963267948966</v>
      </c>
      <c r="AJ57" t="str">
        <f t="shared" si="67"/>
        <v>0,999556261140753+0,180950153567535i</v>
      </c>
      <c r="AK57">
        <f t="shared" si="88"/>
        <v>1.0158029716740329</v>
      </c>
      <c r="AL57">
        <f t="shared" si="89"/>
        <v>0.17909090256316312</v>
      </c>
      <c r="AM57" t="str">
        <f t="shared" si="68"/>
        <v>1+0,24874844992599i</v>
      </c>
      <c r="AN57">
        <f t="shared" si="90"/>
        <v>1.0304735762456905</v>
      </c>
      <c r="AO57">
        <f t="shared" si="91"/>
        <v>0.24380038720907771</v>
      </c>
      <c r="AP57" t="str">
        <f t="shared" si="69"/>
        <v>1+0,174716173162303i</v>
      </c>
      <c r="AQ57">
        <f t="shared" si="92"/>
        <v>1.0151481375466735</v>
      </c>
      <c r="AR57">
        <f t="shared" si="93"/>
        <v>0.17297026025722784</v>
      </c>
      <c r="AS57" s="42" t="str">
        <f t="shared" si="94"/>
        <v>-32,6859928221832+134,921749120667i</v>
      </c>
      <c r="AT57">
        <f t="shared" si="95"/>
        <v>42.849324773228687</v>
      </c>
      <c r="AU57" s="44">
        <f t="shared" si="96"/>
        <v>103.6180462586961</v>
      </c>
      <c r="AV57" s="42" t="str">
        <f t="shared" si="70"/>
        <v>10709,6566508956+6041,43902231805i</v>
      </c>
      <c r="AW57" s="20">
        <f t="shared" si="97"/>
        <v>81.795395291827475</v>
      </c>
      <c r="AX57" s="44">
        <f t="shared" si="98"/>
        <v>29.4278388914388</v>
      </c>
    </row>
    <row r="58" spans="1:50" x14ac:dyDescent="0.3">
      <c r="N58" s="8">
        <v>40</v>
      </c>
      <c r="O58" s="35">
        <f t="shared" si="71"/>
        <v>25.118864315095799</v>
      </c>
      <c r="P58" s="34" t="str">
        <f t="shared" si="72"/>
        <v>324,571428571429</v>
      </c>
      <c r="Q58" s="4" t="str">
        <f t="shared" si="63"/>
        <v>1+3,60746238166053i</v>
      </c>
      <c r="R58" s="4">
        <f t="shared" si="73"/>
        <v>3.7434990096293412</v>
      </c>
      <c r="S58" s="4">
        <f t="shared" si="74"/>
        <v>1.300383004246997</v>
      </c>
      <c r="T58" s="4" t="str">
        <f t="shared" si="64"/>
        <v>1+0,0000315652958395296i</v>
      </c>
      <c r="U58" s="4">
        <f t="shared" si="75"/>
        <v>1.0000000004981839</v>
      </c>
      <c r="V58" s="4">
        <f t="shared" si="76"/>
        <v>3.1565295829046047E-5</v>
      </c>
      <c r="W58" t="str">
        <f t="shared" si="65"/>
        <v>1-0,000274004304162583i</v>
      </c>
      <c r="X58" s="4">
        <f t="shared" si="77"/>
        <v>1.0000000375391787</v>
      </c>
      <c r="Y58" s="4">
        <f t="shared" si="78"/>
        <v>-2.7400429730531882E-4</v>
      </c>
      <c r="Z58" t="str">
        <f t="shared" si="66"/>
        <v>0,999999997476171+0,000234931290388999i</v>
      </c>
      <c r="AA58" s="4">
        <f t="shared" si="79"/>
        <v>1.0000000250725263</v>
      </c>
      <c r="AB58" s="4">
        <f t="shared" si="80"/>
        <v>2.3493128665976059E-4</v>
      </c>
      <c r="AC58" s="48" t="str">
        <f t="shared" si="81"/>
        <v>23,1209809965043-83,563009924479i</v>
      </c>
      <c r="AD58" s="20">
        <f t="shared" si="82"/>
        <v>38.760651401741235</v>
      </c>
      <c r="AE58" s="44">
        <f t="shared" si="83"/>
        <v>-74.533809196670632</v>
      </c>
      <c r="AF58" t="str">
        <f t="shared" si="84"/>
        <v>-20791,6666666667</v>
      </c>
      <c r="AG58" t="str">
        <f t="shared" si="85"/>
        <v>157,826479197648i</v>
      </c>
      <c r="AH58">
        <f t="shared" si="86"/>
        <v>157.82647919764801</v>
      </c>
      <c r="AI58">
        <f t="shared" si="87"/>
        <v>1.5707963267948966</v>
      </c>
      <c r="AJ58" t="str">
        <f t="shared" si="67"/>
        <v>0,999535348372602+0,185165024097785i</v>
      </c>
      <c r="AK58">
        <f t="shared" si="88"/>
        <v>1.0165416857145959</v>
      </c>
      <c r="AL58">
        <f t="shared" si="89"/>
        <v>0.18317454710021547</v>
      </c>
      <c r="AM58" t="str">
        <f t="shared" si="68"/>
        <v>1+0,254542545649967i</v>
      </c>
      <c r="AN58">
        <f t="shared" si="90"/>
        <v>1.0318875459787107</v>
      </c>
      <c r="AO58">
        <f t="shared" si="91"/>
        <v>0.24924940949605845</v>
      </c>
      <c r="AP58" t="str">
        <f t="shared" si="69"/>
        <v>1+0,178785835635096i</v>
      </c>
      <c r="AQ58">
        <f t="shared" si="92"/>
        <v>1.0158564736338198</v>
      </c>
      <c r="AR58">
        <f t="shared" si="93"/>
        <v>0.17691662973969849</v>
      </c>
      <c r="AS58" s="42" t="str">
        <f t="shared" si="94"/>
        <v>-32,6856993149467+131,85583112899i</v>
      </c>
      <c r="AT58">
        <f t="shared" si="95"/>
        <v>42.660979327402856</v>
      </c>
      <c r="AU58" s="44">
        <f t="shared" si="96"/>
        <v>103.92238695695281</v>
      </c>
      <c r="AV58" s="42" t="str">
        <f t="shared" si="70"/>
        <v>10262,5446925139+5779,95158205509i</v>
      </c>
      <c r="AW58" s="20">
        <f t="shared" si="97"/>
        <v>81.421630729144113</v>
      </c>
      <c r="AX58" s="44">
        <f t="shared" si="98"/>
        <v>29.388577760282139</v>
      </c>
    </row>
    <row r="59" spans="1:50" x14ac:dyDescent="0.3">
      <c r="N59" s="8">
        <v>41</v>
      </c>
      <c r="O59" s="35">
        <f t="shared" si="71"/>
        <v>25.703957827688647</v>
      </c>
      <c r="P59" s="34" t="str">
        <f t="shared" si="72"/>
        <v>324,571428571429</v>
      </c>
      <c r="Q59" s="4" t="str">
        <f t="shared" si="63"/>
        <v>1+3,69149097506965i</v>
      </c>
      <c r="R59" s="4">
        <f t="shared" si="73"/>
        <v>3.8245399225293326</v>
      </c>
      <c r="S59" s="4">
        <f t="shared" si="74"/>
        <v>1.3062521198773076</v>
      </c>
      <c r="T59" s="4" t="str">
        <f t="shared" si="64"/>
        <v>1+0,0000323005460318594i</v>
      </c>
      <c r="U59" s="4">
        <f t="shared" si="75"/>
        <v>1.0000000005216625</v>
      </c>
      <c r="V59" s="4">
        <f t="shared" si="76"/>
        <v>3.2300546020626078E-5</v>
      </c>
      <c r="W59" t="str">
        <f t="shared" si="65"/>
        <v>1-0,000280386684304335i</v>
      </c>
      <c r="X59" s="4">
        <f t="shared" si="77"/>
        <v>1.0000000393083457</v>
      </c>
      <c r="Y59" s="4">
        <f t="shared" si="78"/>
        <v>-2.803866769566441E-4</v>
      </c>
      <c r="Z59" t="str">
        <f t="shared" si="66"/>
        <v>0,999999997357226+0,000240403543122537i</v>
      </c>
      <c r="AA59" s="4">
        <f t="shared" si="79"/>
        <v>1.0000000262541575</v>
      </c>
      <c r="AB59" s="4">
        <f t="shared" si="80"/>
        <v>2.4040353912658616E-4</v>
      </c>
      <c r="AC59" s="48" t="str">
        <f t="shared" si="81"/>
        <v>22,1497073712066-81,9239946471446i</v>
      </c>
      <c r="AD59" s="20">
        <f t="shared" si="82"/>
        <v>38.574621884956898</v>
      </c>
      <c r="AE59" s="44">
        <f t="shared" si="83"/>
        <v>-74.870721845416966</v>
      </c>
      <c r="AF59" t="str">
        <f t="shared" si="84"/>
        <v>-20791,6666666667</v>
      </c>
      <c r="AG59" t="str">
        <f t="shared" si="85"/>
        <v>161,502730159297i</v>
      </c>
      <c r="AH59">
        <f t="shared" si="86"/>
        <v>161.50273015929699</v>
      </c>
      <c r="AI59">
        <f t="shared" si="87"/>
        <v>1.5707963267948966</v>
      </c>
      <c r="AJ59" t="str">
        <f t="shared" si="67"/>
        <v>0,999513450016054+0,18947807157476i</v>
      </c>
      <c r="AK59">
        <f t="shared" si="88"/>
        <v>1.0173146398094763</v>
      </c>
      <c r="AL59">
        <f t="shared" si="89"/>
        <v>0.18734719230840363</v>
      </c>
      <c r="AM59" t="str">
        <f t="shared" si="68"/>
        <v>1+0,260471603200914i</v>
      </c>
      <c r="AN59">
        <f t="shared" si="90"/>
        <v>1.0333660803771596</v>
      </c>
      <c r="AO59">
        <f t="shared" si="91"/>
        <v>0.25480974927219507</v>
      </c>
      <c r="AP59" t="str">
        <f t="shared" si="69"/>
        <v>1+0,182950292724452i</v>
      </c>
      <c r="AQ59">
        <f t="shared" si="92"/>
        <v>1.0165976635857288</v>
      </c>
      <c r="AR59">
        <f t="shared" si="93"/>
        <v>0.18094916439838116</v>
      </c>
      <c r="AS59" s="42" t="str">
        <f t="shared" si="94"/>
        <v>-32,6853928582298+128,859820116478i</v>
      </c>
      <c r="AT59">
        <f t="shared" si="95"/>
        <v>42.47314900929851</v>
      </c>
      <c r="AU59" s="44">
        <f t="shared" si="96"/>
        <v>104.2329432156323</v>
      </c>
      <c r="AV59" s="42" t="str">
        <f t="shared" si="70"/>
        <v>9832,73932633164+5531,92525704375i</v>
      </c>
      <c r="AW59" s="20">
        <f t="shared" si="97"/>
        <v>81.047770894255407</v>
      </c>
      <c r="AX59" s="44">
        <f t="shared" si="98"/>
        <v>29.362221370215366</v>
      </c>
    </row>
    <row r="60" spans="1:50" x14ac:dyDescent="0.3">
      <c r="N60" s="8">
        <v>42</v>
      </c>
      <c r="O60" s="35">
        <f t="shared" si="71"/>
        <v>26.302679918953825</v>
      </c>
      <c r="P60" s="34" t="str">
        <f t="shared" si="72"/>
        <v>324,571428571429</v>
      </c>
      <c r="Q60" s="4" t="str">
        <f t="shared" si="63"/>
        <v>1+3,77747684585641i</v>
      </c>
      <c r="R60" s="4">
        <f t="shared" si="73"/>
        <v>3.9075991760902613</v>
      </c>
      <c r="S60" s="4">
        <f t="shared" si="74"/>
        <v>1.312005728040309</v>
      </c>
      <c r="T60" s="4" t="str">
        <f t="shared" si="64"/>
        <v>1+0,0000330529224012436i</v>
      </c>
      <c r="U60" s="4">
        <f t="shared" si="75"/>
        <v>1.0000000005462477</v>
      </c>
      <c r="V60" s="4">
        <f t="shared" si="76"/>
        <v>3.3052922389206872E-5</v>
      </c>
      <c r="W60" t="str">
        <f t="shared" si="65"/>
        <v>1-0,000286917729177462i</v>
      </c>
      <c r="X60" s="4">
        <f t="shared" si="77"/>
        <v>1.0000000411608909</v>
      </c>
      <c r="Y60" s="4">
        <f t="shared" si="78"/>
        <v>-2.8691772130426933E-4</v>
      </c>
      <c r="Z60" t="str">
        <f t="shared" si="66"/>
        <v>0,999999997232676+0,000246003260996756i</v>
      </c>
      <c r="AA60" s="4">
        <f t="shared" si="79"/>
        <v>1.0000000274914778</v>
      </c>
      <c r="AB60" s="4">
        <f t="shared" si="80"/>
        <v>2.4600325671501758E-4</v>
      </c>
      <c r="AC60" s="48" t="str">
        <f t="shared" si="81"/>
        <v>21,2162875430439-80,3062778333427i</v>
      </c>
      <c r="AD60" s="20">
        <f t="shared" si="82"/>
        <v>38.388005676750161</v>
      </c>
      <c r="AE60" s="44">
        <f t="shared" si="83"/>
        <v>-75.201031243599559</v>
      </c>
      <c r="AF60" t="str">
        <f t="shared" si="84"/>
        <v>-20791,6666666667</v>
      </c>
      <c r="AG60" t="str">
        <f t="shared" si="85"/>
        <v>165,264612006218i</v>
      </c>
      <c r="AH60">
        <f t="shared" si="86"/>
        <v>165.26461200621799</v>
      </c>
      <c r="AI60">
        <f t="shared" si="87"/>
        <v>1.5707963267948966</v>
      </c>
      <c r="AJ60" t="str">
        <f t="shared" si="67"/>
        <v>0,999490519621756+0,193891582833323i</v>
      </c>
      <c r="AK60">
        <f t="shared" si="88"/>
        <v>1.0181233936549041</v>
      </c>
      <c r="AL60">
        <f t="shared" si="89"/>
        <v>0.19161049352139789</v>
      </c>
      <c r="AM60" t="str">
        <f t="shared" si="68"/>
        <v>1+0,266538766243628i</v>
      </c>
      <c r="AN60">
        <f t="shared" si="90"/>
        <v>1.0349120319672951</v>
      </c>
      <c r="AO60">
        <f t="shared" si="91"/>
        <v>0.26048297883686539</v>
      </c>
      <c r="AP60" t="str">
        <f t="shared" si="69"/>
        <v>1+0,187211752480644i</v>
      </c>
      <c r="AQ60">
        <f t="shared" si="92"/>
        <v>1.0173732059902472</v>
      </c>
      <c r="AR60">
        <f t="shared" si="93"/>
        <v>0.18506947748263727</v>
      </c>
      <c r="AS60" s="42" t="str">
        <f t="shared" si="94"/>
        <v>-32,6850729225337+125,932127243357i</v>
      </c>
      <c r="AT60">
        <f t="shared" si="95"/>
        <v>42.285855017842017</v>
      </c>
      <c r="AU60" s="44">
        <f t="shared" si="96"/>
        <v>104.54980270959952</v>
      </c>
      <c r="AV60" s="42" t="str">
        <f t="shared" si="70"/>
        <v>9419,68449305906+5296,62876962231i</v>
      </c>
      <c r="AW60" s="20">
        <f t="shared" si="97"/>
        <v>80.673860694592179</v>
      </c>
      <c r="AX60" s="44">
        <f t="shared" si="98"/>
        <v>29.348771465999956</v>
      </c>
    </row>
    <row r="61" spans="1:50" ht="15.6" x14ac:dyDescent="0.3">
      <c r="A61" s="36" t="s">
        <v>215</v>
      </c>
      <c r="N61" s="8">
        <v>43</v>
      </c>
      <c r="O61" s="35">
        <f t="shared" si="71"/>
        <v>26.915348039269158</v>
      </c>
      <c r="P61" s="34" t="str">
        <f t="shared" si="72"/>
        <v>324,571428571429</v>
      </c>
      <c r="Q61" s="4" t="str">
        <f t="shared" si="63"/>
        <v>1+3,86546558486768i</v>
      </c>
      <c r="R61" s="4">
        <f t="shared" si="73"/>
        <v>3.9927214012245376</v>
      </c>
      <c r="S61" s="4">
        <f t="shared" si="74"/>
        <v>1.3176453550123421</v>
      </c>
      <c r="T61" s="4" t="str">
        <f t="shared" si="64"/>
        <v>1+0,0000338228238675922i</v>
      </c>
      <c r="U61" s="4">
        <f t="shared" si="75"/>
        <v>1.0000000005719916</v>
      </c>
      <c r="V61" s="4">
        <f t="shared" si="76"/>
        <v>3.3822823854694618E-5</v>
      </c>
      <c r="W61" t="str">
        <f t="shared" si="65"/>
        <v>1-0,000293600901628405i</v>
      </c>
      <c r="X61" s="4">
        <f t="shared" si="77"/>
        <v>1.0000000431007439</v>
      </c>
      <c r="Y61" s="4">
        <f t="shared" si="78"/>
        <v>-2.9360089319212712E-4</v>
      </c>
      <c r="Z61" t="str">
        <f t="shared" si="66"/>
        <v>0,999999997102256+0,000251733413056194i</v>
      </c>
      <c r="AA61" s="4">
        <f t="shared" si="79"/>
        <v>1.0000000287871114</v>
      </c>
      <c r="AB61" s="4">
        <f t="shared" si="80"/>
        <v>2.5173340846822856E-4</v>
      </c>
      <c r="AC61" s="48" t="str">
        <f t="shared" si="81"/>
        <v>20,3194838165402-78,7102874014256i</v>
      </c>
      <c r="AD61" s="20">
        <f t="shared" si="82"/>
        <v>38.200825717152441</v>
      </c>
      <c r="AE61" s="44">
        <f t="shared" si="83"/>
        <v>-75.524825186075006</v>
      </c>
      <c r="AF61" t="str">
        <f t="shared" si="84"/>
        <v>-20791,6666666667</v>
      </c>
      <c r="AG61" t="str">
        <f t="shared" si="85"/>
        <v>169,114119337961i</v>
      </c>
      <c r="AH61">
        <f t="shared" si="86"/>
        <v>169.114119337961</v>
      </c>
      <c r="AI61">
        <f t="shared" si="87"/>
        <v>1.5707963267948966</v>
      </c>
      <c r="AJ61" t="str">
        <f t="shared" si="67"/>
        <v>0,999466508551269+0,198407897975563i</v>
      </c>
      <c r="AK61">
        <f t="shared" si="88"/>
        <v>1.0189695754509775</v>
      </c>
      <c r="AL61">
        <f t="shared" si="89"/>
        <v>0.19596611707851547</v>
      </c>
      <c r="AM61" t="str">
        <f t="shared" si="68"/>
        <v>1+0,272747251668263i</v>
      </c>
      <c r="AN61">
        <f t="shared" si="90"/>
        <v>1.0365283707128286</v>
      </c>
      <c r="AO61">
        <f t="shared" si="91"/>
        <v>0.26627064484015084</v>
      </c>
      <c r="AP61" t="str">
        <f t="shared" si="69"/>
        <v>1+0,191572474386042i</v>
      </c>
      <c r="AQ61">
        <f t="shared" si="92"/>
        <v>1.0181846654425664</v>
      </c>
      <c r="AR61">
        <f t="shared" si="93"/>
        <v>0.18927919375927177</v>
      </c>
      <c r="AS61" s="42" t="str">
        <f t="shared" si="94"/>
        <v>-32,6847389605779+123,071199873147i</v>
      </c>
      <c r="AT61">
        <f t="shared" si="95"/>
        <v>42.099119283718764</v>
      </c>
      <c r="AU61" s="44">
        <f t="shared" si="96"/>
        <v>104.87305167344734</v>
      </c>
      <c r="AV61" s="42" t="str">
        <f t="shared" si="70"/>
        <v>9022,83248849639+5073,36845133225i</v>
      </c>
      <c r="AW61" s="20">
        <f t="shared" si="97"/>
        <v>80.299945000871205</v>
      </c>
      <c r="AX61" s="44">
        <f t="shared" si="98"/>
        <v>29.348226487372312</v>
      </c>
    </row>
    <row r="62" spans="1:50" x14ac:dyDescent="0.3">
      <c r="A62" t="s">
        <v>180</v>
      </c>
      <c r="N62" s="8">
        <v>44</v>
      </c>
      <c r="O62" s="35">
        <f t="shared" si="71"/>
        <v>27.542287033381665</v>
      </c>
      <c r="P62" s="34" t="str">
        <f t="shared" si="72"/>
        <v>324,571428571429</v>
      </c>
      <c r="Q62" s="4" t="str">
        <f t="shared" si="63"/>
        <v>1+3,95550384489753i</v>
      </c>
      <c r="R62" s="4">
        <f t="shared" si="73"/>
        <v>4.0799522873434606</v>
      </c>
      <c r="S62" s="4">
        <f t="shared" si="74"/>
        <v>1.3231725554378668</v>
      </c>
      <c r="T62" s="4" t="str">
        <f t="shared" si="64"/>
        <v>1+0,0000346106586428534i</v>
      </c>
      <c r="U62" s="4">
        <f t="shared" si="75"/>
        <v>1.0000000005989489</v>
      </c>
      <c r="V62" s="4">
        <f t="shared" si="76"/>
        <v>3.4610658629033395E-5</v>
      </c>
      <c r="W62" t="str">
        <f t="shared" si="65"/>
        <v>1-0,000300439745163658i</v>
      </c>
      <c r="X62" s="4">
        <f t="shared" si="77"/>
        <v>1.0000000451320192</v>
      </c>
      <c r="Y62" s="4">
        <f t="shared" si="78"/>
        <v>-3.0043973612402339E-4</v>
      </c>
      <c r="Z62" t="str">
        <f t="shared" si="66"/>
        <v>0,99999999696569+0,00025759703750332i</v>
      </c>
      <c r="AA62" s="4">
        <f t="shared" si="79"/>
        <v>1.0000000301438063</v>
      </c>
      <c r="AB62" s="4">
        <f t="shared" si="80"/>
        <v>2.5759703258722635E-4</v>
      </c>
      <c r="AC62" s="48" t="str">
        <f t="shared" si="81"/>
        <v>19,4580790822111-77,1363957791977i</v>
      </c>
      <c r="AD62" s="20">
        <f t="shared" si="82"/>
        <v>38.013104189892189</v>
      </c>
      <c r="AE62" s="44">
        <f t="shared" si="83"/>
        <v>-75.84219310112438</v>
      </c>
      <c r="AF62" t="str">
        <f t="shared" si="84"/>
        <v>-20791,6666666667</v>
      </c>
      <c r="AG62" t="str">
        <f t="shared" si="85"/>
        <v>173,053293214267i</v>
      </c>
      <c r="AH62">
        <f t="shared" si="86"/>
        <v>173.053293214267</v>
      </c>
      <c r="AI62">
        <f t="shared" si="87"/>
        <v>1.5707963267948966</v>
      </c>
      <c r="AJ62" t="str">
        <f t="shared" si="67"/>
        <v>0,999441365873893+0,203029411611549i</v>
      </c>
      <c r="AK62">
        <f t="shared" si="88"/>
        <v>1.0198548846768369</v>
      </c>
      <c r="AL62">
        <f t="shared" si="89"/>
        <v>0.20041573887693986</v>
      </c>
      <c r="AM62" t="str">
        <f t="shared" si="68"/>
        <v>1+0,27910035129597i</v>
      </c>
      <c r="AN62">
        <f t="shared" si="90"/>
        <v>1.0382181880960928</v>
      </c>
      <c r="AO62">
        <f t="shared" si="91"/>
        <v>0.27217426438891834</v>
      </c>
      <c r="AP62" t="str">
        <f t="shared" si="69"/>
        <v>1+0,196034770553122i</v>
      </c>
      <c r="AQ62">
        <f t="shared" si="92"/>
        <v>1.0190336752364051</v>
      </c>
      <c r="AR62">
        <f t="shared" si="93"/>
        <v>0.19357994815862112</v>
      </c>
      <c r="AS62" s="42" t="str">
        <f t="shared" si="94"/>
        <v>-32,6843904070683+120,275520748321i</v>
      </c>
      <c r="AT62">
        <f t="shared" si="95"/>
        <v>41.912964482058968</v>
      </c>
      <c r="AU62" s="44">
        <f t="shared" si="96"/>
        <v>105.20277468376851</v>
      </c>
      <c r="AV62" s="42" t="str">
        <f t="shared" si="70"/>
        <v>8641,644717697+4861,48666861639i</v>
      </c>
      <c r="AW62" s="20">
        <f t="shared" si="97"/>
        <v>79.926068671951157</v>
      </c>
      <c r="AX62" s="44">
        <f t="shared" si="98"/>
        <v>29.360581582644144</v>
      </c>
    </row>
    <row r="63" spans="1:50" x14ac:dyDescent="0.3">
      <c r="A63" t="s">
        <v>178</v>
      </c>
      <c r="B63" s="3">
        <f>RFBT_iso</f>
        <v>100000</v>
      </c>
      <c r="C63" s="2" t="s">
        <v>35</v>
      </c>
      <c r="E63" t="s">
        <v>181</v>
      </c>
      <c r="N63" s="8">
        <v>45</v>
      </c>
      <c r="O63" s="35">
        <f t="shared" si="71"/>
        <v>28.183829312644548</v>
      </c>
      <c r="P63" s="34" t="str">
        <f t="shared" si="72"/>
        <v>324,571428571429</v>
      </c>
      <c r="Q63" s="4" t="str">
        <f t="shared" si="63"/>
        <v>1+4,04763936542322i</v>
      </c>
      <c r="R63" s="4">
        <f t="shared" si="73"/>
        <v>4.1693386085233817</v>
      </c>
      <c r="S63" s="4">
        <f t="shared" si="74"/>
        <v>1.3285889084968141</v>
      </c>
      <c r="T63" s="4" t="str">
        <f t="shared" si="64"/>
        <v>1+0,0000354168444474532i</v>
      </c>
      <c r="U63" s="4">
        <f t="shared" si="75"/>
        <v>1.0000000006271763</v>
      </c>
      <c r="V63" s="4">
        <f t="shared" si="76"/>
        <v>3.5416844432644795E-5</v>
      </c>
      <c r="W63" t="str">
        <f t="shared" si="65"/>
        <v>1-0,000307437885828587i</v>
      </c>
      <c r="X63" s="4">
        <f t="shared" si="77"/>
        <v>1.0000000472590256</v>
      </c>
      <c r="Y63" s="4">
        <f t="shared" si="78"/>
        <v>-3.07437876142444E-4</v>
      </c>
      <c r="Z63" t="str">
        <f t="shared" si="66"/>
        <v>0,999999996822687+0,00026359724330943i</v>
      </c>
      <c r="AA63" s="4">
        <f t="shared" si="79"/>
        <v>1.00000003156444</v>
      </c>
      <c r="AB63" s="4">
        <f t="shared" si="80"/>
        <v>2.635972380417409E-4</v>
      </c>
      <c r="AC63" s="48" t="str">
        <f t="shared" si="81"/>
        <v>18,6308783028514-75,5849228125381i</v>
      </c>
      <c r="AD63" s="20">
        <f t="shared" si="82"/>
        <v>37.82486253554675</v>
      </c>
      <c r="AE63" s="44">
        <f t="shared" si="83"/>
        <v>-76.153225831047052</v>
      </c>
      <c r="AF63" t="str">
        <f t="shared" si="84"/>
        <v>-20791,6666666667</v>
      </c>
      <c r="AG63" t="str">
        <f t="shared" si="85"/>
        <v>177,084222237266i</v>
      </c>
      <c r="AH63">
        <f t="shared" si="86"/>
        <v>177.084222237266</v>
      </c>
      <c r="AI63">
        <f t="shared" si="87"/>
        <v>1.5707963267948966</v>
      </c>
      <c r="AJ63" t="str">
        <f t="shared" si="67"/>
        <v>0,999415038258638+0,207758574128982i</v>
      </c>
      <c r="AK63">
        <f t="shared" si="88"/>
        <v>1.0207810949570053</v>
      </c>
      <c r="AL63">
        <f t="shared" si="89"/>
        <v>0.20496104279795854</v>
      </c>
      <c r="AM63" t="str">
        <f t="shared" si="68"/>
        <v>1+0,285601433624262i</v>
      </c>
      <c r="AN63">
        <f t="shared" si="90"/>
        <v>1.0399847012760495</v>
      </c>
      <c r="AO63">
        <f t="shared" si="91"/>
        <v>0.27819532094401983</v>
      </c>
      <c r="AP63" t="str">
        <f t="shared" si="69"/>
        <v>1+0,200601006950375i</v>
      </c>
      <c r="AQ63">
        <f t="shared" si="92"/>
        <v>1.0199219401451782</v>
      </c>
      <c r="AR63">
        <f t="shared" si="93"/>
        <v>0.19797338430005823</v>
      </c>
      <c r="AS63" s="42" t="str">
        <f t="shared" si="94"/>
        <v>-32,6840266785009+117,54360718465i</v>
      </c>
      <c r="AT63">
        <f t="shared" si="95"/>
        <v>41.727414044132132</v>
      </c>
      <c r="AU63" s="44">
        <f t="shared" si="96"/>
        <v>105.53905442977138</v>
      </c>
      <c r="AV63" s="42" t="str">
        <f t="shared" si="70"/>
        <v>8275,59235266477+4660,36027443281i</v>
      </c>
      <c r="AW63" s="20">
        <f t="shared" si="97"/>
        <v>79.552276579678889</v>
      </c>
      <c r="AX63" s="44">
        <f t="shared" si="98"/>
        <v>29.385828598724331</v>
      </c>
    </row>
    <row r="64" spans="1:50" x14ac:dyDescent="0.3">
      <c r="A64" t="s">
        <v>179</v>
      </c>
      <c r="B64" s="3">
        <f>RFBB_iso</f>
        <v>630</v>
      </c>
      <c r="C64" s="2" t="s">
        <v>35</v>
      </c>
      <c r="E64" t="s">
        <v>182</v>
      </c>
      <c r="N64" s="8">
        <v>46</v>
      </c>
      <c r="O64" s="35">
        <f t="shared" si="71"/>
        <v>28.840315031266066</v>
      </c>
      <c r="P64" s="34" t="str">
        <f t="shared" si="72"/>
        <v>324,571428571429</v>
      </c>
      <c r="Q64" s="4" t="str">
        <f t="shared" si="63"/>
        <v>1+4,1419209979173i</v>
      </c>
      <c r="R64" s="4">
        <f t="shared" si="73"/>
        <v>4.2609282501572636</v>
      </c>
      <c r="S64" s="4">
        <f t="shared" si="74"/>
        <v>1.333896014276359</v>
      </c>
      <c r="T64" s="4" t="str">
        <f t="shared" si="64"/>
        <v>1+0,0000362418087317764i</v>
      </c>
      <c r="U64" s="4">
        <f t="shared" si="75"/>
        <v>1.0000000006567342</v>
      </c>
      <c r="V64" s="4">
        <f t="shared" si="76"/>
        <v>3.6241808715908904E-5</v>
      </c>
      <c r="W64" t="str">
        <f t="shared" si="65"/>
        <v>1-0,000314599034130003i</v>
      </c>
      <c r="X64" s="4">
        <f t="shared" si="77"/>
        <v>1.0000000494862749</v>
      </c>
      <c r="Y64" s="4">
        <f t="shared" si="78"/>
        <v>-3.1459902375111386E-4</v>
      </c>
      <c r="Z64" t="str">
        <f t="shared" si="66"/>
        <v>0,999999996672945+0,000269737211863065i</v>
      </c>
      <c r="AA64" s="4">
        <f t="shared" si="79"/>
        <v>1.0000000330520262</v>
      </c>
      <c r="AB64" s="4">
        <f t="shared" si="80"/>
        <v>2.6973720621863433E-4</v>
      </c>
      <c r="AC64" s="48" t="str">
        <f t="shared" si="81"/>
        <v>17,8367097954952-74,0561386191506i</v>
      </c>
      <c r="AD64" s="20">
        <f t="shared" si="82"/>
        <v>37.636121465546637</v>
      </c>
      <c r="AE64" s="44">
        <f t="shared" si="83"/>
        <v>-76.458015424470076</v>
      </c>
      <c r="AF64" t="str">
        <f t="shared" si="84"/>
        <v>-20791,6666666667</v>
      </c>
      <c r="AG64" t="str">
        <f t="shared" si="85"/>
        <v>181,209043658882i</v>
      </c>
      <c r="AH64">
        <f t="shared" si="86"/>
        <v>181.209043658882</v>
      </c>
      <c r="AI64">
        <f t="shared" si="87"/>
        <v>1.5707963267948966</v>
      </c>
      <c r="AJ64" t="str">
        <f t="shared" si="67"/>
        <v>0,999387469861102+0,212597892992429i</v>
      </c>
      <c r="AK64">
        <f t="shared" si="88"/>
        <v>1.0217500570199129</v>
      </c>
      <c r="AL64">
        <f t="shared" si="89"/>
        <v>0.20960371900084968</v>
      </c>
      <c r="AM64" t="str">
        <f t="shared" si="68"/>
        <v>1+0,292253945613045i</v>
      </c>
      <c r="AN64">
        <f t="shared" si="90"/>
        <v>1.041831257318762</v>
      </c>
      <c r="AO64">
        <f t="shared" si="91"/>
        <v>0.28433526000609827</v>
      </c>
      <c r="AP64" t="str">
        <f t="shared" si="69"/>
        <v>1+0,205273604656781i</v>
      </c>
      <c r="AQ64">
        <f t="shared" si="92"/>
        <v>1.0208512392943394</v>
      </c>
      <c r="AR64">
        <f t="shared" si="93"/>
        <v>0.20246115289063671</v>
      </c>
      <c r="AS64" s="42" t="str">
        <f t="shared" si="94"/>
        <v>-32,6836471730063+114,874010283847i</v>
      </c>
      <c r="AT64">
        <f t="shared" si="95"/>
        <v>41.542492167916201</v>
      </c>
      <c r="AU64" s="44">
        <f t="shared" si="96"/>
        <v>105.88197147209593</v>
      </c>
      <c r="AV64" s="42" t="str">
        <f t="shared" si="70"/>
        <v>7924,15689963503+4469,39909010127i</v>
      </c>
      <c r="AW64" s="20">
        <f t="shared" si="97"/>
        <v>79.178613633462831</v>
      </c>
      <c r="AX64" s="44">
        <f t="shared" si="98"/>
        <v>29.423956047625857</v>
      </c>
    </row>
    <row r="65" spans="1:50" x14ac:dyDescent="0.3">
      <c r="A65" t="s">
        <v>168</v>
      </c>
      <c r="B65" s="3">
        <f>Rcomp_iso</f>
        <v>236000</v>
      </c>
      <c r="C65" s="2" t="s">
        <v>35</v>
      </c>
      <c r="E65" t="s">
        <v>175</v>
      </c>
      <c r="N65" s="8">
        <v>47</v>
      </c>
      <c r="O65" s="35">
        <f t="shared" si="71"/>
        <v>29.512092266663863</v>
      </c>
      <c r="P65" s="34" t="str">
        <f t="shared" si="72"/>
        <v>324,571428571429</v>
      </c>
      <c r="Q65" s="4" t="str">
        <f t="shared" si="63"/>
        <v>1+4,23839873174928i</v>
      </c>
      <c r="R65" s="4">
        <f t="shared" si="73"/>
        <v>4.3547702361082044</v>
      </c>
      <c r="S65" s="4">
        <f t="shared" si="74"/>
        <v>1.3390954903429126</v>
      </c>
      <c r="T65" s="4" t="str">
        <f t="shared" si="64"/>
        <v>1+0,0000370859889028062i</v>
      </c>
      <c r="U65" s="4">
        <f t="shared" si="75"/>
        <v>1.0000000006876852</v>
      </c>
      <c r="V65" s="4">
        <f t="shared" si="76"/>
        <v>3.7085988885803879E-5</v>
      </c>
      <c r="W65" t="str">
        <f t="shared" si="65"/>
        <v>1-0,000321926987003526i</v>
      </c>
      <c r="X65" s="4">
        <f t="shared" si="77"/>
        <v>1.0000000518184911</v>
      </c>
      <c r="Y65" s="4">
        <f t="shared" si="78"/>
        <v>-3.219269758823459E-4</v>
      </c>
      <c r="Z65" t="str">
        <f t="shared" si="66"/>
        <v>0,999999996516146+0,000276020198656823i</v>
      </c>
      <c r="AA65" s="4">
        <f t="shared" si="79"/>
        <v>1.0000000346097204</v>
      </c>
      <c r="AB65" s="4">
        <f t="shared" si="80"/>
        <v>2.7602019260870658E-4</v>
      </c>
      <c r="AC65" s="48" t="str">
        <f t="shared" si="81"/>
        <v>17,0744263225455-72,550266378832i</v>
      </c>
      <c r="AD65" s="20">
        <f t="shared" si="82"/>
        <v>37.446900976910008</v>
      </c>
      <c r="AE65" s="44">
        <f t="shared" si="83"/>
        <v>-76.756654940134482</v>
      </c>
      <c r="AF65" t="str">
        <f t="shared" si="84"/>
        <v>-20791,6666666667</v>
      </c>
      <c r="AG65" t="str">
        <f t="shared" si="85"/>
        <v>185,429944514031i</v>
      </c>
      <c r="AH65">
        <f t="shared" si="86"/>
        <v>185.42994451403101</v>
      </c>
      <c r="AI65">
        <f t="shared" si="87"/>
        <v>1.5707963267948966</v>
      </c>
      <c r="AJ65" t="str">
        <f t="shared" si="67"/>
        <v>0,999358602205018+0,217549934072807i</v>
      </c>
      <c r="AK65">
        <f t="shared" si="88"/>
        <v>1.022763701749456</v>
      </c>
      <c r="AL65">
        <f t="shared" si="89"/>
        <v>0.21434546207792821</v>
      </c>
      <c r="AM65" t="str">
        <f t="shared" si="68"/>
        <v>1+0,299061414512229i</v>
      </c>
      <c r="AN65">
        <f t="shared" si="90"/>
        <v>1.0437613374953372</v>
      </c>
      <c r="AO65">
        <f t="shared" si="91"/>
        <v>0.29059548458836088</v>
      </c>
      <c r="AP65" t="str">
        <f t="shared" si="69"/>
        <v>1+0,210055041145494i</v>
      </c>
      <c r="AQ65">
        <f t="shared" si="92"/>
        <v>1.0218234291259107</v>
      </c>
      <c r="AR65">
        <f t="shared" si="93"/>
        <v>0.20704490999045638</v>
      </c>
      <c r="AS65" s="42" t="str">
        <f t="shared" si="94"/>
        <v>-32,6832512702411+112,265314164071i</v>
      </c>
      <c r="AT65">
        <f t="shared" si="95"/>
        <v>41.358223827394923</v>
      </c>
      <c r="AU65" s="44">
        <f t="shared" si="96"/>
        <v>106.23160398974457</v>
      </c>
      <c r="AV65" s="42" t="str">
        <f t="shared" si="70"/>
        <v>7586,83068191164+4288,04442105415i</v>
      </c>
      <c r="AW65" s="20">
        <f t="shared" si="97"/>
        <v>78.805124804304938</v>
      </c>
      <c r="AX65" s="44">
        <f t="shared" si="98"/>
        <v>29.474949049610121</v>
      </c>
    </row>
    <row r="66" spans="1:50" x14ac:dyDescent="0.3">
      <c r="A66" t="s">
        <v>173</v>
      </c>
      <c r="B66" s="3">
        <f>Ccomp_iso</f>
        <v>4.8E-9</v>
      </c>
      <c r="C66" s="2" t="s">
        <v>151</v>
      </c>
      <c r="E66" t="s">
        <v>176</v>
      </c>
      <c r="N66" s="8">
        <v>48</v>
      </c>
      <c r="O66" s="35">
        <f t="shared" si="71"/>
        <v>30.199517204020164</v>
      </c>
      <c r="P66" s="34" t="str">
        <f t="shared" si="72"/>
        <v>324,571428571429</v>
      </c>
      <c r="Q66" s="4" t="str">
        <f t="shared" si="63"/>
        <v>1+4,33712372069067i</v>
      </c>
      <c r="R66" s="4">
        <f t="shared" si="73"/>
        <v>4.4509147563818479</v>
      </c>
      <c r="S66" s="4">
        <f t="shared" si="74"/>
        <v>1.34418896850957</v>
      </c>
      <c r="T66" s="4" t="str">
        <f t="shared" si="64"/>
        <v>1+0,0000379498325560434i</v>
      </c>
      <c r="U66" s="4">
        <f t="shared" si="75"/>
        <v>1.0000000007200949</v>
      </c>
      <c r="V66" s="4">
        <f t="shared" si="76"/>
        <v>3.7949832537825076E-5</v>
      </c>
      <c r="W66" t="str">
        <f t="shared" si="65"/>
        <v>1-0,000329425629826766i</v>
      </c>
      <c r="X66" s="4">
        <f t="shared" si="77"/>
        <v>1.0000000542606213</v>
      </c>
      <c r="Y66" s="4">
        <f t="shared" si="78"/>
        <v>-3.2942561791020689E-4</v>
      </c>
      <c r="Z66" t="str">
        <f t="shared" si="66"/>
        <v>0,999999996351957+0,000282449535013469i</v>
      </c>
      <c r="AA66" s="4">
        <f t="shared" si="79"/>
        <v>1.0000000362408261</v>
      </c>
      <c r="AB66" s="4">
        <f t="shared" si="80"/>
        <v>2.8244952853279554E-4</v>
      </c>
      <c r="AC66" s="48" t="str">
        <f t="shared" si="81"/>
        <v>16,3429060053243-71,0674850530018i</v>
      </c>
      <c r="AD66" s="20">
        <f t="shared" si="82"/>
        <v>37.257220367594158</v>
      </c>
      <c r="AE66" s="44">
        <f t="shared" si="83"/>
        <v>-77.049238261884341</v>
      </c>
      <c r="AF66" t="str">
        <f t="shared" si="84"/>
        <v>-20791,6666666667</v>
      </c>
      <c r="AG66" t="str">
        <f t="shared" si="85"/>
        <v>189,749162780217i</v>
      </c>
      <c r="AH66">
        <f t="shared" si="86"/>
        <v>189.74916278021701</v>
      </c>
      <c r="AI66">
        <f t="shared" si="87"/>
        <v>1.5707963267948966</v>
      </c>
      <c r="AJ66" t="str">
        <f t="shared" si="67"/>
        <v>0,999328374058218+0,222617323007843i</v>
      </c>
      <c r="AK66">
        <f t="shared" si="88"/>
        <v>1.0238240433302102</v>
      </c>
      <c r="AL66">
        <f t="shared" si="89"/>
        <v>0.21918796906424989</v>
      </c>
      <c r="AM66" t="str">
        <f t="shared" si="68"/>
        <v>1+0,306027449731934i</v>
      </c>
      <c r="AN66">
        <f t="shared" si="90"/>
        <v>1.0457785616417232</v>
      </c>
      <c r="AO66">
        <f t="shared" si="91"/>
        <v>0.29697735047579737</v>
      </c>
      <c r="AP66" t="str">
        <f t="shared" si="69"/>
        <v>1+0,21494785159743i</v>
      </c>
      <c r="AQ66">
        <f t="shared" si="92"/>
        <v>1.0228404464560201</v>
      </c>
      <c r="AR66">
        <f t="shared" si="93"/>
        <v>0.21172631513827808</v>
      </c>
      <c r="AS66" s="42" t="str">
        <f t="shared" si="94"/>
        <v>-32,6828383313278+109,716135207889i</v>
      </c>
      <c r="AT66">
        <f t="shared" si="95"/>
        <v>41.174634780431006</v>
      </c>
      <c r="AU66" s="44">
        <f t="shared" si="96"/>
        <v>106.58802751509536</v>
      </c>
      <c r="AV66" s="42" t="str">
        <f t="shared" si="70"/>
        <v>7263,11724412368+4115,76760957129i</v>
      </c>
      <c r="AW66" s="20">
        <f t="shared" si="97"/>
        <v>78.431855148025164</v>
      </c>
      <c r="AX66" s="44">
        <f t="shared" si="98"/>
        <v>29.538789253210982</v>
      </c>
    </row>
    <row r="67" spans="1:50" x14ac:dyDescent="0.3">
      <c r="A67" t="s">
        <v>174</v>
      </c>
      <c r="B67" s="3">
        <f>CHF</f>
        <v>3.3000000000000002E-11</v>
      </c>
      <c r="C67" s="2" t="s">
        <v>151</v>
      </c>
      <c r="E67" t="s">
        <v>177</v>
      </c>
      <c r="N67" s="8">
        <v>49</v>
      </c>
      <c r="O67" s="35">
        <f t="shared" si="71"/>
        <v>30.902954325135919</v>
      </c>
      <c r="P67" s="34" t="str">
        <f t="shared" si="72"/>
        <v>324,571428571429</v>
      </c>
      <c r="Q67" s="4" t="str">
        <f t="shared" si="63"/>
        <v>1+4,43814831003739i</v>
      </c>
      <c r="R67" s="4">
        <f t="shared" si="73"/>
        <v>4.5494131953349486</v>
      </c>
      <c r="S67" s="4">
        <f t="shared" si="74"/>
        <v>1.349178091793769</v>
      </c>
      <c r="T67" s="4" t="str">
        <f t="shared" si="64"/>
        <v>1+0,0000388337977128272i</v>
      </c>
      <c r="U67" s="4">
        <f t="shared" si="75"/>
        <v>1.0000000007540319</v>
      </c>
      <c r="V67" s="4">
        <f t="shared" si="76"/>
        <v>3.8833797693305919E-5</v>
      </c>
      <c r="W67" t="str">
        <f t="shared" si="65"/>
        <v>1-0,000337098938479403i</v>
      </c>
      <c r="X67" s="4">
        <f t="shared" si="77"/>
        <v>1.0000000568178455</v>
      </c>
      <c r="Y67" s="4">
        <f t="shared" si="78"/>
        <v>-3.3709892571057989E-4</v>
      </c>
      <c r="Z67" t="str">
        <f t="shared" si="66"/>
        <v>0,99999999618003+0,00028902862985224i</v>
      </c>
      <c r="AA67" s="4">
        <f t="shared" si="79"/>
        <v>1.0000000379488039</v>
      </c>
      <c r="AB67" s="4">
        <f t="shared" si="80"/>
        <v>2.8902862290807325E-4</v>
      </c>
      <c r="AC67" s="48" t="str">
        <f t="shared" si="81"/>
        <v>15,6410530729609-69,6079320274784i</v>
      </c>
      <c r="AD67" s="20">
        <f t="shared" si="82"/>
        <v>37.067098252358292</v>
      </c>
      <c r="AE67" s="44">
        <f t="shared" si="83"/>
        <v>-77.335859924559415</v>
      </c>
      <c r="AF67" t="str">
        <f t="shared" si="84"/>
        <v>-20791,6666666667</v>
      </c>
      <c r="AG67" t="str">
        <f t="shared" si="85"/>
        <v>194,168988564136i</v>
      </c>
      <c r="AH67">
        <f t="shared" si="86"/>
        <v>194.16898856413599</v>
      </c>
      <c r="AI67">
        <f t="shared" si="87"/>
        <v>1.5707963267948966</v>
      </c>
      <c r="AJ67" t="str">
        <f t="shared" si="67"/>
        <v>0,999296721302748+0,227802746594227i</v>
      </c>
      <c r="AK67">
        <f t="shared" si="88"/>
        <v>1.0249331824866905</v>
      </c>
      <c r="AL67">
        <f t="shared" si="89"/>
        <v>0.22413293729542461</v>
      </c>
      <c r="AM67" t="str">
        <f t="shared" si="68"/>
        <v>1+0,313155744756238i</v>
      </c>
      <c r="AN67">
        <f t="shared" si="90"/>
        <v>1.0478866925740751</v>
      </c>
      <c r="AO67">
        <f t="shared" si="91"/>
        <v>0.3034821612714092</v>
      </c>
      <c r="AP67" t="str">
        <f t="shared" si="69"/>
        <v>1+0,219954630245453i</v>
      </c>
      <c r="AQ67">
        <f t="shared" si="92"/>
        <v>1.0239043116260493</v>
      </c>
      <c r="AR67">
        <f t="shared" si="93"/>
        <v>0.21650702933085095</v>
      </c>
      <c r="AS67" s="42" t="str">
        <f t="shared" si="94"/>
        <v>-32,6824076988525+107,225121327294i</v>
      </c>
      <c r="AT67">
        <f t="shared" si="95"/>
        <v>40.991751575054032</v>
      </c>
      <c r="AU67" s="44">
        <f t="shared" si="96"/>
        <v>106.95131465703497</v>
      </c>
      <c r="AV67" s="42" t="str">
        <f t="shared" si="70"/>
        <v>6952,53168361851+3952,06862703094i</v>
      </c>
      <c r="AW67" s="20">
        <f t="shared" si="97"/>
        <v>78.058849827412317</v>
      </c>
      <c r="AX67" s="44">
        <f t="shared" si="98"/>
        <v>29.61545473247557</v>
      </c>
    </row>
    <row r="68" spans="1:50" x14ac:dyDescent="0.3">
      <c r="N68" s="8">
        <v>50</v>
      </c>
      <c r="O68" s="35">
        <f t="shared" si="71"/>
        <v>31.622776601683803</v>
      </c>
      <c r="P68" s="34" t="str">
        <f t="shared" si="72"/>
        <v>324,571428571429</v>
      </c>
      <c r="Q68" s="4" t="str">
        <f t="shared" si="63"/>
        <v>1+4,54152606436393i</v>
      </c>
      <c r="R68" s="4">
        <f t="shared" si="73"/>
        <v>4.6503181604377275</v>
      </c>
      <c r="S68" s="4">
        <f t="shared" si="74"/>
        <v>1.3540645115595416</v>
      </c>
      <c r="T68" s="4" t="str">
        <f t="shared" si="64"/>
        <v>1+0,0000397383530631844i</v>
      </c>
      <c r="U68" s="4">
        <f t="shared" si="75"/>
        <v>1.0000000007895682</v>
      </c>
      <c r="V68" s="4">
        <f t="shared" si="76"/>
        <v>3.9738353042266968E-5</v>
      </c>
      <c r="W68" t="str">
        <f t="shared" si="65"/>
        <v>1-0,000344950981451253i</v>
      </c>
      <c r="X68" s="4">
        <f t="shared" si="77"/>
        <v>1.000000059495588</v>
      </c>
      <c r="Y68" s="4">
        <f t="shared" si="78"/>
        <v>-3.449509677692126E-4</v>
      </c>
      <c r="Z68" t="str">
        <f t="shared" si="66"/>
        <v>0,999999996+0,000295760971496304i</v>
      </c>
      <c r="AA68" s="4">
        <f t="shared" si="79"/>
        <v>1.0000000397372755</v>
      </c>
      <c r="AB68" s="4">
        <f t="shared" si="80"/>
        <v>2.9576096405549537E-4</v>
      </c>
      <c r="AC68" s="48" t="str">
        <f t="shared" si="81"/>
        <v>14,9677984591471-68,1717056736282i</v>
      </c>
      <c r="AD68" s="20">
        <f t="shared" si="82"/>
        <v>36.876552579040464</v>
      </c>
      <c r="AE68" s="44">
        <f t="shared" si="83"/>
        <v>-77.616614950468062</v>
      </c>
      <c r="AF68" t="str">
        <f t="shared" si="84"/>
        <v>-20791,6666666667</v>
      </c>
      <c r="AG68" t="str">
        <f t="shared" si="85"/>
        <v>198,691765315922i</v>
      </c>
      <c r="AH68">
        <f t="shared" si="86"/>
        <v>198.691765315922</v>
      </c>
      <c r="AI68">
        <f t="shared" si="87"/>
        <v>1.5707963267948966</v>
      </c>
      <c r="AJ68" t="str">
        <f t="shared" si="67"/>
        <v>0,999263576798872+0,233108954212181i</v>
      </c>
      <c r="AK68">
        <f t="shared" si="88"/>
        <v>1.0260933098167884</v>
      </c>
      <c r="AL68">
        <f t="shared" si="89"/>
        <v>0.22918206210699602</v>
      </c>
      <c r="AM68" t="str">
        <f t="shared" si="68"/>
        <v>1+0,320450079101519i</v>
      </c>
      <c r="AN68">
        <f t="shared" si="90"/>
        <v>1.0500896405527338</v>
      </c>
      <c r="AO68">
        <f t="shared" si="91"/>
        <v>0.31011116323140214</v>
      </c>
      <c r="AP68" t="str">
        <f t="shared" si="69"/>
        <v>1+0,225078031749876i</v>
      </c>
      <c r="AQ68">
        <f t="shared" si="92"/>
        <v>1.0250171317477568</v>
      </c>
      <c r="AR68">
        <f t="shared" si="93"/>
        <v>0.22138871284940193</v>
      </c>
      <c r="AS68" s="42" t="str">
        <f t="shared" si="94"/>
        <v>-32,6819586969288+104,790951245396i</v>
      </c>
      <c r="AT68">
        <f t="shared" si="95"/>
        <v>40.809601553995527</v>
      </c>
      <c r="AU68" s="44">
        <f t="shared" si="96"/>
        <v>107.32153481232032</v>
      </c>
      <c r="AV68" s="42" t="str">
        <f t="shared" si="70"/>
        <v>6654,60091453486+3796,4747077081i</v>
      </c>
      <c r="AW68" s="20">
        <f t="shared" si="97"/>
        <v>77.686154133035984</v>
      </c>
      <c r="AX68" s="44">
        <f t="shared" si="98"/>
        <v>29.704919861852257</v>
      </c>
    </row>
    <row r="69" spans="1:50" x14ac:dyDescent="0.3">
      <c r="A69" t="s">
        <v>218</v>
      </c>
      <c r="B69" s="1">
        <f>-kopto_max*Rpullup/(Ccomp_iso*RLED*RFBT_iso)</f>
        <v>-20791.666666666668</v>
      </c>
      <c r="C69" t="s">
        <v>144</v>
      </c>
      <c r="N69" s="8">
        <v>51</v>
      </c>
      <c r="O69" s="35">
        <f t="shared" si="71"/>
        <v>32.359365692962832</v>
      </c>
      <c r="P69" s="34" t="str">
        <f t="shared" si="72"/>
        <v>324,571428571429</v>
      </c>
      <c r="Q69" s="4" t="str">
        <f t="shared" si="63"/>
        <v>1+4,647311795924i</v>
      </c>
      <c r="R69" s="4">
        <f t="shared" si="73"/>
        <v>4.7536835116080614</v>
      </c>
      <c r="S69" s="4">
        <f t="shared" si="74"/>
        <v>1.3588498848384218</v>
      </c>
      <c r="T69" s="4" t="str">
        <f t="shared" si="64"/>
        <v>1+0,000040663978214335i</v>
      </c>
      <c r="U69" s="4">
        <f t="shared" si="75"/>
        <v>1.0000000008267795</v>
      </c>
      <c r="V69" s="4">
        <f t="shared" si="76"/>
        <v>4.0663978191921568E-5</v>
      </c>
      <c r="W69" t="str">
        <f t="shared" si="65"/>
        <v>1-0,000352985921999436i</v>
      </c>
      <c r="X69" s="4">
        <f t="shared" si="77"/>
        <v>1.0000000622995286</v>
      </c>
      <c r="Y69" s="4">
        <f t="shared" si="78"/>
        <v>-3.529859073388656E-4</v>
      </c>
      <c r="Z69" t="str">
        <f t="shared" si="66"/>
        <v>0,999999995811486+0,000302650129522316i</v>
      </c>
      <c r="AA69" s="4">
        <f t="shared" si="79"/>
        <v>1.0000000416100356</v>
      </c>
      <c r="AB69" s="4">
        <f t="shared" si="80"/>
        <v>3.026501215493459E-4</v>
      </c>
      <c r="AC69" s="48" t="str">
        <f t="shared" si="81"/>
        <v>14,3221002588387-66,7588678240465i</v>
      </c>
      <c r="AD69" s="20">
        <f t="shared" si="82"/>
        <v>36.685600645158139</v>
      </c>
      <c r="AE69" s="44">
        <f t="shared" si="83"/>
        <v>-77.891598696102903</v>
      </c>
      <c r="AF69" t="str">
        <f t="shared" si="84"/>
        <v>-20791,6666666667</v>
      </c>
      <c r="AG69" t="str">
        <f t="shared" si="85"/>
        <v>203,319891071675i</v>
      </c>
      <c r="AH69">
        <f t="shared" si="86"/>
        <v>203.31989107167499</v>
      </c>
      <c r="AI69">
        <f t="shared" si="87"/>
        <v>1.5707963267948966</v>
      </c>
      <c r="AJ69" t="str">
        <f t="shared" si="67"/>
        <v>0,999228870242652+0,23853875928322i</v>
      </c>
      <c r="AK69">
        <f t="shared" si="88"/>
        <v>1.0273067092192012</v>
      </c>
      <c r="AL69">
        <f t="shared" si="89"/>
        <v>0.23433703436894671</v>
      </c>
      <c r="AM69" t="str">
        <f t="shared" si="68"/>
        <v>1+0,327914320320397i</v>
      </c>
      <c r="AN69">
        <f t="shared" si="90"/>
        <v>1.0523914677871482</v>
      </c>
      <c r="AO69">
        <f t="shared" si="91"/>
        <v>0.31686553989268001</v>
      </c>
      <c r="AP69" t="str">
        <f t="shared" si="69"/>
        <v>1+0,230320772605993i</v>
      </c>
      <c r="AQ69">
        <f t="shared" si="92"/>
        <v>1.0261811040424695</v>
      </c>
      <c r="AR69">
        <f t="shared" si="93"/>
        <v>0.22637302292674144</v>
      </c>
      <c r="AS69" s="42" t="str">
        <f t="shared" si="94"/>
        <v>-32,6814906313236+102,412333794406i</v>
      </c>
      <c r="AT69">
        <f t="shared" si="95"/>
        <v>40.628212857295871</v>
      </c>
      <c r="AU69" s="44">
        <f t="shared" si="96"/>
        <v>107.69875386535261</v>
      </c>
      <c r="AV69" s="42" t="str">
        <f t="shared" si="70"/>
        <v>6368,86386990277+3648,53902569448i</v>
      </c>
      <c r="AW69" s="20">
        <f t="shared" si="97"/>
        <v>77.313813502454011</v>
      </c>
      <c r="AX69" s="44">
        <f t="shared" si="98"/>
        <v>29.807155169249686</v>
      </c>
    </row>
    <row r="70" spans="1:50" x14ac:dyDescent="0.3">
      <c r="A70" t="s">
        <v>581</v>
      </c>
      <c r="B70" s="1">
        <f>1/(Ccomp_iso*(Rcomp_iso+RFBT_iso))</f>
        <v>620.03968253968253</v>
      </c>
      <c r="E70" t="s">
        <v>230</v>
      </c>
      <c r="N70" s="8">
        <v>52</v>
      </c>
      <c r="O70" s="35">
        <f t="shared" si="71"/>
        <v>33.113112148259127</v>
      </c>
      <c r="P70" s="34" t="str">
        <f t="shared" si="72"/>
        <v>324,571428571429</v>
      </c>
      <c r="Q70" s="4" t="str">
        <f t="shared" si="63"/>
        <v>1+4,75556159371273i</v>
      </c>
      <c r="R70" s="4">
        <f t="shared" si="73"/>
        <v>4.8595643911358515</v>
      </c>
      <c r="S70" s="4">
        <f t="shared" si="74"/>
        <v>1.3635358718228456</v>
      </c>
      <c r="T70" s="4" t="str">
        <f t="shared" si="64"/>
        <v>1+0,0000416111639449864i</v>
      </c>
      <c r="U70" s="4">
        <f t="shared" si="75"/>
        <v>1.0000000008657444</v>
      </c>
      <c r="V70" s="4">
        <f t="shared" si="76"/>
        <v>4.1611163920969977E-5</v>
      </c>
      <c r="W70" t="str">
        <f t="shared" si="65"/>
        <v>1-0,000361208020355785i</v>
      </c>
      <c r="X70" s="4">
        <f t="shared" si="77"/>
        <v>1.0000000652356149</v>
      </c>
      <c r="Y70" s="4">
        <f t="shared" si="78"/>
        <v>-3.6120800464670085E-4</v>
      </c>
      <c r="Z70" t="str">
        <f t="shared" si="66"/>
        <v>0,999999995614087+0,00030969975665305i</v>
      </c>
      <c r="AA70" s="4">
        <f t="shared" si="79"/>
        <v>1.0000000435710557</v>
      </c>
      <c r="AB70" s="4">
        <f t="shared" si="80"/>
        <v>3.0969974810985871E-4</v>
      </c>
      <c r="AC70" s="48" t="str">
        <f t="shared" si="81"/>
        <v>13,7029440565072-65,3694461598738i</v>
      </c>
      <c r="AD70" s="20">
        <f t="shared" si="82"/>
        <v>36.494259114750214</v>
      </c>
      <c r="AE70" s="44">
        <f t="shared" si="83"/>
        <v>-78.160906708742473</v>
      </c>
      <c r="AF70" t="str">
        <f t="shared" si="84"/>
        <v>-20791,6666666667</v>
      </c>
      <c r="AG70" t="str">
        <f t="shared" si="85"/>
        <v>208,055819724932i</v>
      </c>
      <c r="AH70">
        <f t="shared" si="86"/>
        <v>208.05581972493201</v>
      </c>
      <c r="AI70">
        <f t="shared" si="87"/>
        <v>1.5707963267948966</v>
      </c>
      <c r="AJ70" t="str">
        <f t="shared" si="67"/>
        <v>0,999192528016829+0,244095040761865i</v>
      </c>
      <c r="AK70">
        <f t="shared" si="88"/>
        <v>1.0285757614143931</v>
      </c>
      <c r="AL70">
        <f t="shared" si="89"/>
        <v>0.23959953784895915</v>
      </c>
      <c r="AM70" t="str">
        <f t="shared" si="68"/>
        <v>1+0,33555242605237i</v>
      </c>
      <c r="AN70">
        <f t="shared" si="90"/>
        <v>1.0547963929733697</v>
      </c>
      <c r="AO70">
        <f t="shared" si="91"/>
        <v>0.32374640649763758</v>
      </c>
      <c r="AP70" t="str">
        <f t="shared" si="69"/>
        <v>1+0,235685632584403i</v>
      </c>
      <c r="AQ70">
        <f t="shared" si="92"/>
        <v>1.0273985192741473</v>
      </c>
      <c r="AR70">
        <f t="shared" si="93"/>
        <v>0.23146161124853126</v>
      </c>
      <c r="AS70" s="42" t="str">
        <f t="shared" si="94"/>
        <v>-32,6810027896664+100,08800722954i</v>
      </c>
      <c r="AT70">
        <f t="shared" si="95"/>
        <v>40.447614422801408</v>
      </c>
      <c r="AU70" s="44">
        <f t="shared" si="96"/>
        <v>108.08303387664952</v>
      </c>
      <c r="AV70" s="42" t="str">
        <f t="shared" si="70"/>
        <v>6094,87164690312+3507,83941610346i</v>
      </c>
      <c r="AW70" s="20">
        <f t="shared" si="97"/>
        <v>76.941873537551629</v>
      </c>
      <c r="AX70" s="44">
        <f t="shared" si="98"/>
        <v>29.922127167907064</v>
      </c>
    </row>
    <row r="71" spans="1:50" x14ac:dyDescent="0.3">
      <c r="A71" t="s">
        <v>580</v>
      </c>
      <c r="B71" s="1">
        <f>1/(Rcomp_iso*Ccomp_iso)</f>
        <v>882.76836158192089</v>
      </c>
      <c r="E71" t="s">
        <v>582</v>
      </c>
      <c r="N71" s="8">
        <v>53</v>
      </c>
      <c r="O71" s="35">
        <f t="shared" si="71"/>
        <v>33.884415613920268</v>
      </c>
      <c r="P71" s="34" t="str">
        <f t="shared" si="72"/>
        <v>324,571428571429</v>
      </c>
      <c r="Q71" s="4" t="str">
        <f t="shared" si="63"/>
        <v>1+4,86633285320571i</v>
      </c>
      <c r="R71" s="4">
        <f t="shared" si="73"/>
        <v>4.9680172542161358</v>
      </c>
      <c r="S71" s="4">
        <f t="shared" si="74"/>
        <v>1.368124133525684</v>
      </c>
      <c r="T71" s="4" t="str">
        <f t="shared" si="64"/>
        <v>1+0,00004258041246555i</v>
      </c>
      <c r="U71" s="4">
        <f t="shared" si="75"/>
        <v>1.0000000009065457</v>
      </c>
      <c r="V71" s="4">
        <f t="shared" si="76"/>
        <v>4.2580412439815938E-5</v>
      </c>
      <c r="W71" t="str">
        <f t="shared" si="65"/>
        <v>1-0,000369621635985677i</v>
      </c>
      <c r="X71" s="4">
        <f t="shared" si="77"/>
        <v>1.0000000683100745</v>
      </c>
      <c r="Y71" s="4">
        <f t="shared" si="78"/>
        <v>-3.6962161915309012E-4</v>
      </c>
      <c r="Z71" t="str">
        <f t="shared" si="66"/>
        <v>0,999999995407385+0,000316913590694119i</v>
      </c>
      <c r="AA71" s="4">
        <f t="shared" si="79"/>
        <v>1.000000045624496</v>
      </c>
      <c r="AB71" s="4">
        <f t="shared" si="80"/>
        <v>3.1691358153992477E-4</v>
      </c>
      <c r="AC71" s="48" t="str">
        <f t="shared" si="81"/>
        <v>13,1093431370245-64,0034365076938i</v>
      </c>
      <c r="AD71" s="20">
        <f t="shared" si="82"/>
        <v>36.302544035384599</v>
      </c>
      <c r="AE71" s="44">
        <f t="shared" si="83"/>
        <v>-78.42463459257857</v>
      </c>
      <c r="AF71" t="str">
        <f t="shared" si="84"/>
        <v>-20791,6666666667</v>
      </c>
      <c r="AG71" t="str">
        <f t="shared" si="85"/>
        <v>212,90206232775i</v>
      </c>
      <c r="AH71">
        <f t="shared" si="86"/>
        <v>212.90206232775</v>
      </c>
      <c r="AI71">
        <f t="shared" si="87"/>
        <v>1.5707963267948966</v>
      </c>
      <c r="AJ71" t="str">
        <f t="shared" si="67"/>
        <v>0,99915447303467+0,249780744662101i</v>
      </c>
      <c r="AK71">
        <f t="shared" si="88"/>
        <v>1.0299029475582362</v>
      </c>
      <c r="AL71">
        <f t="shared" si="89"/>
        <v>0.24497124639825268</v>
      </c>
      <c r="AM71" t="str">
        <f t="shared" si="68"/>
        <v>1+0,343368446122195i</v>
      </c>
      <c r="AN71">
        <f t="shared" si="90"/>
        <v>1.0573087958550098</v>
      </c>
      <c r="AO71">
        <f t="shared" si="91"/>
        <v>0.33075480422293108</v>
      </c>
      <c r="AP71" t="str">
        <f t="shared" si="69"/>
        <v>1+0,241175456204875i</v>
      </c>
      <c r="AQ71">
        <f t="shared" si="92"/>
        <v>1.0286717652757995</v>
      </c>
      <c r="AR71">
        <f t="shared" si="93"/>
        <v>0.23665612128234809</v>
      </c>
      <c r="AS71" s="42" t="str">
        <f t="shared" si="94"/>
        <v>-32,6804944417365+97,816738558476i</v>
      </c>
      <c r="AT71">
        <f t="shared" si="95"/>
        <v>40.267835984364083</v>
      </c>
      <c r="AU71" s="44">
        <f t="shared" si="96"/>
        <v>108.47443276038521</v>
      </c>
      <c r="AV71" s="42" t="str">
        <f t="shared" si="70"/>
        <v>5832,18760019276+3373,9771413494i</v>
      </c>
      <c r="AW71" s="20">
        <f t="shared" si="97"/>
        <v>76.570380019748697</v>
      </c>
      <c r="AX71" s="44">
        <f t="shared" si="98"/>
        <v>30.049798167806635</v>
      </c>
    </row>
    <row r="72" spans="1:50" x14ac:dyDescent="0.3">
      <c r="A72" t="s">
        <v>583</v>
      </c>
      <c r="B72" s="1">
        <f>Ccomp_iso*Copto*Rcomp_iso*Rpullup</f>
        <v>1.8653817600000001E-8</v>
      </c>
      <c r="E72" t="s">
        <v>586</v>
      </c>
      <c r="I72">
        <f>Copto</f>
        <v>3.2999999999999998E-9</v>
      </c>
      <c r="N72" s="8">
        <v>54</v>
      </c>
      <c r="O72" s="35">
        <f t="shared" si="71"/>
        <v>34.67368504525318</v>
      </c>
      <c r="P72" s="34" t="str">
        <f t="shared" si="72"/>
        <v>324,571428571429</v>
      </c>
      <c r="Q72" s="4" t="str">
        <f t="shared" si="63"/>
        <v>1+4,97968430679102i</v>
      </c>
      <c r="R72" s="4">
        <f t="shared" si="73"/>
        <v>5.0790999001103296</v>
      </c>
      <c r="S72" s="4">
        <f t="shared" si="74"/>
        <v>1.3726163295994691</v>
      </c>
      <c r="T72" s="4" t="str">
        <f t="shared" si="64"/>
        <v>1+0,0000435722376844214i</v>
      </c>
      <c r="U72" s="4">
        <f t="shared" si="75"/>
        <v>1.00000000094927</v>
      </c>
      <c r="V72" s="4">
        <f t="shared" si="76"/>
        <v>4.3572237656846861E-5</v>
      </c>
      <c r="W72" t="str">
        <f t="shared" si="65"/>
        <v>1-0,000378231229899491i</v>
      </c>
      <c r="X72" s="4">
        <f t="shared" si="77"/>
        <v>1.000000071529429</v>
      </c>
      <c r="Y72" s="4">
        <f t="shared" si="78"/>
        <v>-3.7823121186304933E-4</v>
      </c>
      <c r="Z72" t="str">
        <f t="shared" si="66"/>
        <v>0,999999995190942+0,000324295456515824i</v>
      </c>
      <c r="AA72" s="4">
        <f t="shared" si="79"/>
        <v>1.0000000477747124</v>
      </c>
      <c r="AB72" s="4">
        <f t="shared" si="80"/>
        <v>3.2429544670692812E-4</v>
      </c>
      <c r="AC72" s="48" t="str">
        <f t="shared" si="81"/>
        <v>12,5403385897348-62,660805044713i</v>
      </c>
      <c r="AD72" s="20">
        <f t="shared" si="82"/>
        <v>36.110470855261859</v>
      </c>
      <c r="AE72" s="44">
        <f t="shared" si="83"/>
        <v>-78.682877883997364</v>
      </c>
      <c r="AF72" t="str">
        <f t="shared" si="84"/>
        <v>-20791,6666666667</v>
      </c>
      <c r="AG72" t="str">
        <f t="shared" si="85"/>
        <v>217,861188422107i</v>
      </c>
      <c r="AH72">
        <f t="shared" si="86"/>
        <v>217.86118842210701</v>
      </c>
      <c r="AI72">
        <f t="shared" si="87"/>
        <v>1.5707963267948966</v>
      </c>
      <c r="AJ72" t="str">
        <f t="shared" si="67"/>
        <v>0,999114624576456+0,255598885619396i</v>
      </c>
      <c r="AK72">
        <f t="shared" si="88"/>
        <v>1.0312908529471352</v>
      </c>
      <c r="AL72">
        <f t="shared" si="89"/>
        <v>0.25045382095404722</v>
      </c>
      <c r="AM72" t="str">
        <f t="shared" si="68"/>
        <v>1+0,351366524687174i</v>
      </c>
      <c r="AN72">
        <f t="shared" si="90"/>
        <v>1.0599332217978368</v>
      </c>
      <c r="AO72">
        <f t="shared" si="91"/>
        <v>0.33789169422088194</v>
      </c>
      <c r="AP72" t="str">
        <f t="shared" si="69"/>
        <v>1+0,246793154244563i</v>
      </c>
      <c r="AQ72">
        <f t="shared" si="92"/>
        <v>1.0300033305683922</v>
      </c>
      <c r="AR72">
        <f t="shared" si="93"/>
        <v>0.24195818542838923</v>
      </c>
      <c r="AS72" s="42" t="str">
        <f t="shared" si="94"/>
        <v>-32,6799648398442+95,5973228860328i</v>
      </c>
      <c r="AT72">
        <f t="shared" si="95"/>
        <v>40.088908067553149</v>
      </c>
      <c r="AU72" s="44">
        <f t="shared" si="96"/>
        <v>108.87300395147996</v>
      </c>
      <c r="AV72" s="42" t="str">
        <f t="shared" si="70"/>
        <v>5580,38738796591+3246,57570296061i</v>
      </c>
      <c r="AW72" s="20">
        <f t="shared" si="97"/>
        <v>76.199378922815015</v>
      </c>
      <c r="AX72" s="44">
        <f t="shared" si="98"/>
        <v>30.190126067482591</v>
      </c>
    </row>
    <row r="73" spans="1:50" x14ac:dyDescent="0.3">
      <c r="A73" t="s">
        <v>584</v>
      </c>
      <c r="B73" s="1">
        <f>(Ccomp_iso*Rcomp_iso)+(Ccomp_iso*Rpullup)+(Copto*Rpullup)</f>
        <v>1.1732190000000001E-3</v>
      </c>
      <c r="E73" t="s">
        <v>588</v>
      </c>
      <c r="N73" s="8">
        <v>55</v>
      </c>
      <c r="O73" s="35">
        <f t="shared" si="71"/>
        <v>35.481338923357555</v>
      </c>
      <c r="P73" s="34" t="str">
        <f t="shared" si="72"/>
        <v>324,571428571429</v>
      </c>
      <c r="Q73" s="4" t="str">
        <f t="shared" si="63"/>
        <v>1+5,09567605490969i</v>
      </c>
      <c r="R73" s="4">
        <f t="shared" si="73"/>
        <v>5.1928715039542404</v>
      </c>
      <c r="S73" s="4">
        <f t="shared" si="74"/>
        <v>1.3770141163087508</v>
      </c>
      <c r="T73" s="4" t="str">
        <f t="shared" si="64"/>
        <v>1+0,0000445871654804598i</v>
      </c>
      <c r="U73" s="4">
        <f t="shared" si="75"/>
        <v>1.0000000009940075</v>
      </c>
      <c r="V73" s="4">
        <f t="shared" si="76"/>
        <v>4.4587165450913141E-5</v>
      </c>
      <c r="W73" t="str">
        <f t="shared" si="65"/>
        <v>1-0,00038704136701788i</v>
      </c>
      <c r="X73" s="4">
        <f t="shared" si="77"/>
        <v>1.0000000749005071</v>
      </c>
      <c r="Y73" s="4">
        <f t="shared" si="78"/>
        <v>-3.8704134769148457E-4</v>
      </c>
      <c r="Z73" t="str">
        <f t="shared" si="66"/>
        <v>0,999999994964298+0,00033184926808113i</v>
      </c>
      <c r="AA73" s="4">
        <f t="shared" si="79"/>
        <v>1.0000000500262651</v>
      </c>
      <c r="AB73" s="4">
        <f t="shared" si="80"/>
        <v>3.3184925757070874E-4</v>
      </c>
      <c r="AC73" s="48" t="str">
        <f t="shared" si="81"/>
        <v>11,9949993157217-61,3414904116076i</v>
      </c>
      <c r="AD73" s="20">
        <f t="shared" si="82"/>
        <v>35.91805444035338</v>
      </c>
      <c r="AE73" s="44">
        <f t="shared" si="83"/>
        <v>-78.935731935640433</v>
      </c>
      <c r="AF73" t="str">
        <f t="shared" si="84"/>
        <v>-20791,6666666667</v>
      </c>
      <c r="AG73" t="str">
        <f t="shared" si="85"/>
        <v>222,935827402299i</v>
      </c>
      <c r="AH73">
        <f t="shared" si="86"/>
        <v>222.935827402299</v>
      </c>
      <c r="AI73">
        <f t="shared" si="87"/>
        <v>1.5707963267948966</v>
      </c>
      <c r="AJ73" t="str">
        <f t="shared" si="67"/>
        <v>0,999072898118265+0,261552548489098i</v>
      </c>
      <c r="AK73">
        <f t="shared" si="88"/>
        <v>1.0327421708130113</v>
      </c>
      <c r="AL73">
        <f t="shared" si="89"/>
        <v>0.25604890635298871</v>
      </c>
      <c r="AM73" t="str">
        <f t="shared" si="68"/>
        <v>1+0,359550902434428i</v>
      </c>
      <c r="AN73">
        <f t="shared" si="90"/>
        <v>1.0626743863674384</v>
      </c>
      <c r="AO73">
        <f t="shared" si="91"/>
        <v>0.34515795148412298</v>
      </c>
      <c r="AP73" t="str">
        <f t="shared" si="69"/>
        <v>1+0,252541705281324i</v>
      </c>
      <c r="AQ73">
        <f t="shared" si="92"/>
        <v>1.0313958080709846</v>
      </c>
      <c r="AR73">
        <f t="shared" si="93"/>
        <v>0.24736942198583106</v>
      </c>
      <c r="AS73" s="42" t="str">
        <f t="shared" si="94"/>
        <v>-32,6794132193048+93,4285827736965i</v>
      </c>
      <c r="AT73">
        <f t="shared" si="95"/>
        <v>39.910861982680636</v>
      </c>
      <c r="AU73" s="44">
        <f t="shared" si="96"/>
        <v>109.27879606283352</v>
      </c>
      <c r="AV73" s="42" t="str">
        <f t="shared" si="70"/>
        <v>5339,05897517904+3125,27969908829i</v>
      </c>
      <c r="AW73" s="20">
        <f t="shared" si="97"/>
        <v>75.828916423034016</v>
      </c>
      <c r="AX73" s="44">
        <f t="shared" si="98"/>
        <v>30.343064127193127</v>
      </c>
    </row>
    <row r="74" spans="1:50" x14ac:dyDescent="0.3">
      <c r="A74" t="s">
        <v>585</v>
      </c>
      <c r="B74" s="1">
        <v>1</v>
      </c>
      <c r="E74" t="s">
        <v>587</v>
      </c>
      <c r="N74" s="8">
        <v>56</v>
      </c>
      <c r="O74" s="35">
        <f t="shared" si="71"/>
        <v>36.307805477010156</v>
      </c>
      <c r="P74" s="34" t="str">
        <f t="shared" si="72"/>
        <v>324,571428571429</v>
      </c>
      <c r="Q74" s="4" t="str">
        <f t="shared" si="63"/>
        <v>1+5,21436959792194i</v>
      </c>
      <c r="R74" s="4">
        <f t="shared" si="73"/>
        <v>5.3093926492333008</v>
      </c>
      <c r="S74" s="4">
        <f t="shared" si="74"/>
        <v>1.3813191446490602</v>
      </c>
      <c r="T74" s="4" t="str">
        <f t="shared" si="64"/>
        <v>1+0,000045625733981817i</v>
      </c>
      <c r="U74" s="4">
        <f t="shared" si="75"/>
        <v>1.0000000010408538</v>
      </c>
      <c r="V74" s="4">
        <f t="shared" si="76"/>
        <v>4.5625733950157185E-5</v>
      </c>
      <c r="W74" t="str">
        <f t="shared" si="65"/>
        <v>1-0,000396056718592161i</v>
      </c>
      <c r="X74" s="4">
        <f t="shared" si="77"/>
        <v>1.000000078430459</v>
      </c>
      <c r="Y74" s="4">
        <f t="shared" si="78"/>
        <v>-3.960566978835553E-4</v>
      </c>
      <c r="Z74" t="str">
        <f t="shared" si="66"/>
        <v>0,999999994726973+0,000339579030520919i</v>
      </c>
      <c r="AA74" s="4">
        <f t="shared" si="79"/>
        <v>1.0000000523839305</v>
      </c>
      <c r="AB74" s="4">
        <f t="shared" si="80"/>
        <v>3.3957901925879964E-4</v>
      </c>
      <c r="AC74" s="48" t="str">
        <f t="shared" si="81"/>
        <v>11,4724219477213-60,0454057329984i</v>
      </c>
      <c r="AD74" s="20">
        <f t="shared" si="82"/>
        <v>35.72530909151596</v>
      </c>
      <c r="AE74" s="44">
        <f t="shared" si="83"/>
        <v>-79.18329180887082</v>
      </c>
      <c r="AF74" t="str">
        <f t="shared" si="84"/>
        <v>-20791,6666666667</v>
      </c>
      <c r="AG74" t="str">
        <f t="shared" si="85"/>
        <v>228,128669909085i</v>
      </c>
      <c r="AH74">
        <f t="shared" si="86"/>
        <v>228.128669909085</v>
      </c>
      <c r="AI74">
        <f t="shared" si="87"/>
        <v>1.5707963267948966</v>
      </c>
      <c r="AJ74" t="str">
        <f t="shared" si="67"/>
        <v>0,999029205152683+0,267644889982066i</v>
      </c>
      <c r="AK74">
        <f t="shared" si="88"/>
        <v>1.034259706206093</v>
      </c>
      <c r="AL74">
        <f t="shared" si="89"/>
        <v>0.26175812795026437</v>
      </c>
      <c r="AM74" t="str">
        <f t="shared" si="68"/>
        <v>1+0,367925918829372i</v>
      </c>
      <c r="AN74">
        <f t="shared" si="90"/>
        <v>1.0655371798986828</v>
      </c>
      <c r="AO74">
        <f t="shared" si="91"/>
        <v>0.35255435854638317</v>
      </c>
      <c r="AP74" t="str">
        <f t="shared" si="69"/>
        <v>1+0,258424157273011i</v>
      </c>
      <c r="AQ74">
        <f t="shared" si="92"/>
        <v>1.0328518989004503</v>
      </c>
      <c r="AR74">
        <f t="shared" si="93"/>
        <v>0.25289143192925195</v>
      </c>
      <c r="AS74" s="42" t="str">
        <f t="shared" si="94"/>
        <v>-32,6788387990254+91,3093676136865i</v>
      </c>
      <c r="AT74">
        <f t="shared" si="95"/>
        <v>39.733729814944724</v>
      </c>
      <c r="AU74" s="44">
        <f t="shared" si="96"/>
        <v>109.69185253342039</v>
      </c>
      <c r="AV74" s="42" t="str">
        <f t="shared" si="70"/>
        <v>5107,80259812332+3009,75372761454i</v>
      </c>
      <c r="AW74" s="20">
        <f t="shared" si="97"/>
        <v>75.459038906460677</v>
      </c>
      <c r="AX74" s="44">
        <f t="shared" si="98"/>
        <v>30.508560724549589</v>
      </c>
    </row>
    <row r="75" spans="1:50" x14ac:dyDescent="0.3">
      <c r="N75" s="8">
        <v>57</v>
      </c>
      <c r="O75" s="35">
        <f t="shared" si="71"/>
        <v>37.15352290971726</v>
      </c>
      <c r="P75" s="34" t="str">
        <f t="shared" si="72"/>
        <v>324,571428571429</v>
      </c>
      <c r="Q75" s="4" t="str">
        <f t="shared" si="63"/>
        <v>1+5,33582786871534i</v>
      </c>
      <c r="R75" s="4">
        <f t="shared" si="73"/>
        <v>5.4287253609442505</v>
      </c>
      <c r="S75" s="4">
        <f t="shared" si="74"/>
        <v>1.385533058605918</v>
      </c>
      <c r="T75" s="4" t="str">
        <f t="shared" si="64"/>
        <v>1+0,0000466884938512592i</v>
      </c>
      <c r="U75" s="4">
        <f t="shared" si="75"/>
        <v>1.0000000010899077</v>
      </c>
      <c r="V75" s="4">
        <f t="shared" si="76"/>
        <v>4.6688493817335097E-5</v>
      </c>
      <c r="W75" t="str">
        <f t="shared" si="65"/>
        <v>1-0,000405282064681069i</v>
      </c>
      <c r="X75" s="4">
        <f t="shared" si="77"/>
        <v>1.0000000821267725</v>
      </c>
      <c r="Y75" s="4">
        <f t="shared" si="78"/>
        <v>-4.0528204249139829E-4</v>
      </c>
      <c r="Z75" t="str">
        <f t="shared" si="66"/>
        <v>0,999999994478463+0,000347488842257549i</v>
      </c>
      <c r="AA75" s="4">
        <f t="shared" si="79"/>
        <v>1.000000054852709</v>
      </c>
      <c r="AB75" s="4">
        <f t="shared" si="80"/>
        <v>3.4748883018997066E-4</v>
      </c>
      <c r="AC75" s="48" t="str">
        <f t="shared" si="81"/>
        <v>10,9717306915854-58,7724405460556i</v>
      </c>
      <c r="AD75" s="20">
        <f t="shared" si="82"/>
        <v>35.532248561532874</v>
      </c>
      <c r="AE75" s="44">
        <f t="shared" si="83"/>
        <v>-79.42565217426872</v>
      </c>
      <c r="AF75" t="str">
        <f t="shared" si="84"/>
        <v>-20791,6666666667</v>
      </c>
      <c r="AG75" t="str">
        <f t="shared" si="85"/>
        <v>233,442469256296i</v>
      </c>
      <c r="AH75">
        <f t="shared" si="86"/>
        <v>233.44246925629599</v>
      </c>
      <c r="AI75">
        <f t="shared" si="87"/>
        <v>1.5707963267948966</v>
      </c>
      <c r="AJ75" t="str">
        <f t="shared" si="67"/>
        <v>0,998983453001074+0,273879140338402i</v>
      </c>
      <c r="AK75">
        <f t="shared" si="88"/>
        <v>1.0358463799629996</v>
      </c>
      <c r="AL75">
        <f t="shared" si="89"/>
        <v>0.26758308803958725</v>
      </c>
      <c r="AM75" t="str">
        <f t="shared" si="68"/>
        <v>1+0,376496014416554i</v>
      </c>
      <c r="AN75">
        <f t="shared" si="90"/>
        <v>1.068526672044994</v>
      </c>
      <c r="AO75">
        <f t="shared" si="91"/>
        <v>0.36008159903457981</v>
      </c>
      <c r="AP75" t="str">
        <f t="shared" si="69"/>
        <v>1+0,264443629173532i</v>
      </c>
      <c r="AQ75">
        <f t="shared" si="92"/>
        <v>1.0343744162586719</v>
      </c>
      <c r="AR75">
        <f t="shared" si="93"/>
        <v>0.25852579548981786</v>
      </c>
      <c r="AS75" s="42" t="str">
        <f t="shared" si="94"/>
        <v>-32,6782407821977+89,2385530172213i</v>
      </c>
      <c r="AT75">
        <f t="shared" si="95"/>
        <v>39.557544411490071</v>
      </c>
      <c r="AU75" s="44">
        <f t="shared" si="96"/>
        <v>110.11221126808624</v>
      </c>
      <c r="AV75" s="42" t="str">
        <f t="shared" si="70"/>
        <v>4886,23069428361+2899,68133453312i</v>
      </c>
      <c r="AW75" s="20">
        <f t="shared" si="97"/>
        <v>75.089792973022924</v>
      </c>
      <c r="AX75" s="44">
        <f t="shared" si="98"/>
        <v>30.686559093817529</v>
      </c>
    </row>
    <row r="76" spans="1:50" x14ac:dyDescent="0.3">
      <c r="N76" s="8">
        <v>58</v>
      </c>
      <c r="O76" s="35">
        <f t="shared" si="71"/>
        <v>38.018939632056139</v>
      </c>
      <c r="P76" s="34" t="str">
        <f t="shared" si="72"/>
        <v>324,571428571429</v>
      </c>
      <c r="Q76" s="4" t="str">
        <f t="shared" si="63"/>
        <v>1+5,46011526607275i</v>
      </c>
      <c r="R76" s="4">
        <f t="shared" si="73"/>
        <v>5.5509331394640924</v>
      </c>
      <c r="S76" s="4">
        <f t="shared" si="74"/>
        <v>1.3896574935474202</v>
      </c>
      <c r="T76" s="4" t="str">
        <f t="shared" si="64"/>
        <v>1+0,0000477760085781366i</v>
      </c>
      <c r="U76" s="4">
        <f t="shared" si="75"/>
        <v>1.0000000011412735</v>
      </c>
      <c r="V76" s="4">
        <f t="shared" si="76"/>
        <v>4.7776008541786268E-5</v>
      </c>
      <c r="W76" t="str">
        <f t="shared" si="65"/>
        <v>1-0,000414722296685214i</v>
      </c>
      <c r="X76" s="4">
        <f t="shared" si="77"/>
        <v>1.000000085997288</v>
      </c>
      <c r="Y76" s="4">
        <f t="shared" si="78"/>
        <v>-4.1472227290855358E-4</v>
      </c>
      <c r="Z76" t="str">
        <f t="shared" si="66"/>
        <v>0,999999994218241+0,000355582897177902i</v>
      </c>
      <c r="AA76" s="4">
        <f t="shared" si="79"/>
        <v>1.0000000574378378</v>
      </c>
      <c r="AB76" s="4">
        <f t="shared" si="80"/>
        <v>3.5558288424725887E-4</v>
      </c>
      <c r="AC76" s="48" t="str">
        <f t="shared" si="81"/>
        <v>10,4920770976451-57,522462638175i</v>
      </c>
      <c r="AD76" s="20">
        <f t="shared" si="82"/>
        <v>35.338886072035088</v>
      </c>
      <c r="AE76" s="44">
        <f t="shared" si="83"/>
        <v>-79.662907219786348</v>
      </c>
      <c r="AF76" t="str">
        <f t="shared" si="84"/>
        <v>-20791,6666666667</v>
      </c>
      <c r="AG76" t="str">
        <f t="shared" si="85"/>
        <v>238,880042890683i</v>
      </c>
      <c r="AH76">
        <f t="shared" si="86"/>
        <v>238.880042890683</v>
      </c>
      <c r="AI76">
        <f t="shared" si="87"/>
        <v>1.5707963267948966</v>
      </c>
      <c r="AJ76" t="str">
        <f t="shared" si="67"/>
        <v>0,998935544616989+0,280258605040164i</v>
      </c>
      <c r="AK76">
        <f t="shared" si="88"/>
        <v>1.0375052327570686</v>
      </c>
      <c r="AL76">
        <f t="shared" si="89"/>
        <v>0.27352536206977784</v>
      </c>
      <c r="AM76" t="str">
        <f t="shared" si="68"/>
        <v>1+0,385265733174093i</v>
      </c>
      <c r="AN76">
        <f t="shared" si="90"/>
        <v>1.07164811629479</v>
      </c>
      <c r="AO76">
        <f t="shared" si="91"/>
        <v>0.36774025108989494</v>
      </c>
      <c r="AP76" t="str">
        <f t="shared" si="69"/>
        <v>1+0,270603312586566i</v>
      </c>
      <c r="AQ76">
        <f t="shared" si="92"/>
        <v>1.0359662894046422</v>
      </c>
      <c r="AR76">
        <f t="shared" si="93"/>
        <v>0.26427406853647084</v>
      </c>
      <c r="AS76" s="42" t="str">
        <f t="shared" si="94"/>
        <v>-32,6776183571203+87,215040216664i</v>
      </c>
      <c r="AT76">
        <f t="shared" si="95"/>
        <v>39.382339365186454</v>
      </c>
      <c r="AU76" s="44">
        <f t="shared" si="96"/>
        <v>110.53990427003698</v>
      </c>
      <c r="AV76" s="42" t="str">
        <f t="shared" si="70"/>
        <v>4673,96780117966+2794,76400707945i</v>
      </c>
      <c r="AW76" s="20">
        <f t="shared" si="97"/>
        <v>74.721225437221534</v>
      </c>
      <c r="AX76" s="44">
        <f t="shared" si="98"/>
        <v>30.876997050250623</v>
      </c>
    </row>
    <row r="77" spans="1:50" x14ac:dyDescent="0.3">
      <c r="N77" s="8">
        <v>59</v>
      </c>
      <c r="O77" s="35">
        <f t="shared" si="71"/>
        <v>38.904514499428053</v>
      </c>
      <c r="P77" s="34" t="str">
        <f t="shared" si="72"/>
        <v>324,571428571429</v>
      </c>
      <c r="Q77" s="4" t="str">
        <f t="shared" si="63"/>
        <v>1+5,58729768881742i</v>
      </c>
      <c r="R77" s="4">
        <f t="shared" si="73"/>
        <v>5.6760809951466058</v>
      </c>
      <c r="S77" s="4">
        <f t="shared" si="74"/>
        <v>1.3936940747439872</v>
      </c>
      <c r="T77" s="4" t="str">
        <f t="shared" si="64"/>
        <v>1+0,0000488888547771524i</v>
      </c>
      <c r="U77" s="4">
        <f t="shared" si="75"/>
        <v>1.0000000011950601</v>
      </c>
      <c r="V77" s="4">
        <f t="shared" si="76"/>
        <v>4.8888854738202318E-5</v>
      </c>
      <c r="W77" t="str">
        <f t="shared" si="65"/>
        <v>1-0,000424382419940559i</v>
      </c>
      <c r="X77" s="4">
        <f t="shared" si="77"/>
        <v>1.0000000900502151</v>
      </c>
      <c r="Y77" s="4">
        <f t="shared" si="78"/>
        <v>-4.2438239446340845E-4</v>
      </c>
      <c r="Z77" t="str">
        <f t="shared" si="66"/>
        <v>0,999999993945755+0,000363865486857035i</v>
      </c>
      <c r="AA77" s="4">
        <f t="shared" si="79"/>
        <v>1.0000000601447996</v>
      </c>
      <c r="AB77" s="4">
        <f t="shared" si="80"/>
        <v>3.6386547300160132E-4</v>
      </c>
      <c r="AC77" s="48" t="str">
        <f t="shared" si="81"/>
        <v>10,0326397697884-56,2953197950638i</v>
      </c>
      <c r="AD77" s="20">
        <f t="shared" si="82"/>
        <v>35.145234330261928</v>
      </c>
      <c r="AE77" s="44">
        <f t="shared" si="83"/>
        <v>-79.895150566194957</v>
      </c>
      <c r="AF77" t="str">
        <f t="shared" si="84"/>
        <v>-20791,6666666667</v>
      </c>
      <c r="AG77" t="str">
        <f t="shared" si="85"/>
        <v>244,444273885762i</v>
      </c>
      <c r="AH77">
        <f t="shared" si="86"/>
        <v>244.44427388576199</v>
      </c>
      <c r="AI77">
        <f t="shared" si="87"/>
        <v>1.5707963267948966</v>
      </c>
      <c r="AJ77" t="str">
        <f t="shared" si="67"/>
        <v>0,998885378380323+0,286786666563979i</v>
      </c>
      <c r="AK77">
        <f t="shared" si="88"/>
        <v>1.0392394292273941</v>
      </c>
      <c r="AL77">
        <f t="shared" si="89"/>
        <v>0.27958649465432578</v>
      </c>
      <c r="AM77" t="str">
        <f t="shared" si="68"/>
        <v>1+0,394239724922957i</v>
      </c>
      <c r="AN77">
        <f t="shared" si="90"/>
        <v>1.074906954441792</v>
      </c>
      <c r="AO77">
        <f t="shared" si="91"/>
        <v>0.37553078067809498</v>
      </c>
      <c r="AP77" t="str">
        <f t="shared" si="69"/>
        <v>1+0,276906473457791i</v>
      </c>
      <c r="AQ77">
        <f t="shared" si="92"/>
        <v>1.0376305677083872</v>
      </c>
      <c r="AR77">
        <f t="shared" si="93"/>
        <v>0.2701377787528656</v>
      </c>
      <c r="AS77" s="42" t="str">
        <f t="shared" si="94"/>
        <v>-32,6769706981439+85,2377554812457i</v>
      </c>
      <c r="AT77">
        <f t="shared" si="95"/>
        <v>39.208148994929445</v>
      </c>
      <c r="AU77" s="44">
        <f t="shared" si="96"/>
        <v>110.97495726713605</v>
      </c>
      <c r="AV77" s="42" t="str">
        <f t="shared" si="70"/>
        <v>4470,65042764777+2694,72021091458i</v>
      </c>
      <c r="AW77" s="20">
        <f t="shared" si="97"/>
        <v>74.353383325191373</v>
      </c>
      <c r="AX77" s="44">
        <f t="shared" si="98"/>
        <v>31.079806700941063</v>
      </c>
    </row>
    <row r="78" spans="1:50" x14ac:dyDescent="0.3">
      <c r="N78" s="8">
        <v>60</v>
      </c>
      <c r="O78" s="35">
        <f t="shared" si="71"/>
        <v>39.810717055349755</v>
      </c>
      <c r="P78" s="34" t="str">
        <f t="shared" si="72"/>
        <v>324,571428571429</v>
      </c>
      <c r="Q78" s="4" t="str">
        <f t="shared" si="63"/>
        <v>1+5,7174425707533i</v>
      </c>
      <c r="R78" s="4">
        <f t="shared" si="73"/>
        <v>5.8042354836672585</v>
      </c>
      <c r="S78" s="4">
        <f t="shared" si="74"/>
        <v>1.3976444160089765</v>
      </c>
      <c r="T78" s="4" t="str">
        <f t="shared" si="64"/>
        <v>1+0,0000500276224940914i</v>
      </c>
      <c r="U78" s="4">
        <f t="shared" si="75"/>
        <v>1.0000000012513814</v>
      </c>
      <c r="V78" s="4">
        <f t="shared" si="76"/>
        <v>5.0027622452355644E-5</v>
      </c>
      <c r="W78" t="str">
        <f t="shared" si="65"/>
        <v>1-0,000434267556372321i</v>
      </c>
      <c r="X78" s="4">
        <f t="shared" si="77"/>
        <v>1.0000000942941507</v>
      </c>
      <c r="Y78" s="4">
        <f t="shared" si="78"/>
        <v>-4.342675290730625E-4</v>
      </c>
      <c r="Z78" t="str">
        <f t="shared" si="66"/>
        <v>0,999999993660427+0,000372341002833628i</v>
      </c>
      <c r="AA78" s="4">
        <f t="shared" si="79"/>
        <v>1.0000000629793364</v>
      </c>
      <c r="AB78" s="4">
        <f t="shared" si="80"/>
        <v>3.7234098798726348E-4</v>
      </c>
      <c r="AC78" s="48" t="str">
        <f t="shared" si="81"/>
        <v>9,59262401953976-55,0908414609097i</v>
      </c>
      <c r="AD78" s="20">
        <f t="shared" si="82"/>
        <v>34.951305545625601</v>
      </c>
      <c r="AE78" s="44">
        <f t="shared" si="83"/>
        <v>-80.122475189462307</v>
      </c>
      <c r="AF78" t="str">
        <f t="shared" si="84"/>
        <v>-20791,6666666667</v>
      </c>
      <c r="AG78" t="str">
        <f t="shared" si="85"/>
        <v>250,138112470457i</v>
      </c>
      <c r="AH78">
        <f t="shared" si="86"/>
        <v>250.138112470457</v>
      </c>
      <c r="AI78">
        <f t="shared" si="87"/>
        <v>1.5707963267948966</v>
      </c>
      <c r="AJ78" t="str">
        <f t="shared" si="67"/>
        <v>0,998832847881761+0,293466786174478i</v>
      </c>
      <c r="AK78">
        <f t="shared" si="88"/>
        <v>1.0410522621824352</v>
      </c>
      <c r="AL78">
        <f t="shared" si="89"/>
        <v>0.28576799537106712</v>
      </c>
      <c r="AM78" t="str">
        <f t="shared" si="68"/>
        <v>1+0,403422747792353i</v>
      </c>
      <c r="AN78">
        <f t="shared" si="90"/>
        <v>1.0783088209953271</v>
      </c>
      <c r="AO78">
        <f t="shared" si="91"/>
        <v>0.38345353481205946</v>
      </c>
      <c r="AP78" t="str">
        <f t="shared" si="69"/>
        <v>1+0,283356453806534i</v>
      </c>
      <c r="AQ78">
        <f t="shared" si="92"/>
        <v>1.0393704247831062</v>
      </c>
      <c r="AR78">
        <f t="shared" si="93"/>
        <v>0.27611842160648914</v>
      </c>
      <c r="AS78" s="42" t="str">
        <f t="shared" si="94"/>
        <v>-32,6762969667605+83,3056495460625i</v>
      </c>
      <c r="AT78">
        <f t="shared" si="95"/>
        <v>39.035008322270983</v>
      </c>
      <c r="AU78" s="44">
        <f t="shared" si="96"/>
        <v>111.41738933329314</v>
      </c>
      <c r="AV78" s="42" t="str">
        <f t="shared" si="70"/>
        <v>4275,92690078727+2599,28447052433i</v>
      </c>
      <c r="AW78" s="20">
        <f t="shared" si="97"/>
        <v>73.986313867896584</v>
      </c>
      <c r="AX78" s="44">
        <f t="shared" si="98"/>
        <v>31.29491414383088</v>
      </c>
    </row>
    <row r="79" spans="1:50" x14ac:dyDescent="0.3">
      <c r="N79" s="8">
        <v>61</v>
      </c>
      <c r="O79" s="35">
        <f t="shared" si="71"/>
        <v>40.738027780411279</v>
      </c>
      <c r="P79" s="34" t="str">
        <f t="shared" si="72"/>
        <v>324,571428571429</v>
      </c>
      <c r="Q79" s="4" t="str">
        <f t="shared" si="63"/>
        <v>1+5,85061891641952i</v>
      </c>
      <c r="R79" s="4">
        <f t="shared" si="73"/>
        <v>5.9354647421382181</v>
      </c>
      <c r="S79" s="4">
        <f t="shared" si="74"/>
        <v>1.4015101184540033</v>
      </c>
      <c r="T79" s="4" t="str">
        <f t="shared" si="64"/>
        <v>1+0,0000511929155186708i</v>
      </c>
      <c r="U79" s="4">
        <f t="shared" si="75"/>
        <v>1.0000000013103572</v>
      </c>
      <c r="V79" s="4">
        <f t="shared" si="76"/>
        <v>5.1192915473950127E-5</v>
      </c>
      <c r="W79" t="str">
        <f t="shared" si="65"/>
        <v>1-0,000444382947210684i</v>
      </c>
      <c r="X79" s="4">
        <f t="shared" si="77"/>
        <v>1.000000098738097</v>
      </c>
      <c r="Y79" s="4">
        <f t="shared" si="78"/>
        <v>-4.4438291795900167E-4</v>
      </c>
      <c r="Z79" t="str">
        <f t="shared" si="66"/>
        <v>0,999999993361652+0,00038101393893844i</v>
      </c>
      <c r="AA79" s="4">
        <f t="shared" si="79"/>
        <v>1.0000000659474606</v>
      </c>
      <c r="AB79" s="4">
        <f t="shared" si="80"/>
        <v>3.8101392303027394E-4</v>
      </c>
      <c r="AC79" s="48" t="str">
        <f t="shared" si="81"/>
        <v>9,17126147191279-53,9088403125787i</v>
      </c>
      <c r="AD79" s="20">
        <f t="shared" si="82"/>
        <v>34.757111446046814</v>
      </c>
      <c r="AE79" s="44">
        <f t="shared" si="83"/>
        <v>-80.344973349708951</v>
      </c>
      <c r="AF79" t="str">
        <f t="shared" si="84"/>
        <v>-20791,6666666667</v>
      </c>
      <c r="AG79" t="str">
        <f t="shared" si="85"/>
        <v>255,964577593354i</v>
      </c>
      <c r="AH79">
        <f t="shared" si="86"/>
        <v>255.96457759335399</v>
      </c>
      <c r="AI79">
        <f t="shared" si="87"/>
        <v>1.5707963267948966</v>
      </c>
      <c r="AJ79" t="str">
        <f t="shared" si="67"/>
        <v>0,998777841697074+0,300302505759497i</v>
      </c>
      <c r="AK79">
        <f t="shared" si="88"/>
        <v>1.0429471568734909</v>
      </c>
      <c r="AL79">
        <f t="shared" si="89"/>
        <v>0.29207133434996752</v>
      </c>
      <c r="AM79" t="str">
        <f t="shared" si="68"/>
        <v>1+0,412819670742561i</v>
      </c>
      <c r="AN79">
        <f t="shared" si="90"/>
        <v>1.0818595475162183</v>
      </c>
      <c r="AO79">
        <f t="shared" si="91"/>
        <v>0.39150873471231312</v>
      </c>
      <c r="AP79" t="str">
        <f t="shared" si="69"/>
        <v>1+0,289956673497751i</v>
      </c>
      <c r="AQ79">
        <f t="shared" si="92"/>
        <v>1.0411891626913341</v>
      </c>
      <c r="AR79">
        <f t="shared" si="93"/>
        <v>0.2822174561071395</v>
      </c>
      <c r="AS79" s="42" t="str">
        <f t="shared" si="94"/>
        <v>-32,6755963128395+81,4176970540454i</v>
      </c>
      <c r="AT79">
        <f t="shared" si="95"/>
        <v>38.862953044193503</v>
      </c>
      <c r="AU79" s="44">
        <f t="shared" si="96"/>
        <v>111.86721250637272</v>
      </c>
      <c r="AV79" s="42" t="str">
        <f t="shared" si="70"/>
        <v>4089,45719156872+2508,20649187078i</v>
      </c>
      <c r="AW79" s="20">
        <f t="shared" si="97"/>
        <v>73.62006449024031</v>
      </c>
      <c r="AX79" s="44">
        <f t="shared" si="98"/>
        <v>31.522239156663744</v>
      </c>
    </row>
    <row r="80" spans="1:50" x14ac:dyDescent="0.3">
      <c r="N80" s="8">
        <v>62</v>
      </c>
      <c r="O80" s="35">
        <f t="shared" si="71"/>
        <v>41.686938347033561</v>
      </c>
      <c r="P80" s="34" t="str">
        <f t="shared" si="72"/>
        <v>324,571428571429</v>
      </c>
      <c r="Q80" s="4" t="str">
        <f t="shared" si="63"/>
        <v>1+5,98689733767733i</v>
      </c>
      <c r="R80" s="4">
        <f t="shared" si="73"/>
        <v>6.0698385260143368</v>
      </c>
      <c r="S80" s="4">
        <f t="shared" si="74"/>
        <v>1.4052927693529291</v>
      </c>
      <c r="T80" s="4" t="str">
        <f t="shared" si="64"/>
        <v>1+0,0000523853517046766i</v>
      </c>
      <c r="U80" s="4">
        <f t="shared" si="75"/>
        <v>1.0000000013721124</v>
      </c>
      <c r="V80" s="4">
        <f t="shared" si="76"/>
        <v>5.2385351656757534E-5</v>
      </c>
      <c r="W80" t="str">
        <f t="shared" si="65"/>
        <v>1-0,000454733955769762i</v>
      </c>
      <c r="X80" s="4">
        <f t="shared" si="77"/>
        <v>1.0000001033914798</v>
      </c>
      <c r="Y80" s="4">
        <f t="shared" si="78"/>
        <v>-4.5473392442601986E-4</v>
      </c>
      <c r="Z80" t="str">
        <f t="shared" si="66"/>
        <v>0,999999993048797+0,000389888893676994i</v>
      </c>
      <c r="AA80" s="4">
        <f t="shared" si="79"/>
        <v>1.0000000690554693</v>
      </c>
      <c r="AB80" s="4">
        <f t="shared" si="80"/>
        <v>3.8988887663108675E-4</v>
      </c>
      <c r="AC80" s="48" t="str">
        <f t="shared" si="81"/>
        <v>8,76780962931874-52,7491137500333i</v>
      </c>
      <c r="AD80" s="20">
        <f t="shared" si="82"/>
        <v>34.562663294034834</v>
      </c>
      <c r="AE80" s="44">
        <f t="shared" si="83"/>
        <v>-80.562736526397131</v>
      </c>
      <c r="AF80" t="str">
        <f t="shared" si="84"/>
        <v>-20791,6666666667</v>
      </c>
      <c r="AG80" t="str">
        <f t="shared" si="85"/>
        <v>261,926758523383i</v>
      </c>
      <c r="AH80">
        <f t="shared" si="86"/>
        <v>261.926758523383</v>
      </c>
      <c r="AI80">
        <f t="shared" si="87"/>
        <v>1.5707963267948966</v>
      </c>
      <c r="AJ80" t="str">
        <f t="shared" si="67"/>
        <v>0,998720243150769+0,307297449708044i</v>
      </c>
      <c r="AK80">
        <f t="shared" si="88"/>
        <v>1.0449276753326993</v>
      </c>
      <c r="AL80">
        <f t="shared" si="89"/>
        <v>0.29849793764803573</v>
      </c>
      <c r="AM80" t="str">
        <f t="shared" si="68"/>
        <v>1+0,422435476146512i</v>
      </c>
      <c r="AN80">
        <f t="shared" si="90"/>
        <v>1.0855651668633857</v>
      </c>
      <c r="AO80">
        <f t="shared" si="91"/>
        <v>0.39969646893417393</v>
      </c>
      <c r="AP80" t="str">
        <f t="shared" si="69"/>
        <v>1+0,296710632055288i</v>
      </c>
      <c r="AQ80">
        <f t="shared" si="92"/>
        <v>1.0430902162203652</v>
      </c>
      <c r="AR80">
        <f t="shared" si="93"/>
        <v>0.28843630035283802</v>
      </c>
      <c r="AS80" s="42" t="str">
        <f t="shared" si="94"/>
        <v>-32,6748678760121+79,5728960106294i</v>
      </c>
      <c r="AT80">
        <f t="shared" si="95"/>
        <v>38.692019501851888</v>
      </c>
      <c r="AU80" s="44">
        <f t="shared" si="96"/>
        <v>112.32443140420361</v>
      </c>
      <c r="AV80" s="42" t="str">
        <f t="shared" si="70"/>
        <v>3910,91272188425+2421,25032623385i</v>
      </c>
      <c r="AW80" s="20">
        <f t="shared" si="97"/>
        <v>73.254682795886737</v>
      </c>
      <c r="AX80" s="44">
        <f t="shared" si="98"/>
        <v>31.761694877806473</v>
      </c>
    </row>
    <row r="81" spans="14:50" x14ac:dyDescent="0.3">
      <c r="N81" s="8">
        <v>63</v>
      </c>
      <c r="O81" s="35">
        <f t="shared" si="71"/>
        <v>42.657951880159267</v>
      </c>
      <c r="P81" s="34" t="str">
        <f t="shared" si="72"/>
        <v>324,571428571429</v>
      </c>
      <c r="Q81" s="4" t="str">
        <f t="shared" si="63"/>
        <v>1+6,12635009114951i</v>
      </c>
      <c r="R81" s="4">
        <f t="shared" si="73"/>
        <v>6.2074282468126531</v>
      </c>
      <c r="S81" s="4">
        <f t="shared" si="74"/>
        <v>1.4089939411086745</v>
      </c>
      <c r="T81" s="4" t="str">
        <f t="shared" si="64"/>
        <v>1+0,0000536055632975582i</v>
      </c>
      <c r="U81" s="4">
        <f t="shared" si="75"/>
        <v>1.0000000014367783</v>
      </c>
      <c r="V81" s="4">
        <f t="shared" si="76"/>
        <v>5.3605563246211999E-5</v>
      </c>
      <c r="W81" t="str">
        <f t="shared" si="65"/>
        <v>1-0,000465326070291304i</v>
      </c>
      <c r="X81" s="4">
        <f t="shared" si="77"/>
        <v>1.0000001082641701</v>
      </c>
      <c r="Y81" s="4">
        <f t="shared" si="78"/>
        <v>-4.6532603670587934E-4</v>
      </c>
      <c r="Z81" t="str">
        <f t="shared" si="66"/>
        <v>0,999999992721197+0,000398970572667763i</v>
      </c>
      <c r="AA81" s="4">
        <f t="shared" si="79"/>
        <v>1.0000000723099534</v>
      </c>
      <c r="AB81" s="4">
        <f t="shared" si="80"/>
        <v>3.9897055440274426E-4</v>
      </c>
      <c r="AC81" s="48" t="str">
        <f t="shared" si="81"/>
        <v>8,3815513993336-51,6114453053415i</v>
      </c>
      <c r="AD81" s="20">
        <f t="shared" si="82"/>
        <v>34.367971902487355</v>
      </c>
      <c r="AE81" s="44">
        <f t="shared" si="83"/>
        <v>-80.775855359417136</v>
      </c>
      <c r="AF81" t="str">
        <f t="shared" si="84"/>
        <v>-20791,6666666667</v>
      </c>
      <c r="AG81" t="str">
        <f t="shared" si="85"/>
        <v>268,027816487791i</v>
      </c>
      <c r="AH81">
        <f t="shared" si="86"/>
        <v>268.02781648779097</v>
      </c>
      <c r="AI81">
        <f t="shared" si="87"/>
        <v>1.5707963267948966</v>
      </c>
      <c r="AJ81" t="str">
        <f t="shared" si="67"/>
        <v>0,998659930068607+0,314455326831989i</v>
      </c>
      <c r="AK81">
        <f t="shared" si="88"/>
        <v>1.0469975207695803</v>
      </c>
      <c r="AL81">
        <f t="shared" si="89"/>
        <v>0.30504918241143802</v>
      </c>
      <c r="AM81" t="str">
        <f t="shared" si="68"/>
        <v>1+0,432275262431509i</v>
      </c>
      <c r="AN81">
        <f t="shared" si="90"/>
        <v>1.0894319173359253</v>
      </c>
      <c r="AO81">
        <f t="shared" si="91"/>
        <v>0.4080166864931058</v>
      </c>
      <c r="AP81" t="str">
        <f t="shared" si="69"/>
        <v>1+0,30362191051737i</v>
      </c>
      <c r="AQ81">
        <f t="shared" si="92"/>
        <v>1.0450771572215221</v>
      </c>
      <c r="AR81">
        <f t="shared" si="93"/>
        <v>0.29477632686222466</v>
      </c>
      <c r="AS81" s="42" t="str">
        <f t="shared" si="94"/>
        <v>-32,6741107872289+77,7702672508345i</v>
      </c>
      <c r="AT81">
        <f t="shared" si="95"/>
        <v>38.522244645117979</v>
      </c>
      <c r="AU81" s="44">
        <f t="shared" si="96"/>
        <v>112.78904284045008</v>
      </c>
      <c r="AV81" s="42" t="str">
        <f t="shared" si="70"/>
        <v>3739,97615560756+2338,19357409851i</v>
      </c>
      <c r="AW81" s="20">
        <f t="shared" si="97"/>
        <v>72.890216547605334</v>
      </c>
      <c r="AX81" s="44">
        <f t="shared" si="98"/>
        <v>32.013187481032894</v>
      </c>
    </row>
    <row r="82" spans="14:50" x14ac:dyDescent="0.3">
      <c r="N82" s="8">
        <v>64</v>
      </c>
      <c r="O82" s="35">
        <f t="shared" si="71"/>
        <v>43.651583224016633</v>
      </c>
      <c r="P82" s="34" t="str">
        <f t="shared" si="72"/>
        <v>324,571428571429</v>
      </c>
      <c r="Q82" s="4" t="str">
        <f t="shared" si="63"/>
        <v>1+6,26905111653184i</v>
      </c>
      <c r="R82" s="4">
        <f t="shared" si="73"/>
        <v>6.34830701066742</v>
      </c>
      <c r="S82" s="4">
        <f t="shared" si="74"/>
        <v>1.4126151903171633</v>
      </c>
      <c r="T82" s="4" t="str">
        <f t="shared" si="64"/>
        <v>1+0,0000548541972696536i</v>
      </c>
      <c r="U82" s="4">
        <f t="shared" si="75"/>
        <v>1.0000000015044914</v>
      </c>
      <c r="V82" s="4">
        <f t="shared" si="76"/>
        <v>5.4854197214635153E-5</v>
      </c>
      <c r="W82" t="str">
        <f t="shared" si="65"/>
        <v>1-0,000476164906854632i</v>
      </c>
      <c r="X82" s="4">
        <f t="shared" si="77"/>
        <v>1.0000001133665029</v>
      </c>
      <c r="Y82" s="4">
        <f t="shared" si="78"/>
        <v>-4.7616487086720133E-4</v>
      </c>
      <c r="Z82" t="str">
        <f t="shared" si="66"/>
        <v>0,999999992378157+0,000408263791137161i</v>
      </c>
      <c r="AA82" s="4">
        <f t="shared" si="79"/>
        <v>1.0000000757178158</v>
      </c>
      <c r="AB82" s="4">
        <f t="shared" si="80"/>
        <v>4.0826377156584118E-4</v>
      </c>
      <c r="AC82" s="48" t="str">
        <f t="shared" si="81"/>
        <v>8,0117945916731-50,4956059728017i</v>
      </c>
      <c r="AD82" s="20">
        <f t="shared" si="82"/>
        <v>34.173047650189304</v>
      </c>
      <c r="AE82" s="44">
        <f t="shared" si="83"/>
        <v>-80.984419595745919</v>
      </c>
      <c r="AF82" t="str">
        <f t="shared" si="84"/>
        <v>-20791,6666666667</v>
      </c>
      <c r="AG82" t="str">
        <f t="shared" si="85"/>
        <v>274,270986348268i</v>
      </c>
      <c r="AH82">
        <f t="shared" si="86"/>
        <v>274.27098634826802</v>
      </c>
      <c r="AI82">
        <f t="shared" si="87"/>
        <v>1.5707963267948966</v>
      </c>
      <c r="AJ82" t="str">
        <f t="shared" si="67"/>
        <v>0,998596774518453+0,321779932332529i</v>
      </c>
      <c r="AK82">
        <f t="shared" si="88"/>
        <v>1.0491605420194685</v>
      </c>
      <c r="AL82">
        <f t="shared" si="89"/>
        <v>0.31172639182620898</v>
      </c>
      <c r="AM82" t="str">
        <f t="shared" si="68"/>
        <v>1+0,442344246782486i</v>
      </c>
      <c r="AN82">
        <f t="shared" si="90"/>
        <v>1.0934662466951437</v>
      </c>
      <c r="AO82">
        <f t="shared" si="91"/>
        <v>0.41646919002276822</v>
      </c>
      <c r="AP82" t="str">
        <f t="shared" si="69"/>
        <v>1+0,310694173335318i</v>
      </c>
      <c r="AQ82">
        <f t="shared" si="92"/>
        <v>1.0471536990072263</v>
      </c>
      <c r="AR82">
        <f t="shared" si="93"/>
        <v>0.30123885769364273</v>
      </c>
      <c r="AS82" s="42" t="str">
        <f t="shared" si="94"/>
        <v>-32,6733241704776+76,0088539184914i</v>
      </c>
      <c r="AT82">
        <f t="shared" si="95"/>
        <v>38.353665992776705</v>
      </c>
      <c r="AU82" s="44">
        <f t="shared" si="96"/>
        <v>113.26103544224112</v>
      </c>
      <c r="AV82" s="42" t="str">
        <f t="shared" si="70"/>
        <v>3576,34117603137+2258,82662787749i</v>
      </c>
      <c r="AW82" s="20">
        <f t="shared" si="97"/>
        <v>72.526713642966001</v>
      </c>
      <c r="AX82" s="44">
        <f t="shared" si="98"/>
        <v>32.276615846495162</v>
      </c>
    </row>
    <row r="83" spans="14:50" x14ac:dyDescent="0.3">
      <c r="N83" s="8">
        <v>65</v>
      </c>
      <c r="O83" s="35">
        <f t="shared" si="71"/>
        <v>44.668359215096324</v>
      </c>
      <c r="P83" s="34" t="str">
        <f t="shared" ref="P83:P146" si="99">COMPLEX(Adc,0)</f>
        <v>324,571428571429</v>
      </c>
      <c r="Q83" s="4" t="str">
        <f t="shared" ref="Q83:Q146" si="100">IMSUM(COMPLEX(1,0),IMDIV(COMPLEX(0,2*PI()*O83),COMPLEX(wp_lf,0)))</f>
        <v>1+6,41507607579687i</v>
      </c>
      <c r="R83" s="4">
        <f t="shared" si="73"/>
        <v>6.4925496577432016</v>
      </c>
      <c r="S83" s="4">
        <f t="shared" si="74"/>
        <v>1.416158056922896</v>
      </c>
      <c r="T83" s="4" t="str">
        <f t="shared" ref="T83:T146" si="101">IMSUM(COMPLEX(1,0),IMDIV(COMPLEX(0,2*PI()*O83),COMPLEX(wz_esr,0)))</f>
        <v>1+0,0000561319156632226i</v>
      </c>
      <c r="U83" s="4">
        <f t="shared" si="75"/>
        <v>1.0000000015753958</v>
      </c>
      <c r="V83" s="4">
        <f t="shared" si="76"/>
        <v>5.6131915604269271E-5</v>
      </c>
      <c r="W83" t="str">
        <f t="shared" ref="W83:W146" si="102">IMSUB(COMPLEX(1,0),IMDIV(COMPLEX(0,2*PI()*O83),COMPLEX(wz_rhp,0)))</f>
        <v>1-0,000487256212354363i</v>
      </c>
      <c r="X83" s="4">
        <f t="shared" si="77"/>
        <v>1.0000001187093013</v>
      </c>
      <c r="Y83" s="4">
        <f t="shared" si="78"/>
        <v>-4.8725617379313655E-4</v>
      </c>
      <c r="Z83" t="str">
        <f t="shared" ref="Z83:Z146" si="103">IMSUM(COMPLEX(1,0),IMDIV(COMPLEX(0,2*PI()*O83),COMPLEX(Q*(wsl/2),0)),IMDIV(IMPOWER(COMPLEX(0,2*PI()*O83),2),IMPOWER(COMPLEX(wsl/2,0),2)))</f>
        <v>0,999999992018951+0,00041777347647263i</v>
      </c>
      <c r="AA83" s="4">
        <f t="shared" si="79"/>
        <v>1.0000000792862866</v>
      </c>
      <c r="AB83" s="4">
        <f t="shared" si="80"/>
        <v>4.1777345550158288E-4</v>
      </c>
      <c r="AC83" s="48" t="str">
        <f t="shared" si="81"/>
        <v>7,65787138929271-49,4013554628286i</v>
      </c>
      <c r="AD83" s="20">
        <f t="shared" si="82"/>
        <v>33.97790049699384</v>
      </c>
      <c r="AE83" s="44">
        <f t="shared" si="83"/>
        <v>-81.188518041362101</v>
      </c>
      <c r="AF83" t="str">
        <f t="shared" ref="AF83:AF146" si="104">COMPLEX(Adc_ea_iso,0)</f>
        <v>-20791,6666666667</v>
      </c>
      <c r="AG83" t="str">
        <f t="shared" si="85"/>
        <v>280,659578316113i</v>
      </c>
      <c r="AH83">
        <f t="shared" si="86"/>
        <v>280.65957831611303</v>
      </c>
      <c r="AI83">
        <f t="shared" si="87"/>
        <v>1.5707963267948966</v>
      </c>
      <c r="AJ83" t="str">
        <f t="shared" ref="AJ83:AJ146" si="105">IMSUM(IMPRODUCT(COMPLEX(wpA_ea_iso,0),IMPOWER(COMPLEX(0,2*PI()*O83),2)),COMPLEX(0,wpB_ea_iso*2*PI()*O83),COMPLEX(1,0))</f>
        <v>0,99853064253892+0,329275149812452i</v>
      </c>
      <c r="AK83">
        <f t="shared" si="88"/>
        <v>1.0514207380364919</v>
      </c>
      <c r="AL83">
        <f t="shared" si="89"/>
        <v>0.31853082986029441</v>
      </c>
      <c r="AM83" t="str">
        <f t="shared" ref="AM83:AM146" si="106">IMSUM(COMPLEX(1,0),IMDIV(COMPLEX(0,2*PI()*O83),COMPLEX(wz1_ea_iso,0)))</f>
        <v>1+0,452647767908227i</v>
      </c>
      <c r="AN83">
        <f t="shared" si="90"/>
        <v>1.0976748160508649</v>
      </c>
      <c r="AO83">
        <f t="shared" si="91"/>
        <v>0.42505362900316679</v>
      </c>
      <c r="AP83" t="str">
        <f t="shared" ref="AP83:AP146" si="107">IMSUM(COMPLEX(1,0),IMDIV(COMPLEX(0,2*PI()*O83),COMPLEX(wz2_ea_iso,0)))</f>
        <v>1+0,317931170316493i</v>
      </c>
      <c r="AQ83">
        <f t="shared" si="92"/>
        <v>1.0493237007991456</v>
      </c>
      <c r="AR83">
        <f t="shared" si="93"/>
        <v>0.30782515935235671</v>
      </c>
      <c r="AS83" s="42" t="str">
        <f t="shared" si="94"/>
        <v>-32,6725071446878+74,287720957351i</v>
      </c>
      <c r="AT83">
        <f t="shared" si="95"/>
        <v>38.186321588241576</v>
      </c>
      <c r="AU83" s="44">
        <f t="shared" si="96"/>
        <v>113.74038927163845</v>
      </c>
      <c r="AV83" s="42" t="str">
        <f t="shared" ref="AV83:AV146" si="108">IMPRODUCT(AC83,AS83)</f>
        <v>3419,71225185775+2182,95195221159i</v>
      </c>
      <c r="AW83" s="20">
        <f t="shared" si="97"/>
        <v>72.164222085235423</v>
      </c>
      <c r="AX83" s="44">
        <f t="shared" si="98"/>
        <v>32.551871230276404</v>
      </c>
    </row>
    <row r="84" spans="14:50" x14ac:dyDescent="0.3">
      <c r="N84" s="8">
        <v>66</v>
      </c>
      <c r="O84" s="35">
        <f t="shared" ref="O84:O118" si="109">10^(1+(N84/100))</f>
        <v>45.70881896148753</v>
      </c>
      <c r="P84" s="34" t="str">
        <f t="shared" si="99"/>
        <v>324,571428571429</v>
      </c>
      <c r="Q84" s="4" t="str">
        <f t="shared" si="100"/>
        <v>1+6,56450239331086i</v>
      </c>
      <c r="R84" s="4">
        <f t="shared" ref="R84:R147" si="110">IMABS(Q84)</f>
        <v>6.6402328025291419</v>
      </c>
      <c r="S84" s="4">
        <f t="shared" ref="S84:S147" si="111">IMARGUMENT(Q84)</f>
        <v>1.4196240634608386</v>
      </c>
      <c r="T84" s="4" t="str">
        <f t="shared" si="101"/>
        <v>1+0,00005743939594147i</v>
      </c>
      <c r="U84" s="4">
        <f t="shared" ref="U84:U147" si="112">IMABS(T84)</f>
        <v>1.000000001649642</v>
      </c>
      <c r="V84" s="4">
        <f t="shared" ref="V84:V147" si="113">IMARGUMENT(T84)</f>
        <v>5.7439395878300373E-5</v>
      </c>
      <c r="W84" t="str">
        <f t="shared" si="102"/>
        <v>1-0,000498605867547483i</v>
      </c>
      <c r="X84" s="4">
        <f t="shared" ref="X84:X147" si="114">IMABS(W84)</f>
        <v>1.0000001243038978</v>
      </c>
      <c r="Y84" s="4">
        <f t="shared" ref="Y84:Y147" si="115">IMARGUMENT(W84)</f>
        <v>-4.986058262283847E-4</v>
      </c>
      <c r="Z84" t="str">
        <f t="shared" si="103"/>
        <v>0,999999991642816+0,000427504670835211i</v>
      </c>
      <c r="AA84" s="4">
        <f t="shared" ref="AA84:AA147" si="116">IMABS(Z84)</f>
        <v>1.0000000830229345</v>
      </c>
      <c r="AB84" s="4">
        <f t="shared" ref="AB84:AB147" si="117">IMARGUMENT(Z84)</f>
        <v>4.2750464836432912E-4</v>
      </c>
      <c r="AC84" s="48" t="str">
        <f t="shared" ref="AC84:AC147" si="118">(IMDIV(IMPRODUCT(P84,T84,W84),IMPRODUCT(Q84,Z84)))</f>
        <v>7,31913779811608-48,3284433823272i</v>
      </c>
      <c r="AD84" s="20">
        <f t="shared" ref="AD84:AD147" si="119">20*LOG(IMABS(AC84))</f>
        <v>33.782539998670927</v>
      </c>
      <c r="AE84" s="44">
        <f t="shared" ref="AE84:AE147" si="120">(180/PI())*IMARGUMENT(AC84)</f>
        <v>-81.388238518113596</v>
      </c>
      <c r="AF84" t="str">
        <f t="shared" si="104"/>
        <v>-20791,6666666667</v>
      </c>
      <c r="AG84" t="str">
        <f t="shared" ref="AG84:AG147" si="121">COMPLEX(0,1*2*PI()*O84)</f>
        <v>287,19697970735i</v>
      </c>
      <c r="AH84">
        <f t="shared" ref="AH84:AH147" si="122">IMABS(AG84)</f>
        <v>287.19697970735001</v>
      </c>
      <c r="AI84">
        <f t="shared" ref="AI84:AI147" si="123">IMARGUMENT(AG84)</f>
        <v>1.5707963267948966</v>
      </c>
      <c r="AJ84" t="str">
        <f t="shared" si="105"/>
        <v>0,998461393855211+0,336944953335278i</v>
      </c>
      <c r="AK84">
        <f t="shared" ref="AK84:AK147" si="124">IMABS(AJ84)</f>
        <v>1.0537822624230317</v>
      </c>
      <c r="AL84">
        <f t="shared" ref="AL84:AL147" si="125">IMARGUMENT(AJ84)</f>
        <v>0.32546369580123041</v>
      </c>
      <c r="AM84" t="str">
        <f t="shared" si="106"/>
        <v>1+0,463191288872014i</v>
      </c>
      <c r="AN84">
        <f t="shared" ref="AN84:AN147" si="126">IMABS(AM84)</f>
        <v>1.1020645035962811</v>
      </c>
      <c r="AO84">
        <f t="shared" ref="AO84:AO147" si="127">IMARGUMENT(AM84)</f>
        <v>0.43376949309918139</v>
      </c>
      <c r="AP84" t="str">
        <f t="shared" si="107"/>
        <v>1+0,325336738612486i</v>
      </c>
      <c r="AQ84">
        <f t="shared" ref="AQ84:AQ147" si="128">IMABS(AP84)</f>
        <v>1.0515911722199884</v>
      </c>
      <c r="AR84">
        <f t="shared" ref="AR84:AR147" si="129">IMARGUMENT(AP84)</f>
        <v>0.31453643748875026</v>
      </c>
      <c r="AS84" s="42" t="str">
        <f t="shared" ref="AS84:AS147" si="130">IMDIV(IMPRODUCT(AF84,AM84,AP84),IMPRODUCT(AG84,AJ84))</f>
        <v>-32,6716588258119+72,6059546138233i</v>
      </c>
      <c r="AT84">
        <f t="shared" ref="AT84:AT147" si="131">20*LOG(IMABS(AS84))</f>
        <v>38.02024995067638</v>
      </c>
      <c r="AU84" s="44">
        <f t="shared" ref="AU84:AU147" si="132">(180/PI())*IMARGUMENT(AS84)</f>
        <v>114.22707545315775</v>
      </c>
      <c r="AV84" s="42" t="str">
        <f t="shared" si="108"/>
        <v>3269,80439373482+2110,3834005523i</v>
      </c>
      <c r="AW84" s="20">
        <f t="shared" ref="AW84:AW147" si="133">20*LOG(IMABS(AV84))</f>
        <v>71.8027899493473</v>
      </c>
      <c r="AX84" s="44">
        <f t="shared" ref="AX84:AX147" si="134">(180/PI())*IMARGUMENT(AV84)</f>
        <v>32.838836935044249</v>
      </c>
    </row>
    <row r="85" spans="14:50" x14ac:dyDescent="0.3">
      <c r="N85" s="8">
        <v>67</v>
      </c>
      <c r="O85" s="35">
        <f t="shared" si="109"/>
        <v>46.773514128719818</v>
      </c>
      <c r="P85" s="34" t="str">
        <f t="shared" si="99"/>
        <v>324,571428571429</v>
      </c>
      <c r="Q85" s="4" t="str">
        <f t="shared" si="100"/>
        <v>1+6,71740929688523i</v>
      </c>
      <c r="R85" s="4">
        <f t="shared" si="110"/>
        <v>6.7914348750378313</v>
      </c>
      <c r="S85" s="4">
        <f t="shared" si="111"/>
        <v>1.4230147143795178</v>
      </c>
      <c r="T85" s="4" t="str">
        <f t="shared" si="101"/>
        <v>1+0,0000587773313477458i</v>
      </c>
      <c r="U85" s="4">
        <f t="shared" si="112"/>
        <v>1.0000000017273873</v>
      </c>
      <c r="V85" s="4">
        <f t="shared" si="113"/>
        <v>5.877733128005832E-5</v>
      </c>
      <c r="W85" t="str">
        <f t="shared" si="102"/>
        <v>1-0,000510219890171405i</v>
      </c>
      <c r="X85" s="4">
        <f t="shared" si="114"/>
        <v>1.0000001301621597</v>
      </c>
      <c r="Y85" s="4">
        <f t="shared" si="115"/>
        <v>-5.1021984589719389E-4</v>
      </c>
      <c r="Z85" t="str">
        <f t="shared" si="103"/>
        <v>0,999999991248954+0,000437462533832962i</v>
      </c>
      <c r="AA85" s="4">
        <f t="shared" si="116"/>
        <v>1.0000000869356847</v>
      </c>
      <c r="AB85" s="4">
        <f t="shared" si="117"/>
        <v>4.3746250975497842E-4</v>
      </c>
      <c r="AC85" s="48" t="str">
        <f t="shared" si="118"/>
        <v>6,99497307950604-47,2766103443354i</v>
      </c>
      <c r="AD85" s="20">
        <f t="shared" si="119"/>
        <v>33.586975321410705</v>
      </c>
      <c r="AE85" s="44">
        <f t="shared" si="120"/>
        <v>-81.583667825245158</v>
      </c>
      <c r="AF85" t="str">
        <f t="shared" si="104"/>
        <v>-20791,6666666667</v>
      </c>
      <c r="AG85" t="str">
        <f t="shared" si="121"/>
        <v>293,886656738729i</v>
      </c>
      <c r="AH85">
        <f t="shared" si="122"/>
        <v>293.88665673872902</v>
      </c>
      <c r="AI85">
        <f t="shared" si="123"/>
        <v>1.5707963267948966</v>
      </c>
      <c r="AJ85" t="str">
        <f t="shared" si="105"/>
        <v>0,998388881581585+0,344793409532355i</v>
      </c>
      <c r="AK85">
        <f t="shared" si="124"/>
        <v>1.0562494279869099</v>
      </c>
      <c r="AL85">
        <f t="shared" si="125"/>
        <v>0.33252611859541459</v>
      </c>
      <c r="AM85" t="str">
        <f t="shared" si="106"/>
        <v>1+0,473980399988222i</v>
      </c>
      <c r="AN85">
        <f t="shared" si="126"/>
        <v>1.1066424081757371</v>
      </c>
      <c r="AO85">
        <f t="shared" si="127"/>
        <v>0.44261610565252052</v>
      </c>
      <c r="AP85" t="str">
        <f t="shared" si="107"/>
        <v>1+0,332914804753632i</v>
      </c>
      <c r="AQ85">
        <f t="shared" si="128"/>
        <v>1.0539602778208241</v>
      </c>
      <c r="AR85">
        <f t="shared" si="129"/>
        <v>0.32137383139192705</v>
      </c>
      <c r="AS85" s="42" t="str">
        <f t="shared" si="130"/>
        <v>-32,6707783291008+70,9626619510928i</v>
      </c>
      <c r="AT85">
        <f t="shared" si="131"/>
        <v>37.855490021434065</v>
      </c>
      <c r="AU85" s="44">
        <f t="shared" si="132"/>
        <v>114.7210558097284</v>
      </c>
      <c r="AV85" s="42" t="str">
        <f t="shared" si="108"/>
        <v>3126,34290316004+2040,94556670904i</v>
      </c>
      <c r="AW85" s="20">
        <f t="shared" si="133"/>
        <v>71.44246534284477</v>
      </c>
      <c r="AX85" s="44">
        <f t="shared" si="134"/>
        <v>33.137387984483276</v>
      </c>
    </row>
    <row r="86" spans="14:50" x14ac:dyDescent="0.3">
      <c r="N86" s="8">
        <v>68</v>
      </c>
      <c r="O86" s="35">
        <f t="shared" si="109"/>
        <v>47.863009232263877</v>
      </c>
      <c r="P86" s="34" t="str">
        <f t="shared" si="99"/>
        <v>324,571428571429</v>
      </c>
      <c r="Q86" s="4" t="str">
        <f t="shared" si="100"/>
        <v>1+6,87387785978425i</v>
      </c>
      <c r="R86" s="4">
        <f t="shared" si="110"/>
        <v>6.9462361629325642</v>
      </c>
      <c r="S86" s="4">
        <f t="shared" si="111"/>
        <v>1.4263314954404014</v>
      </c>
      <c r="T86" s="4" t="str">
        <f t="shared" si="101"/>
        <v>1+0,0000601464312731122i</v>
      </c>
      <c r="U86" s="4">
        <f t="shared" si="112"/>
        <v>1.0000000018087964</v>
      </c>
      <c r="V86" s="4">
        <f t="shared" si="113"/>
        <v>6.014643120058376E-5</v>
      </c>
      <c r="W86" t="str">
        <f t="shared" si="102"/>
        <v>1-0,000522104438134655i</v>
      </c>
      <c r="X86" s="4">
        <f t="shared" si="114"/>
        <v>1.000000136296513</v>
      </c>
      <c r="Y86" s="4">
        <f t="shared" si="115"/>
        <v>-5.2210439069398336E-4</v>
      </c>
      <c r="Z86" t="str">
        <f t="shared" si="103"/>
        <v>0,999999990836529+0,000447652345256652i</v>
      </c>
      <c r="AA86" s="4">
        <f t="shared" si="116"/>
        <v>1.0000000910328359</v>
      </c>
      <c r="AB86" s="4">
        <f t="shared" si="117"/>
        <v>4.4765231945662829E-4</v>
      </c>
      <c r="AC86" s="48" t="str">
        <f t="shared" si="118"/>
        <v>6,68477916922639-46,2455890097594i</v>
      </c>
      <c r="AD86" s="20">
        <f t="shared" si="119"/>
        <v>33.391215255973286</v>
      </c>
      <c r="AE86" s="44">
        <f t="shared" si="120"/>
        <v>-81.774891705303773</v>
      </c>
      <c r="AF86" t="str">
        <f t="shared" si="104"/>
        <v>-20791,6666666667</v>
      </c>
      <c r="AG86" t="str">
        <f t="shared" si="121"/>
        <v>300,732156365561i</v>
      </c>
      <c r="AH86">
        <f t="shared" si="122"/>
        <v>300.73215636556102</v>
      </c>
      <c r="AI86">
        <f t="shared" si="123"/>
        <v>1.5707963267948966</v>
      </c>
      <c r="AJ86" t="str">
        <f t="shared" si="105"/>
        <v>0,998312951909787+0,352824679759047i</v>
      </c>
      <c r="AK86">
        <f t="shared" si="124"/>
        <v>1.0588267113167795</v>
      </c>
      <c r="AL86">
        <f t="shared" si="125"/>
        <v>0.33971915099680405</v>
      </c>
      <c r="AM86" t="str">
        <f t="shared" si="106"/>
        <v>1+0,485020821786376i</v>
      </c>
      <c r="AN86">
        <f t="shared" si="126"/>
        <v>1.1114158526700668</v>
      </c>
      <c r="AO86">
        <f t="shared" si="127"/>
        <v>0.4515926173727377</v>
      </c>
      <c r="AP86" t="str">
        <f t="shared" si="107"/>
        <v>1+0,340669386730908i</v>
      </c>
      <c r="AQ86">
        <f t="shared" si="128"/>
        <v>1.0564353416350727</v>
      </c>
      <c r="AR86">
        <f t="shared" si="129"/>
        <v>0.32833840828479682</v>
      </c>
      <c r="AS86" s="42" t="str">
        <f t="shared" si="130"/>
        <v>-32,6698647715719+69,3569703743806i</v>
      </c>
      <c r="AT86">
        <f t="shared" si="131"/>
        <v>37.692081105751598</v>
      </c>
      <c r="AU86" s="44">
        <f t="shared" si="132"/>
        <v>115.22228250960191</v>
      </c>
      <c r="AV86" s="42" t="str">
        <f t="shared" si="108"/>
        <v>2989,06311540922+1974,47317002984i</v>
      </c>
      <c r="AW86" s="20">
        <f t="shared" si="133"/>
        <v>71.083296361724891</v>
      </c>
      <c r="AX86" s="44">
        <f t="shared" si="134"/>
        <v>33.447390804298081</v>
      </c>
    </row>
    <row r="87" spans="14:50" x14ac:dyDescent="0.3">
      <c r="N87" s="8">
        <v>69</v>
      </c>
      <c r="O87" s="35">
        <f t="shared" si="109"/>
        <v>48.977881936844632</v>
      </c>
      <c r="P87" s="34" t="str">
        <f t="shared" si="99"/>
        <v>324,571428571429</v>
      </c>
      <c r="Q87" s="4" t="str">
        <f t="shared" si="100"/>
        <v>1+7,03399104371106i</v>
      </c>
      <c r="R87" s="4">
        <f t="shared" si="110"/>
        <v>7.1047188546069444</v>
      </c>
      <c r="S87" s="4">
        <f t="shared" si="111"/>
        <v>1.4295758731888415</v>
      </c>
      <c r="T87" s="4" t="str">
        <f t="shared" si="101"/>
        <v>1+0,0000615474216324718i</v>
      </c>
      <c r="U87" s="4">
        <f t="shared" si="112"/>
        <v>1.0000000018940425</v>
      </c>
      <c r="V87" s="4">
        <f t="shared" si="113"/>
        <v>6.1547421554756176E-5</v>
      </c>
      <c r="W87" t="str">
        <f t="shared" si="102"/>
        <v>1-0,000534265812781873i</v>
      </c>
      <c r="X87" s="4">
        <f t="shared" si="114"/>
        <v>1.0000001427199692</v>
      </c>
      <c r="Y87" s="4">
        <f t="shared" si="115"/>
        <v>-5.3426576194827782E-4</v>
      </c>
      <c r="Z87" t="str">
        <f t="shared" si="103"/>
        <v>0,999999990404668+0,000458079507879178i</v>
      </c>
      <c r="AA87" s="4">
        <f t="shared" si="116"/>
        <v>1.0000000953230812</v>
      </c>
      <c r="AB87" s="4">
        <f t="shared" si="117"/>
        <v>4.5807948023395467E-4</v>
      </c>
      <c r="AC87" s="48" t="str">
        <f t="shared" si="118"/>
        <v>6,38798008629607-45,2351050640307i</v>
      </c>
      <c r="AD87" s="20">
        <f t="shared" si="119"/>
        <v>33.195268231477428</v>
      </c>
      <c r="AE87" s="44">
        <f t="shared" si="120"/>
        <v>-81.961994814151922</v>
      </c>
      <c r="AF87" t="str">
        <f t="shared" si="104"/>
        <v>-20791,6666666667</v>
      </c>
      <c r="AG87" t="str">
        <f t="shared" si="121"/>
        <v>307,737108162359i</v>
      </c>
      <c r="AH87">
        <f t="shared" si="122"/>
        <v>307.73710816235899</v>
      </c>
      <c r="AI87">
        <f t="shared" si="123"/>
        <v>1.5707963267948966</v>
      </c>
      <c r="AJ87" t="str">
        <f t="shared" si="105"/>
        <v>0,998233443782804+0,361043022301134i</v>
      </c>
      <c r="AK87">
        <f t="shared" si="124"/>
        <v>1.0615187573655087</v>
      </c>
      <c r="AL87">
        <f t="shared" si="125"/>
        <v>0.3470437635348062</v>
      </c>
      <c r="AM87" t="str">
        <f t="shared" si="106"/>
        <v>1+0,496318408044252i</v>
      </c>
      <c r="AN87">
        <f t="shared" si="126"/>
        <v>1.1163923871845332</v>
      </c>
      <c r="AO87">
        <f t="shared" si="127"/>
        <v>0.46069800027539171</v>
      </c>
      <c r="AP87" t="str">
        <f t="shared" si="107"/>
        <v>1+0,34860459612632i</v>
      </c>
      <c r="AQ87">
        <f t="shared" si="128"/>
        <v>1.0590208517495747</v>
      </c>
      <c r="AR87">
        <f t="shared" si="129"/>
        <v>0.33543115742859053</v>
      </c>
      <c r="AS87" s="42" t="str">
        <f t="shared" si="130"/>
        <v>-32,6689172746764+67,7880271671089i</v>
      </c>
      <c r="AT87">
        <f t="shared" si="131"/>
        <v>37.530062809667989</v>
      </c>
      <c r="AU87" s="44">
        <f t="shared" si="132"/>
        <v>115.73069772686291</v>
      </c>
      <c r="AV87" s="42" t="str">
        <f t="shared" si="108"/>
        <v>2857,71013799605+1910,8104728809i</v>
      </c>
      <c r="AW87" s="20">
        <f t="shared" si="133"/>
        <v>70.725331041145409</v>
      </c>
      <c r="AX87" s="44">
        <f t="shared" si="134"/>
        <v>33.768702912710957</v>
      </c>
    </row>
    <row r="88" spans="14:50" x14ac:dyDescent="0.3">
      <c r="N88" s="8">
        <v>70</v>
      </c>
      <c r="O88" s="35">
        <f t="shared" si="109"/>
        <v>50.118723362727238</v>
      </c>
      <c r="P88" s="34" t="str">
        <f t="shared" si="99"/>
        <v>324,571428571429</v>
      </c>
      <c r="Q88" s="4" t="str">
        <f t="shared" si="100"/>
        <v>1+7,19783374279511i</v>
      </c>
      <c r="R88" s="4">
        <f t="shared" si="110"/>
        <v>7.2669670832418012</v>
      </c>
      <c r="S88" s="4">
        <f t="shared" si="111"/>
        <v>1.4327492944920772</v>
      </c>
      <c r="T88" s="4" t="str">
        <f t="shared" si="101"/>
        <v>1+0,0000629810452494572i</v>
      </c>
      <c r="U88" s="4">
        <f t="shared" si="112"/>
        <v>1.000000001983306</v>
      </c>
      <c r="V88" s="4">
        <f t="shared" si="113"/>
        <v>6.2981045166183414E-5</v>
      </c>
      <c r="W88" t="str">
        <f t="shared" si="102"/>
        <v>1-0,000546710462234872i</v>
      </c>
      <c r="X88" s="4">
        <f t="shared" si="114"/>
        <v>1.0000001494461537</v>
      </c>
      <c r="Y88" s="4">
        <f t="shared" si="115"/>
        <v>-5.4671040776569388E-4</v>
      </c>
      <c r="Z88" t="str">
        <f t="shared" si="103"/>
        <v>0,999999989952454+0,000468749550320178i</v>
      </c>
      <c r="AA88" s="4">
        <f t="shared" si="116"/>
        <v>1.0000000998155196</v>
      </c>
      <c r="AB88" s="4">
        <f t="shared" si="117"/>
        <v>4.6874952069778764E-4</v>
      </c>
      <c r="AC88" s="48" t="str">
        <f t="shared" si="118"/>
        <v>6,10402133481324-44,2448781315083i</v>
      </c>
      <c r="AD88" s="20">
        <f t="shared" si="119"/>
        <v>32.999142328822309</v>
      </c>
      <c r="AE88" s="44">
        <f t="shared" si="120"/>
        <v>-82.145060694830576</v>
      </c>
      <c r="AF88" t="str">
        <f t="shared" si="104"/>
        <v>-20791,6666666667</v>
      </c>
      <c r="AG88" t="str">
        <f t="shared" si="121"/>
        <v>314,905226247286i</v>
      </c>
      <c r="AH88">
        <f t="shared" si="122"/>
        <v>314.90522624728601</v>
      </c>
      <c r="AI88">
        <f t="shared" si="123"/>
        <v>1.5707963267948966</v>
      </c>
      <c r="AJ88" t="str">
        <f t="shared" si="105"/>
        <v>0,998150188553237+0,369452794632615i</v>
      </c>
      <c r="AK88">
        <f t="shared" si="124"/>
        <v>1.064330384030594</v>
      </c>
      <c r="AL88">
        <f t="shared" si="125"/>
        <v>0.35450083831331647</v>
      </c>
      <c r="AM88" t="str">
        <f t="shared" si="106"/>
        <v>1+0,507879148891623i</v>
      </c>
      <c r="AN88">
        <f t="shared" si="126"/>
        <v>1.1215797920250166</v>
      </c>
      <c r="AO88">
        <f t="shared" si="127"/>
        <v>0.46993104191759283</v>
      </c>
      <c r="AP88" t="str">
        <f t="shared" si="107"/>
        <v>1+0,356724640292926i</v>
      </c>
      <c r="AQ88">
        <f t="shared" si="128"/>
        <v>1.0617214648824416</v>
      </c>
      <c r="AR88">
        <f t="shared" si="129"/>
        <v>0.34265298404676225</v>
      </c>
      <c r="AS88" s="42" t="str">
        <f t="shared" si="130"/>
        <v>-32,6679349671662+66,2549990377509i</v>
      </c>
      <c r="AT88">
        <f t="shared" si="131"/>
        <v>37.369474972168007</v>
      </c>
      <c r="AU88" s="44">
        <f t="shared" si="132"/>
        <v>116.24623331830374</v>
      </c>
      <c r="AV88" s="42" t="str">
        <f t="shared" si="108"/>
        <v>2732,03858602461+1849,81072909477i</v>
      </c>
      <c r="AW88" s="20">
        <f t="shared" si="133"/>
        <v>70.368617300990309</v>
      </c>
      <c r="AX88" s="44">
        <f t="shared" si="134"/>
        <v>34.101172623473211</v>
      </c>
    </row>
    <row r="89" spans="14:50" x14ac:dyDescent="0.3">
      <c r="N89" s="8">
        <v>71</v>
      </c>
      <c r="O89" s="35">
        <f t="shared" si="109"/>
        <v>51.28613839913649</v>
      </c>
      <c r="P89" s="34" t="str">
        <f t="shared" si="99"/>
        <v>324,571428571429</v>
      </c>
      <c r="Q89" s="4" t="str">
        <f t="shared" si="100"/>
        <v>1+7,36549282860418i</v>
      </c>
      <c r="R89" s="4">
        <f t="shared" si="110"/>
        <v>7.4330669718642781</v>
      </c>
      <c r="S89" s="4">
        <f t="shared" si="111"/>
        <v>1.4358531861399704</v>
      </c>
      <c r="T89" s="4" t="str">
        <f t="shared" si="101"/>
        <v>1+0,0000644480622502866i</v>
      </c>
      <c r="U89" s="4">
        <f t="shared" si="112"/>
        <v>1.0000000020767763</v>
      </c>
      <c r="V89" s="4">
        <f t="shared" si="113"/>
        <v>6.4448062161057121E-5</v>
      </c>
      <c r="W89" t="str">
        <f t="shared" si="102"/>
        <v>1-0,000559444984811516i</v>
      </c>
      <c r="X89" s="4">
        <f t="shared" si="114"/>
        <v>1.0000001564893333</v>
      </c>
      <c r="Y89" s="4">
        <f t="shared" si="115"/>
        <v>-5.5944492644674059E-4</v>
      </c>
      <c r="Z89" t="str">
        <f t="shared" si="103"/>
        <v>0,999999989478928+0,000479668129977393i</v>
      </c>
      <c r="AA89" s="4">
        <f t="shared" si="116"/>
        <v>1.0000001045196802</v>
      </c>
      <c r="AB89" s="4">
        <f t="shared" si="117"/>
        <v>4.7966809823642988E-4</v>
      </c>
      <c r="AC89" s="48" t="str">
        <f t="shared" si="118"/>
        <v>5,83236930152518-43,2746226304297i</v>
      </c>
      <c r="AD89" s="20">
        <f t="shared" si="119"/>
        <v>32.802845293739352</v>
      </c>
      <c r="AE89" s="44">
        <f t="shared" si="120"/>
        <v>-82.324171755024295</v>
      </c>
      <c r="AF89" t="str">
        <f t="shared" si="104"/>
        <v>-20791,6666666667</v>
      </c>
      <c r="AG89" t="str">
        <f t="shared" si="121"/>
        <v>322,240311251433i</v>
      </c>
      <c r="AH89">
        <f t="shared" si="122"/>
        <v>322.24031125143301</v>
      </c>
      <c r="AI89">
        <f t="shared" si="123"/>
        <v>1.5707963267948966</v>
      </c>
      <c r="AJ89" t="str">
        <f t="shared" si="105"/>
        <v>0,998063009625583+0,378058455726095i</v>
      </c>
      <c r="AK89">
        <f t="shared" si="124"/>
        <v>1.0672665867199611</v>
      </c>
      <c r="AL89">
        <f t="shared" si="125"/>
        <v>0.36209116265508828</v>
      </c>
      <c r="AM89" t="str">
        <f t="shared" si="106"/>
        <v>1+0,519709173986311i</v>
      </c>
      <c r="AN89">
        <f t="shared" si="126"/>
        <v>1.1269860804488818</v>
      </c>
      <c r="AO89">
        <f t="shared" si="127"/>
        <v>0.47929033998306253</v>
      </c>
      <c r="AP89" t="str">
        <f t="shared" si="107"/>
        <v>1+0,365033824585623i</v>
      </c>
      <c r="AQ89">
        <f t="shared" si="128"/>
        <v>1.0645420109566401</v>
      </c>
      <c r="AR89">
        <f t="shared" si="129"/>
        <v>0.35000470308033693</v>
      </c>
      <c r="AS89" s="42" t="str">
        <f t="shared" si="130"/>
        <v>-32,6669169881639+64,757071677141i</v>
      </c>
      <c r="AT89">
        <f t="shared" si="131"/>
        <v>37.210357592589403</v>
      </c>
      <c r="AU89" s="44">
        <f t="shared" si="132"/>
        <v>116.76881051953097</v>
      </c>
      <c r="AV89" s="42" t="str">
        <f t="shared" si="108"/>
        <v>2611,81231566273+1791,33566206879i</v>
      </c>
      <c r="AW89" s="20">
        <f t="shared" si="133"/>
        <v>70.01320288632877</v>
      </c>
      <c r="AX89" s="44">
        <f t="shared" si="134"/>
        <v>34.444638764506664</v>
      </c>
    </row>
    <row r="90" spans="14:50" x14ac:dyDescent="0.3">
      <c r="N90" s="8">
        <v>72</v>
      </c>
      <c r="O90" s="35">
        <f t="shared" si="109"/>
        <v>52.480746024977286</v>
      </c>
      <c r="P90" s="34" t="str">
        <f t="shared" si="99"/>
        <v>324,571428571429</v>
      </c>
      <c r="Q90" s="4" t="str">
        <f t="shared" si="100"/>
        <v>1+7,53705719620482i</v>
      </c>
      <c r="R90" s="4">
        <f t="shared" si="110"/>
        <v>7.603106679434589</v>
      </c>
      <c r="S90" s="4">
        <f t="shared" si="111"/>
        <v>1.4388889545043584</v>
      </c>
      <c r="T90" s="4" t="str">
        <f t="shared" si="101"/>
        <v>1+0,0000659492504667922i</v>
      </c>
      <c r="U90" s="4">
        <f t="shared" si="112"/>
        <v>1.0000000021746518</v>
      </c>
      <c r="V90" s="4">
        <f t="shared" si="113"/>
        <v>6.5949250371181105E-5</v>
      </c>
      <c r="W90" t="str">
        <f t="shared" si="102"/>
        <v>1-0,000572476132524238i</v>
      </c>
      <c r="X90" s="4">
        <f t="shared" si="114"/>
        <v>1.0000001638644478</v>
      </c>
      <c r="Y90" s="4">
        <f t="shared" si="115"/>
        <v>-5.7247606998525504E-4</v>
      </c>
      <c r="Z90" t="str">
        <f t="shared" si="103"/>
        <v>0,999999988983085+0,000490841036026281i</v>
      </c>
      <c r="AA90" s="4">
        <f t="shared" si="116"/>
        <v>1.0000001094455404</v>
      </c>
      <c r="AB90" s="4">
        <f t="shared" si="117"/>
        <v>4.9084100201522663E-4</v>
      </c>
      <c r="AC90" s="48" t="str">
        <f t="shared" si="118"/>
        <v>5,57251065163741-42,3240485711803i</v>
      </c>
      <c r="AD90" s="20">
        <f t="shared" si="119"/>
        <v>32.606384549472615</v>
      </c>
      <c r="AE90" s="44">
        <f t="shared" si="120"/>
        <v>-82.499409247892785</v>
      </c>
      <c r="AF90" t="str">
        <f t="shared" si="104"/>
        <v>-20791,6666666667</v>
      </c>
      <c r="AG90" t="str">
        <f t="shared" si="121"/>
        <v>329,746252333961i</v>
      </c>
      <c r="AH90">
        <f t="shared" si="122"/>
        <v>329.74625233396102</v>
      </c>
      <c r="AI90">
        <f t="shared" si="123"/>
        <v>1.5707963267948966</v>
      </c>
      <c r="AJ90" t="str">
        <f t="shared" si="105"/>
        <v>0,997971722081648+0,386864568416997i</v>
      </c>
      <c r="AK90">
        <f t="shared" si="124"/>
        <v>1.0703325428907968</v>
      </c>
      <c r="AL90">
        <f t="shared" si="125"/>
        <v>0.36981542260808276</v>
      </c>
      <c r="AM90" t="str">
        <f t="shared" si="106"/>
        <v>1+0,531814755764212i</v>
      </c>
      <c r="AN90">
        <f t="shared" si="126"/>
        <v>1.1326195011779323</v>
      </c>
      <c r="AO90">
        <f t="shared" si="127"/>
        <v>0.48877429727031874</v>
      </c>
      <c r="AP90" t="str">
        <f t="shared" si="107"/>
        <v>1+0,373536554643911i</v>
      </c>
      <c r="AQ90">
        <f t="shared" si="128"/>
        <v>1.0674874976575808</v>
      </c>
      <c r="AR90">
        <f t="shared" si="129"/>
        <v>0.35748703278910782</v>
      </c>
      <c r="AS90" s="42" t="str">
        <f t="shared" si="130"/>
        <v>-32,6658624904318+63,29344932604i</v>
      </c>
      <c r="AT90">
        <f t="shared" si="131"/>
        <v>37.052750753372024</v>
      </c>
      <c r="AU90" s="44">
        <f t="shared" si="132"/>
        <v>117.29833966324264</v>
      </c>
      <c r="AV90" s="42" t="str">
        <f t="shared" si="108"/>
        <v>2496,80415684+1735,25497121276i</v>
      </c>
      <c r="AW90" s="20">
        <f t="shared" si="133"/>
        <v>69.659135302844632</v>
      </c>
      <c r="AX90" s="44">
        <f t="shared" si="134"/>
        <v>34.798930415349851</v>
      </c>
    </row>
    <row r="91" spans="14:50" x14ac:dyDescent="0.3">
      <c r="N91" s="8">
        <v>73</v>
      </c>
      <c r="O91" s="35">
        <f t="shared" si="109"/>
        <v>53.703179637025293</v>
      </c>
      <c r="P91" s="34" t="str">
        <f t="shared" si="99"/>
        <v>324,571428571429</v>
      </c>
      <c r="Q91" s="4" t="str">
        <f t="shared" si="100"/>
        <v>1+7,71261781129561i</v>
      </c>
      <c r="R91" s="4">
        <f t="shared" si="110"/>
        <v>7.7771764479863963</v>
      </c>
      <c r="S91" s="4">
        <f t="shared" si="111"/>
        <v>1.441857985253101</v>
      </c>
      <c r="T91" s="4" t="str">
        <f t="shared" si="101"/>
        <v>1+0,0000674854058488366i</v>
      </c>
      <c r="U91" s="4">
        <f t="shared" si="112"/>
        <v>1.00000000227714</v>
      </c>
      <c r="V91" s="4">
        <f t="shared" si="113"/>
        <v>6.7485405746387452E-5</v>
      </c>
      <c r="W91" t="str">
        <f t="shared" si="102"/>
        <v>1-0,00058581081466004i</v>
      </c>
      <c r="X91" s="4">
        <f t="shared" si="114"/>
        <v>1.0000001715871405</v>
      </c>
      <c r="Y91" s="4">
        <f t="shared" si="115"/>
        <v>-5.8581074764831303E-4</v>
      </c>
      <c r="Z91" t="str">
        <f t="shared" si="103"/>
        <v>0,999999988463874+0,000502274192489518i</v>
      </c>
      <c r="AA91" s="4">
        <f t="shared" si="116"/>
        <v>1.0000001146035495</v>
      </c>
      <c r="AB91" s="4">
        <f t="shared" si="117"/>
        <v>5.0227415604601664E-4</v>
      </c>
      <c r="AC91" s="48" t="str">
        <f t="shared" si="118"/>
        <v>5,32395172509243-41,3928623005971i</v>
      </c>
      <c r="AD91" s="20">
        <f t="shared" si="119"/>
        <v>32.409767209086588</v>
      </c>
      <c r="AE91" s="44">
        <f t="shared" si="120"/>
        <v>-82.670853256044367</v>
      </c>
      <c r="AF91" t="str">
        <f t="shared" si="104"/>
        <v>-20791,6666666667</v>
      </c>
      <c r="AG91" t="str">
        <f t="shared" si="121"/>
        <v>337,427029244183i</v>
      </c>
      <c r="AH91">
        <f t="shared" si="122"/>
        <v>337.42702924418302</v>
      </c>
      <c r="AI91">
        <f t="shared" si="123"/>
        <v>1.5707963267948966</v>
      </c>
      <c r="AJ91" t="str">
        <f t="shared" si="105"/>
        <v>0,997876132288313+0,395875801822831i</v>
      </c>
      <c r="AK91">
        <f t="shared" si="124"/>
        <v>1.0735336165484302</v>
      </c>
      <c r="AL91">
        <f t="shared" si="125"/>
        <v>0.37767419633294452</v>
      </c>
      <c r="AM91" t="str">
        <f t="shared" si="106"/>
        <v>1+0,544202312765018i</v>
      </c>
      <c r="AN91">
        <f t="shared" si="126"/>
        <v>1.1384885406620455</v>
      </c>
      <c r="AO91">
        <f t="shared" si="127"/>
        <v>0.49838111713870009</v>
      </c>
      <c r="AP91" t="str">
        <f t="shared" si="107"/>
        <v>1+0,38223733872781i</v>
      </c>
      <c r="AQ91">
        <f t="shared" si="128"/>
        <v>1.0705631149622701</v>
      </c>
      <c r="AR91">
        <f t="shared" si="129"/>
        <v>0.36510058821545616</v>
      </c>
      <c r="AS91" s="42" t="str">
        <f t="shared" si="130"/>
        <v>-32,6647706438385+61,8633543527416i</v>
      </c>
      <c r="AT91">
        <f t="shared" si="131"/>
        <v>36.896694538268427</v>
      </c>
      <c r="AU91" s="44">
        <f t="shared" si="132"/>
        <v>117.83471992267913</v>
      </c>
      <c r="AV91" s="42" t="str">
        <f t="shared" si="108"/>
        <v>2386,79564615706+1681,44586546728i</v>
      </c>
      <c r="AW91" s="20">
        <f t="shared" si="133"/>
        <v>69.306461747355016</v>
      </c>
      <c r="AX91" s="44">
        <f t="shared" si="134"/>
        <v>35.163866666634846</v>
      </c>
    </row>
    <row r="92" spans="14:50" x14ac:dyDescent="0.3">
      <c r="N92" s="8">
        <v>74</v>
      </c>
      <c r="O92" s="35">
        <f t="shared" si="109"/>
        <v>54.95408738576247</v>
      </c>
      <c r="P92" s="34" t="str">
        <f t="shared" si="99"/>
        <v>324,571428571429</v>
      </c>
      <c r="Q92" s="4" t="str">
        <f t="shared" si="100"/>
        <v>1+7,89226775843854i</v>
      </c>
      <c r="R92" s="4">
        <f t="shared" si="110"/>
        <v>7.9553686508475838</v>
      </c>
      <c r="S92" s="4">
        <f t="shared" si="111"/>
        <v>1.4447616431150907</v>
      </c>
      <c r="T92" s="4" t="str">
        <f t="shared" si="101"/>
        <v>1+0,0000690573428863372i</v>
      </c>
      <c r="U92" s="4">
        <f t="shared" si="112"/>
        <v>1.0000000023844582</v>
      </c>
      <c r="V92" s="4">
        <f t="shared" si="113"/>
        <v>6.905734277656096E-5</v>
      </c>
      <c r="W92" t="str">
        <f t="shared" si="102"/>
        <v>1-0,000599456101443899i</v>
      </c>
      <c r="X92" s="4">
        <f t="shared" si="114"/>
        <v>1.0000001796737927</v>
      </c>
      <c r="Y92" s="4">
        <f t="shared" si="115"/>
        <v>-5.9945602963954055E-4</v>
      </c>
      <c r="Z92" t="str">
        <f t="shared" si="103"/>
        <v>0,999999987920193+0,000513973661377999i</v>
      </c>
      <c r="AA92" s="4">
        <f t="shared" si="116"/>
        <v>1.000000120004648</v>
      </c>
      <c r="AB92" s="4">
        <f t="shared" si="117"/>
        <v>5.1397362232808406E-4</v>
      </c>
      <c r="AC92" s="48" t="str">
        <f t="shared" si="118"/>
        <v>5,08621793530542-40,4807671949715i</v>
      </c>
      <c r="AD92" s="20">
        <f t="shared" si="119"/>
        <v>32.21300008740269</v>
      </c>
      <c r="AE92" s="44">
        <f t="shared" si="120"/>
        <v>-82.83858267843776</v>
      </c>
      <c r="AF92" t="str">
        <f t="shared" si="104"/>
        <v>-20791,6666666667</v>
      </c>
      <c r="AG92" t="str">
        <f t="shared" si="121"/>
        <v>345,286714431686i</v>
      </c>
      <c r="AH92">
        <f t="shared" si="122"/>
        <v>345.28671443168599</v>
      </c>
      <c r="AI92">
        <f t="shared" si="123"/>
        <v>1.5707963267948966</v>
      </c>
      <c r="AJ92" t="str">
        <f t="shared" si="105"/>
        <v>0,997776037486809+0,405096933818828i</v>
      </c>
      <c r="AK92">
        <f t="shared" si="124"/>
        <v>1.0768753626916598</v>
      </c>
      <c r="AL92">
        <f t="shared" si="125"/>
        <v>0.38566794739346849</v>
      </c>
      <c r="AM92" t="str">
        <f t="shared" si="106"/>
        <v>1+0,556878413035423i</v>
      </c>
      <c r="AN92">
        <f t="shared" si="126"/>
        <v>1.1446019250834987</v>
      </c>
      <c r="AO92">
        <f t="shared" si="127"/>
        <v>0.50810879946757304</v>
      </c>
      <c r="AP92" t="str">
        <f t="shared" si="107"/>
        <v>1+0,391140790108214i</v>
      </c>
      <c r="AQ92">
        <f t="shared" si="128"/>
        <v>1.0737742396269703</v>
      </c>
      <c r="AR92">
        <f t="shared" si="129"/>
        <v>0.37284587453019352</v>
      </c>
      <c r="AS92" s="42" t="str">
        <f t="shared" si="130"/>
        <v>-32,6636406390219+60,4660268405254i</v>
      </c>
      <c r="AT92">
        <f t="shared" si="131"/>
        <v>36.742228946181932</v>
      </c>
      <c r="AU92" s="44">
        <f t="shared" si="132"/>
        <v>118.37783908327623</v>
      </c>
      <c r="AV92" s="42" t="str">
        <f t="shared" si="108"/>
        <v>2281,57676088564+1629,79262264139i</v>
      </c>
      <c r="AW92" s="20">
        <f t="shared" si="133"/>
        <v>68.955229033584601</v>
      </c>
      <c r="AX92" s="44">
        <f t="shared" si="134"/>
        <v>35.539256404838426</v>
      </c>
    </row>
    <row r="93" spans="14:50" x14ac:dyDescent="0.3">
      <c r="N93" s="8">
        <v>75</v>
      </c>
      <c r="O93" s="35">
        <f t="shared" si="109"/>
        <v>56.234132519034915</v>
      </c>
      <c r="P93" s="34" t="str">
        <f t="shared" si="99"/>
        <v>324,571428571429</v>
      </c>
      <c r="Q93" s="4" t="str">
        <f t="shared" si="100"/>
        <v>1+8,07610229041349i</v>
      </c>
      <c r="R93" s="4">
        <f t="shared" si="110"/>
        <v>8.1377778419677931</v>
      </c>
      <c r="S93" s="4">
        <f t="shared" si="111"/>
        <v>1.4476012716926716</v>
      </c>
      <c r="T93" s="4" t="str">
        <f t="shared" si="101"/>
        <v>1+0,000070665895041118i</v>
      </c>
      <c r="U93" s="4">
        <f t="shared" si="112"/>
        <v>1.0000000024968343</v>
      </c>
      <c r="V93" s="4">
        <f t="shared" si="113"/>
        <v>7.0665894923490648E-5</v>
      </c>
      <c r="W93" t="str">
        <f t="shared" si="102"/>
        <v>1-0,000613419227787483i</v>
      </c>
      <c r="X93" s="4">
        <f t="shared" si="114"/>
        <v>1.0000001881415568</v>
      </c>
      <c r="Y93" s="4">
        <f t="shared" si="115"/>
        <v>-6.1341915084772746E-4</v>
      </c>
      <c r="Z93" t="str">
        <f t="shared" si="103"/>
        <v>0,999999987350889+0,000525945645904987i</v>
      </c>
      <c r="AA93" s="4">
        <f t="shared" si="116"/>
        <v>1.0000001256602924</v>
      </c>
      <c r="AB93" s="4">
        <f t="shared" si="117"/>
        <v>5.2594560406224987E-4</v>
      </c>
      <c r="AC93" s="48" t="str">
        <f t="shared" si="118"/>
        <v>4,85885317212001-39,587464304351i</v>
      </c>
      <c r="AD93" s="20">
        <f t="shared" si="119"/>
        <v>32.016089712566838</v>
      </c>
      <c r="AE93" s="44">
        <f t="shared" si="120"/>
        <v>-83.002675220008555</v>
      </c>
      <c r="AF93" t="str">
        <f t="shared" si="104"/>
        <v>-20791,6666666667</v>
      </c>
      <c r="AG93" t="str">
        <f t="shared" si="121"/>
        <v>353,32947520559i</v>
      </c>
      <c r="AH93">
        <f t="shared" si="122"/>
        <v>353.32947520558997</v>
      </c>
      <c r="AI93">
        <f t="shared" si="123"/>
        <v>1.5707963267948966</v>
      </c>
      <c r="AJ93" t="str">
        <f t="shared" si="105"/>
        <v>0,997671225362642+0,414532853571227i</v>
      </c>
      <c r="AK93">
        <f t="shared" si="124"/>
        <v>1.080363531690375</v>
      </c>
      <c r="AL93">
        <f t="shared" si="125"/>
        <v>0.39379701797462974</v>
      </c>
      <c r="AM93" t="str">
        <f t="shared" si="106"/>
        <v>1+0,569849777611575i</v>
      </c>
      <c r="AN93">
        <f t="shared" si="126"/>
        <v>1.1509686220935658</v>
      </c>
      <c r="AO93">
        <f t="shared" si="127"/>
        <v>0.51795513718409003</v>
      </c>
      <c r="AP93" t="str">
        <f t="shared" si="107"/>
        <v>1+0,400251629512892i</v>
      </c>
      <c r="AQ93">
        <f t="shared" si="128"/>
        <v>1.07712643961966</v>
      </c>
      <c r="AR93">
        <f t="shared" si="129"/>
        <v>0.38072328028240821</v>
      </c>
      <c r="AS93" s="42" t="str">
        <f t="shared" si="130"/>
        <v>-32,6624716912326+59,1007241847618i</v>
      </c>
      <c r="AT93">
        <f t="shared" si="131"/>
        <v>36.589393800843567</v>
      </c>
      <c r="AU93" s="44">
        <f t="shared" si="132"/>
        <v>118.92757334554241</v>
      </c>
      <c r="AV93" s="42" t="str">
        <f t="shared" si="108"/>
        <v>2180,94565483933+1580,18617334827i</v>
      </c>
      <c r="AW93" s="20">
        <f t="shared" si="133"/>
        <v>68.60548351341042</v>
      </c>
      <c r="AX93" s="44">
        <f t="shared" si="134"/>
        <v>35.924898125533915</v>
      </c>
    </row>
    <row r="94" spans="14:50" x14ac:dyDescent="0.3">
      <c r="N94" s="8">
        <v>76</v>
      </c>
      <c r="O94" s="35">
        <f t="shared" si="109"/>
        <v>57.543993733715695</v>
      </c>
      <c r="P94" s="34" t="str">
        <f t="shared" si="99"/>
        <v>324,571428571429</v>
      </c>
      <c r="Q94" s="4" t="str">
        <f t="shared" si="100"/>
        <v>1+8,26421887872267i</v>
      </c>
      <c r="R94" s="4">
        <f t="shared" si="110"/>
        <v>8.324500806380895</v>
      </c>
      <c r="S94" s="4">
        <f t="shared" si="111"/>
        <v>1.450378193318115</v>
      </c>
      <c r="T94" s="4" t="str">
        <f t="shared" si="101"/>
        <v>1+0,0000723119151888234i</v>
      </c>
      <c r="U94" s="4">
        <f t="shared" si="112"/>
        <v>1.0000000026145064</v>
      </c>
      <c r="V94" s="4">
        <f t="shared" si="113"/>
        <v>7.2311915062783419E-5</v>
      </c>
      <c r="W94" t="str">
        <f t="shared" si="102"/>
        <v>1-0,000627707597125203i</v>
      </c>
      <c r="X94" s="4">
        <f t="shared" si="114"/>
        <v>1.0000001970083943</v>
      </c>
      <c r="Y94" s="4">
        <f t="shared" si="115"/>
        <v>-6.277075146827705E-4</v>
      </c>
      <c r="Z94" t="str">
        <f t="shared" si="103"/>
        <v>0,999999986754755+0,000538196493775149i</v>
      </c>
      <c r="AA94" s="4">
        <f t="shared" si="116"/>
        <v>1.0000001315824794</v>
      </c>
      <c r="AB94" s="4">
        <f t="shared" si="117"/>
        <v>5.3819644893984841E-4</v>
      </c>
      <c r="AC94" s="48" t="str">
        <f t="shared" si="118"/>
        <v>4,64141921053718-38,712652950664i</v>
      </c>
      <c r="AD94" s="20">
        <f t="shared" si="119"/>
        <v>31.819042337250657</v>
      </c>
      <c r="AE94" s="44">
        <f t="shared" si="120"/>
        <v>-83.163207383828961</v>
      </c>
      <c r="AF94" t="str">
        <f t="shared" si="104"/>
        <v>-20791,6666666667</v>
      </c>
      <c r="AG94" t="str">
        <f t="shared" si="121"/>
        <v>361,559575944117i</v>
      </c>
      <c r="AH94">
        <f t="shared" si="122"/>
        <v>361.559575944117</v>
      </c>
      <c r="AI94">
        <f t="shared" si="123"/>
        <v>1.5707963267948966</v>
      </c>
      <c r="AJ94" t="str">
        <f t="shared" si="105"/>
        <v>0,997561473595246+0,424188564129581i</v>
      </c>
      <c r="AK94">
        <f t="shared" si="124"/>
        <v>1.0840040735808305</v>
      </c>
      <c r="AL94">
        <f t="shared" si="125"/>
        <v>0.40206162205564866</v>
      </c>
      <c r="AM94" t="str">
        <f t="shared" si="106"/>
        <v>1+0,583123284082671i</v>
      </c>
      <c r="AN94">
        <f t="shared" si="126"/>
        <v>1.1575978422748374</v>
      </c>
      <c r="AO94">
        <f t="shared" si="127"/>
        <v>0.52791771341443361</v>
      </c>
      <c r="AP94" t="str">
        <f t="shared" si="107"/>
        <v>1+0,409574687629496i</v>
      </c>
      <c r="AQ94">
        <f t="shared" si="128"/>
        <v>1.0806254784830864</v>
      </c>
      <c r="AR94">
        <f t="shared" si="129"/>
        <v>0.38873307057817436</v>
      </c>
      <c r="AS94" s="42" t="str">
        <f t="shared" si="130"/>
        <v>-32,6612630443596+57,7667206994793i</v>
      </c>
      <c r="AT94">
        <f t="shared" si="131"/>
        <v>36.438228656589324</v>
      </c>
      <c r="AU94" s="44">
        <f t="shared" si="132"/>
        <v>119.48378716216189</v>
      </c>
      <c r="AV94" s="42" t="str">
        <f t="shared" si="108"/>
        <v>2084,70839680238+1532,52370835094i</v>
      </c>
      <c r="AW94" s="20">
        <f t="shared" si="133"/>
        <v>68.257270993839981</v>
      </c>
      <c r="AX94" s="44">
        <f t="shared" si="134"/>
        <v>36.320579778332977</v>
      </c>
    </row>
    <row r="95" spans="14:50" x14ac:dyDescent="0.3">
      <c r="N95" s="8">
        <v>77</v>
      </c>
      <c r="O95" s="35">
        <f t="shared" si="109"/>
        <v>58.884365535558949</v>
      </c>
      <c r="P95" s="34" t="str">
        <f t="shared" si="99"/>
        <v>324,571428571429</v>
      </c>
      <c r="Q95" s="4" t="str">
        <f t="shared" si="100"/>
        <v>1+8,45671726527122i</v>
      </c>
      <c r="R95" s="4">
        <f t="shared" si="110"/>
        <v>8.5156366118298124</v>
      </c>
      <c r="S95" s="4">
        <f t="shared" si="111"/>
        <v>1.4530937089509504</v>
      </c>
      <c r="T95" s="4" t="str">
        <f t="shared" si="101"/>
        <v>1+0,0000739962760711232i</v>
      </c>
      <c r="U95" s="4">
        <f t="shared" si="112"/>
        <v>1.0000000027377245</v>
      </c>
      <c r="V95" s="4">
        <f t="shared" si="113"/>
        <v>7.3996275936068917E-5</v>
      </c>
      <c r="W95" t="str">
        <f t="shared" si="102"/>
        <v>1-0,000642328785339611i</v>
      </c>
      <c r="X95" s="4">
        <f t="shared" si="114"/>
        <v>1.000000206293113</v>
      </c>
      <c r="Y95" s="4">
        <f t="shared" si="115"/>
        <v>-6.4232869700095398E-4</v>
      </c>
      <c r="Z95" t="str">
        <f t="shared" si="103"/>
        <v>0,999999986130526+0,000550732700550182i</v>
      </c>
      <c r="AA95" s="4">
        <f t="shared" si="116"/>
        <v>1.0000001377837704</v>
      </c>
      <c r="AB95" s="4">
        <f t="shared" si="117"/>
        <v>5.5073265250829215E-4</v>
      </c>
      <c r="AC95" s="48" t="str">
        <f t="shared" si="118"/>
        <v>4,43349512658129-37,8560312821182i</v>
      </c>
      <c r="AD95" s="20">
        <f t="shared" si="119"/>
        <v>31.621863949490386</v>
      </c>
      <c r="AE95" s="44">
        <f t="shared" si="120"/>
        <v>-83.320254465616898</v>
      </c>
      <c r="AF95" t="str">
        <f t="shared" si="104"/>
        <v>-20791,6666666667</v>
      </c>
      <c r="AG95" t="str">
        <f t="shared" si="121"/>
        <v>369,981380355616i</v>
      </c>
      <c r="AH95">
        <f t="shared" si="122"/>
        <v>369.98138035561601</v>
      </c>
      <c r="AI95">
        <f t="shared" si="123"/>
        <v>1.5707963267948966</v>
      </c>
      <c r="AJ95" t="str">
        <f t="shared" si="105"/>
        <v>0,997446549386406+0,434069185079435i</v>
      </c>
      <c r="AK95">
        <f t="shared" si="124"/>
        <v>1.087803142263513</v>
      </c>
      <c r="AL95">
        <f t="shared" si="125"/>
        <v>0.4104618385684215</v>
      </c>
      <c r="AM95" t="str">
        <f t="shared" si="106"/>
        <v>1+0,596705970237537i</v>
      </c>
      <c r="AN95">
        <f t="shared" si="126"/>
        <v>1.1644990403246884</v>
      </c>
      <c r="AO95">
        <f t="shared" si="127"/>
        <v>0.5379938993122575</v>
      </c>
      <c r="AP95" t="str">
        <f t="shared" si="107"/>
        <v>1+0,419114907666842i</v>
      </c>
      <c r="AQ95">
        <f t="shared" si="128"/>
        <v>1.0842773196136613</v>
      </c>
      <c r="AR95">
        <f t="shared" si="129"/>
        <v>0.39687538021572472</v>
      </c>
      <c r="AS95" s="42" t="str">
        <f t="shared" si="130"/>
        <v>-32,6600139751133+56,4633072332153i</v>
      </c>
      <c r="AT95">
        <f t="shared" si="131"/>
        <v>36.288772700548087</v>
      </c>
      <c r="AU95" s="44">
        <f t="shared" si="132"/>
        <v>120.04633311223877</v>
      </c>
      <c r="AV95" s="42" t="str">
        <f t="shared" si="108"/>
        <v>1992,67871211971+1486,70830816543i</v>
      </c>
      <c r="AW95" s="20">
        <f t="shared" si="133"/>
        <v>67.910636650038484</v>
      </c>
      <c r="AX95" s="44">
        <f t="shared" si="134"/>
        <v>36.726078646621851</v>
      </c>
    </row>
    <row r="96" spans="14:50" x14ac:dyDescent="0.3">
      <c r="N96" s="8">
        <v>78</v>
      </c>
      <c r="O96" s="35">
        <f t="shared" si="109"/>
        <v>60.255958607435822</v>
      </c>
      <c r="P96" s="34" t="str">
        <f t="shared" si="99"/>
        <v>324,571428571429</v>
      </c>
      <c r="Q96" s="4" t="str">
        <f t="shared" si="100"/>
        <v>1+8,6536995152517i</v>
      </c>
      <c r="R96" s="4">
        <f t="shared" si="110"/>
        <v>8.7112866615826334</v>
      </c>
      <c r="S96" s="4">
        <f t="shared" si="111"/>
        <v>1.4557490981131456</v>
      </c>
      <c r="T96" s="4" t="str">
        <f t="shared" si="101"/>
        <v>1+0,0000757198707584524i</v>
      </c>
      <c r="U96" s="4">
        <f t="shared" si="112"/>
        <v>1.0000000028667493</v>
      </c>
      <c r="V96" s="4">
        <f t="shared" si="113"/>
        <v>7.5719870613739139E-5</v>
      </c>
      <c r="W96" t="str">
        <f t="shared" si="102"/>
        <v>1-0,000657290544778233i</v>
      </c>
      <c r="X96" s="4">
        <f t="shared" si="114"/>
        <v>1.0000002160154067</v>
      </c>
      <c r="Y96" s="4">
        <f t="shared" si="115"/>
        <v>-6.5729045012165766E-4</v>
      </c>
      <c r="Z96" t="str">
        <f t="shared" si="103"/>
        <v>0,999999985476878+0,000563560913092856i</v>
      </c>
      <c r="AA96" s="4">
        <f t="shared" si="116"/>
        <v>1.0000001442773192</v>
      </c>
      <c r="AB96" s="4">
        <f t="shared" si="117"/>
        <v>5.6356086161504391E-4</v>
      </c>
      <c r="AC96" s="48" t="str">
        <f t="shared" si="118"/>
        <v>4,23467672148946-37,0172967862457i</v>
      </c>
      <c r="AD96" s="20">
        <f t="shared" si="119"/>
        <v>31.424560283168891</v>
      </c>
      <c r="AE96" s="44">
        <f t="shared" si="120"/>
        <v>-83.473890550423334</v>
      </c>
      <c r="AF96" t="str">
        <f t="shared" si="104"/>
        <v>-20791,6666666667</v>
      </c>
      <c r="AG96" t="str">
        <f t="shared" si="121"/>
        <v>378,599353792262i</v>
      </c>
      <c r="AH96">
        <f t="shared" si="122"/>
        <v>378.59935379226198</v>
      </c>
      <c r="AI96">
        <f t="shared" si="123"/>
        <v>1.5707963267948966</v>
      </c>
      <c r="AJ96" t="str">
        <f t="shared" si="105"/>
        <v>0,997326208966468+0,444179955256804i</v>
      </c>
      <c r="AK96">
        <f t="shared" si="124"/>
        <v>1.0917670995882607</v>
      </c>
      <c r="AL96">
        <f t="shared" si="125"/>
        <v>0.41899760457460977</v>
      </c>
      <c r="AM96" t="str">
        <f t="shared" si="106"/>
        <v>1+0,61060503779616i</v>
      </c>
      <c r="AN96">
        <f t="shared" si="126"/>
        <v>1.1716819159575904</v>
      </c>
      <c r="AO96">
        <f t="shared" si="127"/>
        <v>0.54818085261627847</v>
      </c>
      <c r="AP96" t="str">
        <f t="shared" si="107"/>
        <v>1+0,428877347975874i</v>
      </c>
      <c r="AQ96">
        <f t="shared" si="128"/>
        <v>1.088088130441105</v>
      </c>
      <c r="AR96">
        <f t="shared" si="129"/>
        <v>0.40515020680769104</v>
      </c>
      <c r="AS96" s="42" t="str">
        <f t="shared" si="130"/>
        <v>-32,6587237973607+55,1897907939642i</v>
      </c>
      <c r="AT96">
        <f t="shared" si="131"/>
        <v>36.141064651600821</v>
      </c>
      <c r="AU96" s="44">
        <f t="shared" si="132"/>
        <v>120.61505181551239</v>
      </c>
      <c r="AV96" s="42" t="str">
        <f t="shared" si="108"/>
        <v>1904,67772797275+1442,648593806i</v>
      </c>
      <c r="AW96" s="20">
        <f t="shared" si="133"/>
        <v>67.565624934769716</v>
      </c>
      <c r="AX96" s="44">
        <f t="shared" si="134"/>
        <v>37.141161265089018</v>
      </c>
    </row>
    <row r="97" spans="14:50" x14ac:dyDescent="0.3">
      <c r="N97" s="8">
        <v>79</v>
      </c>
      <c r="O97" s="35">
        <f t="shared" si="109"/>
        <v>61.659500186148257</v>
      </c>
      <c r="P97" s="34" t="str">
        <f t="shared" si="99"/>
        <v>324,571428571429</v>
      </c>
      <c r="Q97" s="4" t="str">
        <f t="shared" si="100"/>
        <v>1+8,85527007126043i</v>
      </c>
      <c r="R97" s="4">
        <f t="shared" si="110"/>
        <v>8.9115547484690172</v>
      </c>
      <c r="S97" s="4">
        <f t="shared" si="111"/>
        <v>1.4583456188592774</v>
      </c>
      <c r="T97" s="4" t="str">
        <f t="shared" si="101"/>
        <v>1+0,0000774836131235288i</v>
      </c>
      <c r="U97" s="4">
        <f t="shared" si="112"/>
        <v>1.000000003001855</v>
      </c>
      <c r="V97" s="4">
        <f t="shared" si="113"/>
        <v>7.7483612968465743E-5</v>
      </c>
      <c r="W97" t="str">
        <f t="shared" si="102"/>
        <v>1-0,000672600808363965i</v>
      </c>
      <c r="X97" s="4">
        <f t="shared" si="114"/>
        <v>1.000000226195898</v>
      </c>
      <c r="Y97" s="4">
        <f t="shared" si="115"/>
        <v>-6.7260070693761845E-4</v>
      </c>
      <c r="Z97" t="str">
        <f t="shared" si="103"/>
        <v>0,999999984792424+0,000576687933091263i</v>
      </c>
      <c r="AA97" s="4">
        <f t="shared" si="116"/>
        <v>1.0000001510768988</v>
      </c>
      <c r="AB97" s="4">
        <f t="shared" si="117"/>
        <v>5.766878779317942E-4</v>
      </c>
      <c r="AC97" s="48" t="str">
        <f t="shared" si="118"/>
        <v>4,04457595525039-36,1961467638761i</v>
      </c>
      <c r="AD97" s="20">
        <f t="shared" si="119"/>
        <v>31.227136828145227</v>
      </c>
      <c r="AE97" s="44">
        <f t="shared" si="120"/>
        <v>-83.624188511333102</v>
      </c>
      <c r="AF97" t="str">
        <f t="shared" si="104"/>
        <v>-20791,6666666667</v>
      </c>
      <c r="AG97" t="str">
        <f t="shared" si="121"/>
        <v>387,418065617644i</v>
      </c>
      <c r="AH97">
        <f t="shared" si="122"/>
        <v>387.418065617644</v>
      </c>
      <c r="AI97">
        <f t="shared" si="123"/>
        <v>1.5707963267948966</v>
      </c>
      <c r="AJ97" t="str">
        <f t="shared" si="105"/>
        <v>0,997200197077266+0,454526235525866i</v>
      </c>
      <c r="AK97">
        <f t="shared" si="124"/>
        <v>1.0959025193110257</v>
      </c>
      <c r="AL97">
        <f t="shared" si="125"/>
        <v>0.42766870849758504</v>
      </c>
      <c r="AM97" t="str">
        <f t="shared" si="106"/>
        <v>1+0,624827856228136i</v>
      </c>
      <c r="AN97">
        <f t="shared" si="126"/>
        <v>1.1791564145263547</v>
      </c>
      <c r="AO97">
        <f t="shared" si="127"/>
        <v>0.55847551698639775</v>
      </c>
      <c r="AP97" t="str">
        <f t="shared" si="107"/>
        <v>1+0,438867184731667i</v>
      </c>
      <c r="AQ97">
        <f t="shared" si="128"/>
        <v>1.0920642864933818</v>
      </c>
      <c r="AR97">
        <f t="shared" si="129"/>
        <v>0.41355740392387519</v>
      </c>
      <c r="AS97" s="42" t="str">
        <f t="shared" si="130"/>
        <v>-32,6573918665886+53,945494183059i</v>
      </c>
      <c r="AT97">
        <f t="shared" si="131"/>
        <v>35.995142656523036</v>
      </c>
      <c r="AU97" s="44">
        <f t="shared" si="132"/>
        <v>121.18977188920989</v>
      </c>
      <c r="AV97" s="42" t="str">
        <f t="shared" si="108"/>
        <v>1820,53372279503+1400,25839759535i</v>
      </c>
      <c r="AW97" s="20">
        <f t="shared" si="133"/>
        <v>67.222279484668249</v>
      </c>
      <c r="AX97" s="44">
        <f t="shared" si="134"/>
        <v>37.56558337787677</v>
      </c>
    </row>
    <row r="98" spans="14:50" x14ac:dyDescent="0.3">
      <c r="N98" s="8">
        <v>80</v>
      </c>
      <c r="O98" s="35">
        <f t="shared" si="109"/>
        <v>63.095734448019364</v>
      </c>
      <c r="P98" s="34" t="str">
        <f t="shared" si="99"/>
        <v>324,571428571429</v>
      </c>
      <c r="Q98" s="4" t="str">
        <f t="shared" si="100"/>
        <v>1+9,06153580867429i</v>
      </c>
      <c r="R98" s="4">
        <f t="shared" si="110"/>
        <v>9.1165471101665698</v>
      </c>
      <c r="S98" s="4">
        <f t="shared" si="111"/>
        <v>1.4608845077790027</v>
      </c>
      <c r="T98" s="4" t="str">
        <f t="shared" si="101"/>
        <v>1+0,0000792884383259i</v>
      </c>
      <c r="U98" s="4">
        <f t="shared" si="112"/>
        <v>1.0000000031433283</v>
      </c>
      <c r="V98" s="4">
        <f t="shared" si="113"/>
        <v>7.9288438159746933E-5</v>
      </c>
      <c r="W98" t="str">
        <f t="shared" si="102"/>
        <v>1-0,000688267693801215i</v>
      </c>
      <c r="X98" s="4">
        <f t="shared" si="114"/>
        <v>1.0000002368561811</v>
      </c>
      <c r="Y98" s="4">
        <f t="shared" si="115"/>
        <v>-6.8826758512092806E-4</v>
      </c>
      <c r="Z98" t="str">
        <f t="shared" si="103"/>
        <v>0,999999984075713+0,000590120720665161i</v>
      </c>
      <c r="AA98" s="4">
        <f t="shared" si="116"/>
        <v>1.0000001581969331</v>
      </c>
      <c r="AB98" s="4">
        <f t="shared" si="117"/>
        <v>5.9012066156072576E-4</v>
      </c>
      <c r="AC98" s="48" t="str">
        <f t="shared" si="118"/>
        <v>3,86282039037063-35,392278766243i</v>
      </c>
      <c r="AD98" s="20">
        <f t="shared" si="119"/>
        <v>31.029598840038602</v>
      </c>
      <c r="AE98" s="44">
        <f t="shared" si="120"/>
        <v>-83.771220010026781</v>
      </c>
      <c r="AF98" t="str">
        <f t="shared" si="104"/>
        <v>-20791,6666666667</v>
      </c>
      <c r="AG98" t="str">
        <f t="shared" si="121"/>
        <v>396,4421916295i</v>
      </c>
      <c r="AH98">
        <f t="shared" si="122"/>
        <v>396.44219162949997</v>
      </c>
      <c r="AI98">
        <f t="shared" si="123"/>
        <v>1.5707963267948966</v>
      </c>
      <c r="AJ98" t="str">
        <f t="shared" si="105"/>
        <v>0,997068246430689+0,465113511621371i</v>
      </c>
      <c r="AK98">
        <f t="shared" si="124"/>
        <v>1.1002161909066472</v>
      </c>
      <c r="AL98">
        <f t="shared" si="125"/>
        <v>0.43647478344834539</v>
      </c>
      <c r="AM98" t="str">
        <f t="shared" si="106"/>
        <v>1+0,639381966660057i</v>
      </c>
      <c r="AN98">
        <f t="shared" si="126"/>
        <v>1.1869327273649852</v>
      </c>
      <c r="AO98">
        <f t="shared" si="127"/>
        <v>0.56887462216446583</v>
      </c>
      <c r="AP98" t="str">
        <f t="shared" si="107"/>
        <v>1+0,449089714677898i</v>
      </c>
      <c r="AQ98">
        <f t="shared" si="128"/>
        <v>1.0962123753312931</v>
      </c>
      <c r="AR98">
        <f t="shared" si="129"/>
        <v>0.42209667429097519</v>
      </c>
      <c r="AS98" s="42" t="str">
        <f t="shared" si="130"/>
        <v>-32,6560175844738+52,729755637811i</v>
      </c>
      <c r="AT98">
        <f t="shared" si="131"/>
        <v>35.851044183770505</v>
      </c>
      <c r="AU98" s="44">
        <f t="shared" si="132"/>
        <v>121.7703099500276</v>
      </c>
      <c r="AV98" s="42" t="str">
        <f t="shared" si="108"/>
        <v>1740,08188021567+1359,45645300203i</v>
      </c>
      <c r="AW98" s="20">
        <f t="shared" si="133"/>
        <v>66.8806430238091</v>
      </c>
      <c r="AX98" s="44">
        <f t="shared" si="134"/>
        <v>37.999089940000935</v>
      </c>
    </row>
    <row r="99" spans="14:50" x14ac:dyDescent="0.3">
      <c r="N99" s="8">
        <v>81</v>
      </c>
      <c r="O99" s="35">
        <f t="shared" si="109"/>
        <v>64.565422903465588</v>
      </c>
      <c r="P99" s="34" t="str">
        <f t="shared" si="99"/>
        <v>324,571428571429</v>
      </c>
      <c r="Q99" s="4" t="str">
        <f t="shared" si="100"/>
        <v>1+9,27260609231751i</v>
      </c>
      <c r="R99" s="4">
        <f t="shared" si="110"/>
        <v>9.3263724857676458</v>
      </c>
      <c r="S99" s="4">
        <f t="shared" si="111"/>
        <v>1.4633669800292903</v>
      </c>
      <c r="T99" s="4" t="str">
        <f t="shared" si="101"/>
        <v>1+0,0000811353033077782i</v>
      </c>
      <c r="U99" s="4">
        <f t="shared" si="112"/>
        <v>1.0000000032914687</v>
      </c>
      <c r="V99" s="4">
        <f t="shared" si="113"/>
        <v>8.1135303129741999E-5</v>
      </c>
      <c r="W99" t="str">
        <f t="shared" si="102"/>
        <v>1-0,000704299507880019i</v>
      </c>
      <c r="X99" s="4">
        <f t="shared" si="114"/>
        <v>1.0000002480188677</v>
      </c>
      <c r="Y99" s="4">
        <f t="shared" si="115"/>
        <v>-7.042993914269949E-4</v>
      </c>
      <c r="Z99" t="str">
        <f t="shared" si="103"/>
        <v>0,999999983325225+0,000603866398056328i</v>
      </c>
      <c r="AA99" s="4">
        <f t="shared" si="116"/>
        <v>1.0000001656525248</v>
      </c>
      <c r="AB99" s="4">
        <f t="shared" si="117"/>
        <v>6.0386633472478499E-4</v>
      </c>
      <c r="AC99" s="48" t="str">
        <f t="shared" si="118"/>
        <v>3,68905264661245-34,6053909973368i</v>
      </c>
      <c r="AD99" s="20">
        <f t="shared" si="119"/>
        <v>30.831951349672956</v>
      </c>
      <c r="AE99" s="44">
        <f t="shared" si="120"/>
        <v>-83.915055499056692</v>
      </c>
      <c r="AF99" t="str">
        <f t="shared" si="104"/>
        <v>-20791,6666666667</v>
      </c>
      <c r="AG99" t="str">
        <f t="shared" si="121"/>
        <v>405,676516538891i</v>
      </c>
      <c r="AH99">
        <f t="shared" si="122"/>
        <v>405.67651653889101</v>
      </c>
      <c r="AI99">
        <f t="shared" si="123"/>
        <v>1.5707963267948966</v>
      </c>
      <c r="AJ99" t="str">
        <f t="shared" si="105"/>
        <v>0,996930077141724+0,475947397057242i</v>
      </c>
      <c r="AK99">
        <f t="shared" si="124"/>
        <v>1.1047151232219861</v>
      </c>
      <c r="AL99">
        <f t="shared" si="125"/>
        <v>0.44541530068729068</v>
      </c>
      <c r="AM99" t="str">
        <f t="shared" si="106"/>
        <v>1+0,654275085873923i</v>
      </c>
      <c r="AN99">
        <f t="shared" si="126"/>
        <v>1.1950212918585716</v>
      </c>
      <c r="AO99">
        <f t="shared" si="127"/>
        <v>0.57937468500178579</v>
      </c>
      <c r="AP99" t="str">
        <f t="shared" si="107"/>
        <v>1+0,459550357935256i</v>
      </c>
      <c r="AQ99">
        <f t="shared" si="128"/>
        <v>1.1005392003370082</v>
      </c>
      <c r="AR99">
        <f t="shared" si="129"/>
        <v>0.43076756308858288</v>
      </c>
      <c r="AS99" s="42" t="str">
        <f t="shared" si="130"/>
        <v>-32,654600403535+51,5419284827427i</v>
      </c>
      <c r="AT99">
        <f t="shared" si="131"/>
        <v>35.708805915416534</v>
      </c>
      <c r="AU99" s="44">
        <f t="shared" si="132"/>
        <v>122.35647066350288</v>
      </c>
      <c r="AV99" s="42" t="str">
        <f t="shared" si="108"/>
        <v>1663,16404785935+1320,16610250689i</v>
      </c>
      <c r="AW99" s="20">
        <f t="shared" si="133"/>
        <v>66.540757265089496</v>
      </c>
      <c r="AX99" s="44">
        <f t="shared" si="134"/>
        <v>38.441415164446127</v>
      </c>
    </row>
    <row r="100" spans="14:50" x14ac:dyDescent="0.3">
      <c r="N100" s="8">
        <v>82</v>
      </c>
      <c r="O100" s="35">
        <f t="shared" si="109"/>
        <v>66.069344800759623</v>
      </c>
      <c r="P100" s="34" t="str">
        <f t="shared" si="99"/>
        <v>324,571428571429</v>
      </c>
      <c r="Q100" s="4" t="str">
        <f t="shared" si="100"/>
        <v>1+9,48859283444834i</v>
      </c>
      <c r="R100" s="4">
        <f t="shared" si="110"/>
        <v>9.5411421736574269</v>
      </c>
      <c r="S100" s="4">
        <f t="shared" si="111"/>
        <v>1.4657942293940214</v>
      </c>
      <c r="T100" s="4" t="str">
        <f t="shared" si="101"/>
        <v>1+0,000083025187301423i</v>
      </c>
      <c r="U100" s="4">
        <f t="shared" si="112"/>
        <v>1.0000000034465908</v>
      </c>
      <c r="V100" s="4">
        <f t="shared" si="113"/>
        <v>8.3025187110653766E-5</v>
      </c>
      <c r="W100" t="str">
        <f t="shared" si="102"/>
        <v>1-0,000720704750880408i</v>
      </c>
      <c r="X100" s="4">
        <f t="shared" si="114"/>
        <v>1.0000002597076352</v>
      </c>
      <c r="Y100" s="4">
        <f t="shared" si="115"/>
        <v>-7.2070462609874638E-4</v>
      </c>
      <c r="Z100" t="str">
        <f t="shared" si="103"/>
        <v>0,999999982539367+0,000617932253404861i</v>
      </c>
      <c r="AA100" s="4">
        <f t="shared" si="116"/>
        <v>1.0000001734594868</v>
      </c>
      <c r="AB100" s="4">
        <f t="shared" si="117"/>
        <v>6.1793218554389065E-4</v>
      </c>
      <c r="AC100" s="48" t="str">
        <f t="shared" si="118"/>
        <v>3,52292986732418-33,8351826835312i</v>
      </c>
      <c r="AD100" s="20">
        <f t="shared" si="119"/>
        <v>30.634199172189014</v>
      </c>
      <c r="AE100" s="44">
        <f t="shared" si="120"/>
        <v>-84.055764225701523</v>
      </c>
      <c r="AF100" t="str">
        <f t="shared" si="104"/>
        <v>-20791,6666666667</v>
      </c>
      <c r="AG100" t="str">
        <f t="shared" si="121"/>
        <v>415,125936507115i</v>
      </c>
      <c r="AH100">
        <f t="shared" si="122"/>
        <v>415.125936507115</v>
      </c>
      <c r="AI100">
        <f t="shared" si="123"/>
        <v>1.5707963267948966</v>
      </c>
      <c r="AJ100" t="str">
        <f t="shared" si="105"/>
        <v>0,996785396134785+0,487033636102941i</v>
      </c>
      <c r="AK100">
        <f t="shared" si="124"/>
        <v>1.1094065479540096</v>
      </c>
      <c r="AL100">
        <f t="shared" si="125"/>
        <v>0.45448956326646855</v>
      </c>
      <c r="AM100" t="str">
        <f t="shared" si="106"/>
        <v>1+0,669515110398675i</v>
      </c>
      <c r="AN100">
        <f t="shared" si="126"/>
        <v>1.2034327912484974</v>
      </c>
      <c r="AO100">
        <f t="shared" si="127"/>
        <v>0.58997201139063415</v>
      </c>
      <c r="AP100" t="str">
        <f t="shared" si="107"/>
        <v>1+0,47025466087526i</v>
      </c>
      <c r="AQ100">
        <f t="shared" si="128"/>
        <v>1.1050517843408543</v>
      </c>
      <c r="AR100">
        <f t="shared" si="129"/>
        <v>0.43956945138353731</v>
      </c>
      <c r="AS100" s="42" t="str">
        <f t="shared" si="130"/>
        <v>-32,6531398318393+50,3813807892507i</v>
      </c>
      <c r="AT100">
        <f t="shared" si="131"/>
        <v>35.568463637794643</v>
      </c>
      <c r="AU100" s="44">
        <f t="shared" si="132"/>
        <v>122.94804684277254</v>
      </c>
      <c r="AV100" s="42" t="str">
        <f t="shared" si="108"/>
        <v>1589,62850127735+1282,31502254066i</v>
      </c>
      <c r="AW100" s="20">
        <f t="shared" si="133"/>
        <v>66.202662809983678</v>
      </c>
      <c r="AX100" s="44">
        <f t="shared" si="134"/>
        <v>38.892282617071082</v>
      </c>
    </row>
    <row r="101" spans="14:50" x14ac:dyDescent="0.3">
      <c r="N101" s="8">
        <v>83</v>
      </c>
      <c r="O101" s="35">
        <f t="shared" si="109"/>
        <v>67.60829753919819</v>
      </c>
      <c r="P101" s="34" t="str">
        <f t="shared" si="99"/>
        <v>324,571428571429</v>
      </c>
      <c r="Q101" s="4" t="str">
        <f t="shared" si="100"/>
        <v>1+9,70961055409636i</v>
      </c>
      <c r="R101" s="4">
        <f t="shared" si="110"/>
        <v>9.7609700907348049</v>
      </c>
      <c r="S101" s="4">
        <f t="shared" si="111"/>
        <v>1.4681674283687021</v>
      </c>
      <c r="T101" s="4" t="str">
        <f t="shared" si="101"/>
        <v>1+0,0000849590923483432i</v>
      </c>
      <c r="U101" s="4">
        <f t="shared" si="112"/>
        <v>1.0000000036090235</v>
      </c>
      <c r="V101" s="4">
        <f t="shared" si="113"/>
        <v>8.4959092143930287E-5</v>
      </c>
      <c r="W101" t="str">
        <f t="shared" si="102"/>
        <v>1-0,000737492121079368i</v>
      </c>
      <c r="X101" s="4">
        <f t="shared" si="114"/>
        <v>1.0000002719472774</v>
      </c>
      <c r="Y101" s="4">
        <f t="shared" si="115"/>
        <v>-7.3749198737341052E-4</v>
      </c>
      <c r="Z101" t="str">
        <f t="shared" si="103"/>
        <v>0,999999981716472+0,00063232574461345i</v>
      </c>
      <c r="AA101" s="4">
        <f t="shared" si="116"/>
        <v>1.0000001816343795</v>
      </c>
      <c r="AB101" s="4">
        <f t="shared" si="117"/>
        <v>6.3232567189911131E-4</v>
      </c>
      <c r="AC101" s="48" t="str">
        <f t="shared" si="118"/>
        <v>3,36412319787372-33,0813544124256i</v>
      </c>
      <c r="AD101" s="20">
        <f t="shared" si="119"/>
        <v>30.436346915831436</v>
      </c>
      <c r="AE101" s="44">
        <f t="shared" si="120"/>
        <v>-84.193414237269934</v>
      </c>
      <c r="AF101" t="str">
        <f t="shared" si="104"/>
        <v>-20791,6666666667</v>
      </c>
      <c r="AG101" t="str">
        <f t="shared" si="121"/>
        <v>424,795461741716i</v>
      </c>
      <c r="AH101">
        <f t="shared" si="122"/>
        <v>424.795461741716</v>
      </c>
      <c r="AI101">
        <f t="shared" si="123"/>
        <v>1.5707963267948966</v>
      </c>
      <c r="AJ101" t="str">
        <f t="shared" si="105"/>
        <v>0,996633896522059+0,498378106829154i</v>
      </c>
      <c r="AK101">
        <f t="shared" si="124"/>
        <v>1.1142979229377366</v>
      </c>
      <c r="AL101">
        <f t="shared" si="125"/>
        <v>0.46369669989937917</v>
      </c>
      <c r="AM101" t="str">
        <f t="shared" si="106"/>
        <v>1+0,685110120697039i</v>
      </c>
      <c r="AN101">
        <f t="shared" si="126"/>
        <v>1.21217815418424</v>
      </c>
      <c r="AO101">
        <f t="shared" si="127"/>
        <v>0.60066269913157944</v>
      </c>
      <c r="AP101" t="str">
        <f t="shared" si="107"/>
        <v>1+0,481208299061016i</v>
      </c>
      <c r="AQ101">
        <f t="shared" si="128"/>
        <v>1.1097573730708872</v>
      </c>
      <c r="AR101">
        <f t="shared" si="129"/>
        <v>0.44850154974741729</v>
      </c>
      <c r="AS101" s="42" t="str">
        <f t="shared" si="130"/>
        <v>-32,651635437729+49,2474950435414i</v>
      </c>
      <c r="AT101">
        <f t="shared" si="131"/>
        <v>35.430052131442238</v>
      </c>
      <c r="AU101" s="44">
        <f t="shared" si="132"/>
        <v>123.54481959840091</v>
      </c>
      <c r="AV101" s="42" t="str">
        <f t="shared" si="108"/>
        <v>1519,32971323499+1245,83496457398i</v>
      </c>
      <c r="AW101" s="20">
        <f t="shared" si="133"/>
        <v>65.866399047273688</v>
      </c>
      <c r="AX101" s="44">
        <f t="shared" si="134"/>
        <v>39.351405361130979</v>
      </c>
    </row>
    <row r="102" spans="14:50" x14ac:dyDescent="0.3">
      <c r="N102" s="8">
        <v>84</v>
      </c>
      <c r="O102" s="35">
        <f t="shared" si="109"/>
        <v>69.183097091893657</v>
      </c>
      <c r="P102" s="34" t="str">
        <f t="shared" si="99"/>
        <v>324,571428571429</v>
      </c>
      <c r="Q102" s="4" t="str">
        <f t="shared" si="100"/>
        <v>1+9,93577643778206i</v>
      </c>
      <c r="R102" s="4">
        <f t="shared" si="110"/>
        <v>9.9859728330085673</v>
      </c>
      <c r="S102" s="4">
        <f t="shared" si="111"/>
        <v>1.4704877282681794</v>
      </c>
      <c r="T102" s="4" t="str">
        <f t="shared" si="101"/>
        <v>1+0,000086938043830593i</v>
      </c>
      <c r="U102" s="4">
        <f t="shared" si="112"/>
        <v>1.0000000037791117</v>
      </c>
      <c r="V102" s="4">
        <f t="shared" si="113"/>
        <v>8.6938043611560611E-5</v>
      </c>
      <c r="W102" t="str">
        <f t="shared" si="102"/>
        <v>1-0,000754670519362787i</v>
      </c>
      <c r="X102" s="4">
        <f t="shared" si="114"/>
        <v>1.0000002847637559</v>
      </c>
      <c r="Y102" s="4">
        <f t="shared" si="115"/>
        <v>-7.5467037609427447E-4</v>
      </c>
      <c r="Z102" t="str">
        <f t="shared" si="103"/>
        <v>0,999999980854796+0,000647054503301653i</v>
      </c>
      <c r="AA102" s="4">
        <f t="shared" si="116"/>
        <v>1.0000001901945432</v>
      </c>
      <c r="AB102" s="4">
        <f t="shared" si="117"/>
        <v>6.4705442538683599E-4</v>
      </c>
      <c r="AC102" s="48" t="str">
        <f t="shared" si="118"/>
        <v>3,21231727659449-32,3436084427566i</v>
      </c>
      <c r="AD102" s="20">
        <f t="shared" si="119"/>
        <v>30.23839899041829</v>
      </c>
      <c r="AE102" s="44">
        <f t="shared" si="120"/>
        <v>-84.328072387732519</v>
      </c>
      <c r="AF102" t="str">
        <f t="shared" si="104"/>
        <v>-20791,6666666667</v>
      </c>
      <c r="AG102" t="str">
        <f t="shared" si="121"/>
        <v>434,690219152965i</v>
      </c>
      <c r="AH102">
        <f t="shared" si="122"/>
        <v>434.69021915296503</v>
      </c>
      <c r="AI102">
        <f t="shared" si="123"/>
        <v>1.5707963267948966</v>
      </c>
      <c r="AJ102" t="str">
        <f t="shared" si="105"/>
        <v>0,996475256952554+0,509986824224422i</v>
      </c>
      <c r="AK102">
        <f t="shared" si="124"/>
        <v>1.1193969352294877</v>
      </c>
      <c r="AL102">
        <f t="shared" si="125"/>
        <v>0.47303565910773293</v>
      </c>
      <c r="AM102" t="str">
        <f t="shared" si="106"/>
        <v>1+0,701068385449901i</v>
      </c>
      <c r="AN102">
        <f t="shared" si="126"/>
        <v>1.2212685540360608</v>
      </c>
      <c r="AO102">
        <f t="shared" si="127"/>
        <v>0.61144264176210106</v>
      </c>
      <c r="AP102" t="str">
        <f t="shared" si="107"/>
        <v>1+0,492417080256479i</v>
      </c>
      <c r="AQ102">
        <f t="shared" si="128"/>
        <v>1.1146634384101399</v>
      </c>
      <c r="AR102">
        <f t="shared" si="129"/>
        <v>0.45756289210444595</v>
      </c>
      <c r="AS102" s="42" t="str">
        <f t="shared" si="130"/>
        <v>-32,6500868545336+48,1396678226765i</v>
      </c>
      <c r="AT102">
        <f t="shared" si="131"/>
        <v>35.293605060978216</v>
      </c>
      <c r="AU102" s="44">
        <f t="shared" si="132"/>
        <v>124.14655854062025</v>
      </c>
      <c r="AV102" s="42" t="str">
        <f t="shared" si="108"/>
        <v>1452,12812853589+1210,66151148133i</v>
      </c>
      <c r="AW102" s="20">
        <f t="shared" si="133"/>
        <v>65.532004051396498</v>
      </c>
      <c r="AX102" s="44">
        <f t="shared" si="134"/>
        <v>39.818486152887623</v>
      </c>
    </row>
    <row r="103" spans="14:50" x14ac:dyDescent="0.3">
      <c r="N103" s="8">
        <v>85</v>
      </c>
      <c r="O103" s="35">
        <f t="shared" si="109"/>
        <v>70.794578438413865</v>
      </c>
      <c r="P103" s="34" t="str">
        <f t="shared" si="99"/>
        <v>324,571428571429</v>
      </c>
      <c r="Q103" s="4" t="str">
        <f t="shared" si="100"/>
        <v>1+10,1672104016506i</v>
      </c>
      <c r="R103" s="4">
        <f t="shared" si="110"/>
        <v>10.216269737601497</v>
      </c>
      <c r="S103" s="4">
        <f t="shared" si="111"/>
        <v>1.4727562593553625</v>
      </c>
      <c r="T103" s="4" t="str">
        <f t="shared" si="101"/>
        <v>1+0,000088963091014443i</v>
      </c>
      <c r="U103" s="4">
        <f t="shared" si="112"/>
        <v>1.0000000039572157</v>
      </c>
      <c r="V103" s="4">
        <f t="shared" si="113"/>
        <v>8.8963090779745559E-5</v>
      </c>
      <c r="W103" t="str">
        <f t="shared" si="102"/>
        <v>1-0,000772249053944818i</v>
      </c>
      <c r="X103" s="4">
        <f t="shared" si="114"/>
        <v>1.0000002981842562</v>
      </c>
      <c r="Y103" s="4">
        <f t="shared" si="115"/>
        <v>-7.7224890042984354E-4</v>
      </c>
      <c r="Z103" t="str">
        <f t="shared" si="103"/>
        <v>0,999999979952511+0,000662126338852286i</v>
      </c>
      <c r="AA103" s="4">
        <f t="shared" si="116"/>
        <v>1.0000001991581355</v>
      </c>
      <c r="AB103" s="4">
        <f t="shared" si="117"/>
        <v>6.62126255365056E-4</v>
      </c>
      <c r="AC103" s="48" t="str">
        <f t="shared" si="118"/>
        <v>3,06720973856302-31,6216489871499i</v>
      </c>
      <c r="AD103" s="20">
        <f t="shared" si="119"/>
        <v>30.040359615501004</v>
      </c>
      <c r="AE103" s="44">
        <f t="shared" si="120"/>
        <v>-84.459804345568074</v>
      </c>
      <c r="AF103" t="str">
        <f t="shared" si="104"/>
        <v>-20791,6666666667</v>
      </c>
      <c r="AG103" t="str">
        <f t="shared" si="121"/>
        <v>444,815455072215i</v>
      </c>
      <c r="AH103">
        <f t="shared" si="122"/>
        <v>444.815455072215</v>
      </c>
      <c r="AI103">
        <f t="shared" si="123"/>
        <v>1.5707963267948966</v>
      </c>
      <c r="AJ103" t="str">
        <f t="shared" si="105"/>
        <v>0,996309140930476+0,521865943384369i</v>
      </c>
      <c r="AK103">
        <f t="shared" si="124"/>
        <v>1.1247115039716098</v>
      </c>
      <c r="AL103">
        <f t="shared" si="125"/>
        <v>0.48250520369654942</v>
      </c>
      <c r="AM103" t="str">
        <f t="shared" si="106"/>
        <v>1+0,717398365940468i</v>
      </c>
      <c r="AN103">
        <f t="shared" si="126"/>
        <v>1.2307154079859624</v>
      </c>
      <c r="AO103">
        <f t="shared" si="127"/>
        <v>0.6223075333650715</v>
      </c>
      <c r="AP103" t="str">
        <f t="shared" si="107"/>
        <v>1+0,503886947505805i</v>
      </c>
      <c r="AQ103">
        <f t="shared" si="128"/>
        <v>1.1197776814469549</v>
      </c>
      <c r="AR103">
        <f t="shared" si="129"/>
        <v>0.46675232985933263</v>
      </c>
      <c r="AS103" s="42" t="str">
        <f t="shared" si="130"/>
        <v>-32,6484937852279+47,0573094785731i</v>
      </c>
      <c r="AT103">
        <f t="shared" si="131"/>
        <v>35.159154865580859</v>
      </c>
      <c r="AU103" s="44">
        <f t="shared" si="132"/>
        <v>124.75302203494067</v>
      </c>
      <c r="AV103" s="42" t="str">
        <f t="shared" si="108"/>
        <v>1387,88994452366+1176,73384833887i</v>
      </c>
      <c r="AW103" s="20">
        <f t="shared" si="133"/>
        <v>65.199514481081863</v>
      </c>
      <c r="AX103" s="44">
        <f t="shared" si="134"/>
        <v>40.293217689372398</v>
      </c>
    </row>
    <row r="104" spans="14:50" x14ac:dyDescent="0.3">
      <c r="N104" s="8">
        <v>86</v>
      </c>
      <c r="O104" s="35">
        <f t="shared" si="109"/>
        <v>72.443596007499011</v>
      </c>
      <c r="P104" s="34" t="str">
        <f t="shared" si="99"/>
        <v>324,571428571429</v>
      </c>
      <c r="Q104" s="4" t="str">
        <f t="shared" si="100"/>
        <v>1+10,4040351550531i</v>
      </c>
      <c r="R104" s="4">
        <f t="shared" si="110"/>
        <v>10.451982946196418</v>
      </c>
      <c r="S104" s="4">
        <f t="shared" si="111"/>
        <v>1.4749741309890896</v>
      </c>
      <c r="T104" s="4" t="str">
        <f t="shared" si="101"/>
        <v>1+0,0000910353076067142i</v>
      </c>
      <c r="U104" s="4">
        <f t="shared" si="112"/>
        <v>1.0000000041437136</v>
      </c>
      <c r="V104" s="4">
        <f t="shared" si="113"/>
        <v>9.1035307355231379E-5</v>
      </c>
      <c r="W104" t="str">
        <f t="shared" si="102"/>
        <v>1-0,000790237045197172i</v>
      </c>
      <c r="X104" s="4">
        <f t="shared" si="114"/>
        <v>1.0000003122372449</v>
      </c>
      <c r="Y104" s="4">
        <f t="shared" si="115"/>
        <v>-7.9023688070291602E-4</v>
      </c>
      <c r="Z104" t="str">
        <f t="shared" si="103"/>
        <v>0,999999979007702+0,000677549242552055i</v>
      </c>
      <c r="AA104" s="4">
        <f t="shared" si="116"/>
        <v>1.0000002085441686</v>
      </c>
      <c r="AB104" s="4">
        <f t="shared" si="117"/>
        <v>6.7754915309387715E-4</v>
      </c>
      <c r="AC104" s="48" t="str">
        <f t="shared" si="118"/>
        <v>2,9285107324448-30,9151824693967i</v>
      </c>
      <c r="AD104" s="20">
        <f t="shared" si="119"/>
        <v>29.842232828222329</v>
      </c>
      <c r="AE104" s="44">
        <f t="shared" si="120"/>
        <v>-84.588674602717731</v>
      </c>
      <c r="AF104" t="str">
        <f t="shared" si="104"/>
        <v>-20791,6666666667</v>
      </c>
      <c r="AG104" t="str">
        <f t="shared" si="121"/>
        <v>455,176538033571i</v>
      </c>
      <c r="AH104">
        <f t="shared" si="122"/>
        <v>455.17653803357098</v>
      </c>
      <c r="AI104">
        <f t="shared" si="123"/>
        <v>1.5707963267948966</v>
      </c>
      <c r="AJ104" t="str">
        <f t="shared" si="105"/>
        <v>0,996135196101468+0,534021762775209i</v>
      </c>
      <c r="AK104">
        <f t="shared" si="124"/>
        <v>1.1302497830257041</v>
      </c>
      <c r="AL104">
        <f t="shared" si="125"/>
        <v>0.49210390561065914</v>
      </c>
      <c r="AM104" t="str">
        <f t="shared" si="106"/>
        <v>1+0,734108720540543i</v>
      </c>
      <c r="AN104">
        <f t="shared" si="126"/>
        <v>1.2405303759173627</v>
      </c>
      <c r="AO104">
        <f t="shared" si="127"/>
        <v>0.63325287436811151</v>
      </c>
      <c r="AP104" t="str">
        <f t="shared" si="107"/>
        <v>1+0,515623982284429i</v>
      </c>
      <c r="AQ104">
        <f t="shared" si="128"/>
        <v>1.1251080353045448</v>
      </c>
      <c r="AR104">
        <f t="shared" si="129"/>
        <v>0.47606852635656893</v>
      </c>
      <c r="AS104" s="42" t="str">
        <f t="shared" si="130"/>
        <v>-32,646856006994+45,9998438298048i</v>
      </c>
      <c r="AT104">
        <f t="shared" si="131"/>
        <v>35.026732650759172</v>
      </c>
      <c r="AU104" s="44">
        <f t="shared" si="132"/>
        <v>125.36395751166997</v>
      </c>
      <c r="AV104" s="42" t="str">
        <f t="shared" si="108"/>
        <v>1326,48689736511+1143,99454685471i</v>
      </c>
      <c r="AW104" s="20">
        <f t="shared" si="133"/>
        <v>64.868965478981522</v>
      </c>
      <c r="AX104" s="44">
        <f t="shared" si="134"/>
        <v>40.7752829089522</v>
      </c>
    </row>
    <row r="105" spans="14:50" x14ac:dyDescent="0.3">
      <c r="N105" s="8">
        <v>87</v>
      </c>
      <c r="O105" s="35">
        <f t="shared" si="109"/>
        <v>74.131024130091816</v>
      </c>
      <c r="P105" s="34" t="str">
        <f t="shared" si="99"/>
        <v>324,571428571429</v>
      </c>
      <c r="Q105" s="4" t="str">
        <f t="shared" si="100"/>
        <v>1+10,6463762656084i</v>
      </c>
      <c r="R105" s="4">
        <f t="shared" si="110"/>
        <v>10.693237469957817</v>
      </c>
      <c r="S105" s="4">
        <f t="shared" si="111"/>
        <v>1.477142431789386</v>
      </c>
      <c r="T105" s="4" t="str">
        <f t="shared" si="101"/>
        <v>1+0,0000931557923240736i</v>
      </c>
      <c r="U105" s="4">
        <f t="shared" si="112"/>
        <v>1.0000000043390007</v>
      </c>
      <c r="V105" s="4">
        <f t="shared" si="113"/>
        <v>9.3155792054604899E-5</v>
      </c>
      <c r="W105" t="str">
        <f t="shared" si="102"/>
        <v>1-0,000808644030590917i</v>
      </c>
      <c r="X105" s="4">
        <f t="shared" si="114"/>
        <v>1.0000003269525306</v>
      </c>
      <c r="Y105" s="4">
        <f t="shared" si="115"/>
        <v>-8.0864385433214924E-4</v>
      </c>
      <c r="Z105" t="str">
        <f t="shared" si="103"/>
        <v>0,999999978018365+0,000693331391828651i</v>
      </c>
      <c r="AA105" s="4">
        <f t="shared" si="116"/>
        <v>1.0000002183725507</v>
      </c>
      <c r="AB105" s="4">
        <f t="shared" si="117"/>
        <v>6.9333129597248788E-4</v>
      </c>
      <c r="AC105" s="48" t="str">
        <f t="shared" si="118"/>
        <v>2,79594245057251-30,2239177578618i</v>
      </c>
      <c r="AD105" s="20">
        <f t="shared" si="119"/>
        <v>29.644022490881188</v>
      </c>
      <c r="AE105" s="44">
        <f t="shared" si="120"/>
        <v>-84.714746484546964</v>
      </c>
      <c r="AF105" t="str">
        <f t="shared" si="104"/>
        <v>-20791,6666666667</v>
      </c>
      <c r="AG105" t="str">
        <f t="shared" si="121"/>
        <v>465,778961620368i</v>
      </c>
      <c r="AH105">
        <f t="shared" si="122"/>
        <v>465.77896162036802</v>
      </c>
      <c r="AI105">
        <f t="shared" si="123"/>
        <v>1.5707963267948966</v>
      </c>
      <c r="AJ105" t="str">
        <f t="shared" si="105"/>
        <v>0,995953053505229+0,546460727573287i</v>
      </c>
      <c r="AK105">
        <f t="shared" si="124"/>
        <v>1.1360201633625682</v>
      </c>
      <c r="AL105">
        <f t="shared" si="125"/>
        <v>0.50183014122694725</v>
      </c>
      <c r="AM105" t="str">
        <f t="shared" si="106"/>
        <v>1+0,751208309301329i</v>
      </c>
      <c r="AN105">
        <f t="shared" si="126"/>
        <v>1.2507253591269993</v>
      </c>
      <c r="AO105">
        <f t="shared" si="127"/>
        <v>0.64427397833674038</v>
      </c>
      <c r="AP105" t="str">
        <f t="shared" si="107"/>
        <v>1+0,527634407723553i</v>
      </c>
      <c r="AQ105">
        <f t="shared" si="128"/>
        <v>1.1306626677368385</v>
      </c>
      <c r="AR105">
        <f t="shared" si="129"/>
        <v>0.48550995172434075</v>
      </c>
      <c r="AS105" s="42" t="str">
        <f t="shared" si="130"/>
        <v>-32,645173375643+44,9667078610427i</v>
      </c>
      <c r="AT105">
        <f t="shared" si="131"/>
        <v>34.896368082130621</v>
      </c>
      <c r="AU105" s="44">
        <f t="shared" si="132"/>
        <v>125.97910182944518</v>
      </c>
      <c r="AV105" s="42" t="str">
        <f t="shared" si="108"/>
        <v>1267,79605418669+1112,38936266776i</v>
      </c>
      <c r="AW105" s="20">
        <f t="shared" si="133"/>
        <v>64.54039057301182</v>
      </c>
      <c r="AX105" s="44">
        <f t="shared" si="134"/>
        <v>41.264355344898384</v>
      </c>
    </row>
    <row r="106" spans="14:50" x14ac:dyDescent="0.3">
      <c r="N106" s="8">
        <v>88</v>
      </c>
      <c r="O106" s="35">
        <f t="shared" si="109"/>
        <v>75.857757502918361</v>
      </c>
      <c r="P106" s="34" t="str">
        <f t="shared" si="99"/>
        <v>324,571428571429</v>
      </c>
      <c r="Q106" s="4" t="str">
        <f t="shared" si="100"/>
        <v>1+10,8943622257812i</v>
      </c>
      <c r="R106" s="4">
        <f t="shared" si="110"/>
        <v>10.940161255965483</v>
      </c>
      <c r="S106" s="4">
        <f t="shared" si="111"/>
        <v>1.4792622298184814</v>
      </c>
      <c r="T106" s="4" t="str">
        <f t="shared" si="101"/>
        <v>1+0,0000953256694755858i</v>
      </c>
      <c r="U106" s="4">
        <f t="shared" si="112"/>
        <v>1.0000000045434916</v>
      </c>
      <c r="V106" s="4">
        <f t="shared" si="113"/>
        <v>9.532566918684488E-5</v>
      </c>
      <c r="W106" t="str">
        <f t="shared" si="102"/>
        <v>1-0,000827479769753349i</v>
      </c>
      <c r="X106" s="4">
        <f t="shared" si="114"/>
        <v>1.0000003423613262</v>
      </c>
      <c r="Y106" s="4">
        <f t="shared" si="115"/>
        <v>-8.2747958088868004E-4</v>
      </c>
      <c r="Z106" t="str">
        <f t="shared" si="103"/>
        <v>0,999999976982403+0,000709481154586521i</v>
      </c>
      <c r="AA106" s="4">
        <f t="shared" si="116"/>
        <v>1.0000002286641314</v>
      </c>
      <c r="AB106" s="4">
        <f t="shared" si="117"/>
        <v>7.0948105187479263E-4</v>
      </c>
      <c r="AC106" s="48" t="str">
        <f t="shared" si="118"/>
        <v>2,66923867235421-29,5475663765446i</v>
      </c>
      <c r="AD106" s="20">
        <f t="shared" si="119"/>
        <v>29.445732298211706</v>
      </c>
      <c r="AE106" s="44">
        <f t="shared" si="120"/>
        <v>-84.83808216072164</v>
      </c>
      <c r="AF106" t="str">
        <f t="shared" si="104"/>
        <v>-20791,6666666667</v>
      </c>
      <c r="AG106" t="str">
        <f t="shared" si="121"/>
        <v>476,628347377929i</v>
      </c>
      <c r="AH106">
        <f t="shared" si="122"/>
        <v>476.628347377929</v>
      </c>
      <c r="AI106">
        <f t="shared" si="123"/>
        <v>1.5707963267948966</v>
      </c>
      <c r="AJ106" t="str">
        <f t="shared" si="105"/>
        <v>0,995762326792891+0,559189433082386i</v>
      </c>
      <c r="AK106">
        <f t="shared" si="124"/>
        <v>1.1420312751982724</v>
      </c>
      <c r="AL106">
        <f t="shared" si="125"/>
        <v>0.51168208713747509</v>
      </c>
      <c r="AM106" t="str">
        <f t="shared" si="106"/>
        <v>1+0,768706198651123i</v>
      </c>
      <c r="AN106">
        <f t="shared" si="126"/>
        <v>1.2613124988854505</v>
      </c>
      <c r="AO106">
        <f t="shared" si="127"/>
        <v>0.65536597975559086</v>
      </c>
      <c r="AP106" t="str">
        <f t="shared" si="107"/>
        <v>1+0,539924591909718i</v>
      </c>
      <c r="AQ106">
        <f t="shared" si="128"/>
        <v>1.1364499834787607</v>
      </c>
      <c r="AR106">
        <f t="shared" si="129"/>
        <v>0.49507487815741952</v>
      </c>
      <c r="AS106" s="42" t="str">
        <f t="shared" si="130"/>
        <v>-32,6434458298449+43,9573514299838i</v>
      </c>
      <c r="AT106">
        <f t="shared" si="131"/>
        <v>34.76808928193168</v>
      </c>
      <c r="AU106" s="44">
        <f t="shared" si="132"/>
        <v>126.59818169240242</v>
      </c>
      <c r="AV106" s="42" t="str">
        <f t="shared" si="108"/>
        <v>1211,69961110662+1081,86704478766i</v>
      </c>
      <c r="AW106" s="20">
        <f t="shared" si="133"/>
        <v>64.213821580143374</v>
      </c>
      <c r="AX106" s="44">
        <f t="shared" si="134"/>
        <v>41.760099531680922</v>
      </c>
    </row>
    <row r="107" spans="14:50" x14ac:dyDescent="0.3">
      <c r="N107" s="8">
        <v>89</v>
      </c>
      <c r="O107" s="35">
        <f t="shared" si="109"/>
        <v>77.624711662869217</v>
      </c>
      <c r="P107" s="34" t="str">
        <f t="shared" si="99"/>
        <v>324,571428571429</v>
      </c>
      <c r="Q107" s="4" t="str">
        <f t="shared" si="100"/>
        <v>1+11,1481245210101i</v>
      </c>
      <c r="R107" s="4">
        <f t="shared" si="110"/>
        <v>11.192885255194332</v>
      </c>
      <c r="S107" s="4">
        <f t="shared" si="111"/>
        <v>1.4813345727760445</v>
      </c>
      <c r="T107" s="4" t="str">
        <f t="shared" si="101"/>
        <v>1+0,0000975460895588384i</v>
      </c>
      <c r="U107" s="4">
        <f t="shared" si="112"/>
        <v>1.0000000047576196</v>
      </c>
      <c r="V107" s="4">
        <f t="shared" si="113"/>
        <v>9.7546089249446935E-5</v>
      </c>
      <c r="W107" t="str">
        <f t="shared" si="102"/>
        <v>1-0,000846754249642694i</v>
      </c>
      <c r="X107" s="4">
        <f t="shared" si="114"/>
        <v>1.0000003584963155</v>
      </c>
      <c r="Y107" s="4">
        <f t="shared" si="115"/>
        <v>-8.4675404727055912E-4</v>
      </c>
      <c r="Z107" t="str">
        <f t="shared" si="103"/>
        <v>0,999999975897617+0,000726007093643646i</v>
      </c>
      <c r="AA107" s="4">
        <f t="shared" si="116"/>
        <v>1.0000002394407386</v>
      </c>
      <c r="AB107" s="4">
        <f t="shared" si="117"/>
        <v>7.2600698358604764E-4</v>
      </c>
      <c r="AC107" s="48" t="str">
        <f t="shared" si="118"/>
        <v>2,54814432105085-28,8858426952403i</v>
      </c>
      <c r="AD107" s="20">
        <f t="shared" si="119"/>
        <v>29.247365784384698</v>
      </c>
      <c r="AE107" s="44">
        <f t="shared" si="120"/>
        <v>-84.958742656910999</v>
      </c>
      <c r="AF107" t="str">
        <f t="shared" si="104"/>
        <v>-20791,6666666667</v>
      </c>
      <c r="AG107" t="str">
        <f t="shared" si="121"/>
        <v>487,730447794192i</v>
      </c>
      <c r="AH107">
        <f t="shared" si="122"/>
        <v>487.730447794192</v>
      </c>
      <c r="AI107">
        <f t="shared" si="123"/>
        <v>1.5707963267948966</v>
      </c>
      <c r="AJ107" t="str">
        <f t="shared" si="105"/>
        <v>0,995562611407526+0,572214628230654i</v>
      </c>
      <c r="AK107">
        <f t="shared" si="124"/>
        <v>1.1482919898674373</v>
      </c>
      <c r="AL107">
        <f t="shared" si="125"/>
        <v>0.52165771647896397</v>
      </c>
      <c r="AM107" t="str">
        <f t="shared" si="106"/>
        <v>1+0,786611666202472i</v>
      </c>
      <c r="AN107">
        <f t="shared" si="126"/>
        <v>1.2723041748755795</v>
      </c>
      <c r="AO107">
        <f t="shared" si="127"/>
        <v>0.66652384278312415</v>
      </c>
      <c r="AP107" t="str">
        <f t="shared" si="107"/>
        <v>1+0,552501051261261i</v>
      </c>
      <c r="AQ107">
        <f t="shared" si="128"/>
        <v>1.1424786263404663</v>
      </c>
      <c r="AR107">
        <f t="shared" si="129"/>
        <v>0.50476137569424573</v>
      </c>
      <c r="AS107" s="42" t="str">
        <f t="shared" si="130"/>
        <v>-32,6416733951212+42,9712369816072i</v>
      </c>
      <c r="AT107">
        <f t="shared" si="131"/>
        <v>34.641922728992583</v>
      </c>
      <c r="AU107" s="44">
        <f t="shared" si="132"/>
        <v>127.22091412013518</v>
      </c>
      <c r="AV107" s="42" t="str">
        <f t="shared" si="108"/>
        <v>1158,08469717922+1052,37915648409i</v>
      </c>
      <c r="AW107" s="20">
        <f t="shared" si="133"/>
        <v>63.889288513377252</v>
      </c>
      <c r="AX107" s="44">
        <f t="shared" si="134"/>
        <v>42.262171463224163</v>
      </c>
    </row>
    <row r="108" spans="14:50" x14ac:dyDescent="0.3">
      <c r="N108" s="8">
        <v>90</v>
      </c>
      <c r="O108" s="35">
        <f t="shared" si="109"/>
        <v>79.432823472428197</v>
      </c>
      <c r="P108" s="34" t="str">
        <f t="shared" si="99"/>
        <v>324,571428571429</v>
      </c>
      <c r="Q108" s="4" t="str">
        <f t="shared" si="100"/>
        <v>1+11,4077976994229i</v>
      </c>
      <c r="R108" s="4">
        <f t="shared" si="110"/>
        <v>11.451543492078192</v>
      </c>
      <c r="S108" s="4">
        <f t="shared" si="111"/>
        <v>1.4833604882072069</v>
      </c>
      <c r="T108" s="4" t="str">
        <f t="shared" si="101"/>
        <v>1+0,0000998182298699502i</v>
      </c>
      <c r="U108" s="4">
        <f t="shared" si="112"/>
        <v>1.0000000049818394</v>
      </c>
      <c r="V108" s="4">
        <f t="shared" si="113"/>
        <v>9.9818229538431257E-5</v>
      </c>
      <c r="W108" t="str">
        <f t="shared" si="102"/>
        <v>1-0,000866477689843318i</v>
      </c>
      <c r="X108" s="4">
        <f t="shared" si="114"/>
        <v>1.000000375391723</v>
      </c>
      <c r="Y108" s="4">
        <f t="shared" si="115"/>
        <v>-8.6647747299767308E-4</v>
      </c>
      <c r="Z108" t="str">
        <f t="shared" si="103"/>
        <v>0,999999974761706+0,00074291797127166i</v>
      </c>
      <c r="AA108" s="4">
        <f t="shared" si="116"/>
        <v>1.000000250725231</v>
      </c>
      <c r="AB108" s="4">
        <f t="shared" si="117"/>
        <v>7.4291785334282083E-4</v>
      </c>
      <c r="AC108" s="48" t="str">
        <f t="shared" si="118"/>
        <v>2,43241503391161-28,2384641001786i</v>
      </c>
      <c r="AD108" s="20">
        <f t="shared" si="119"/>
        <v>29.048926329741633</v>
      </c>
      <c r="AE108" s="44">
        <f t="shared" si="120"/>
        <v>-85.076787867234628</v>
      </c>
      <c r="AF108" t="str">
        <f t="shared" si="104"/>
        <v>-20791,6666666667</v>
      </c>
      <c r="AG108" t="str">
        <f t="shared" si="121"/>
        <v>499,091149349751i</v>
      </c>
      <c r="AH108">
        <f t="shared" si="122"/>
        <v>499.09114934975099</v>
      </c>
      <c r="AI108">
        <f t="shared" si="123"/>
        <v>1.5707963267948966</v>
      </c>
      <c r="AJ108" t="str">
        <f t="shared" si="105"/>
        <v>0,995353483726025+0,585543219148965i</v>
      </c>
      <c r="AK108">
        <f t="shared" si="124"/>
        <v>1.154811421426402</v>
      </c>
      <c r="AL108">
        <f t="shared" si="125"/>
        <v>0.5317547958638229</v>
      </c>
      <c r="AM108" t="str">
        <f t="shared" si="106"/>
        <v>1+0,804934205671278i</v>
      </c>
      <c r="AN108">
        <f t="shared" si="126"/>
        <v>1.2837130035407647</v>
      </c>
      <c r="AO108">
        <f t="shared" si="127"/>
        <v>0.6777423709559981</v>
      </c>
      <c r="AP108" t="str">
        <f t="shared" si="107"/>
        <v>1+0,565370453983398i</v>
      </c>
      <c r="AQ108">
        <f t="shared" si="128"/>
        <v>1.14875748103653</v>
      </c>
      <c r="AR108">
        <f t="shared" si="129"/>
        <v>0.51456730854360522</v>
      </c>
      <c r="AS108" s="42" t="str">
        <f t="shared" si="130"/>
        <v>-32,6398561875421+42,0078392695996i</v>
      </c>
      <c r="AT108">
        <f t="shared" si="131"/>
        <v>34.517893162903889</v>
      </c>
      <c r="AU108" s="44">
        <f t="shared" si="132"/>
        <v>127.84700696908546</v>
      </c>
      <c r="AV108" s="42" t="str">
        <f t="shared" si="108"/>
        <v>1106,84318424537+1023,87990696842i</v>
      </c>
      <c r="AW108" s="20">
        <f t="shared" si="133"/>
        <v>63.566819492645536</v>
      </c>
      <c r="AX108" s="44">
        <f t="shared" si="134"/>
        <v>42.770219101850962</v>
      </c>
    </row>
    <row r="109" spans="14:50" x14ac:dyDescent="0.3">
      <c r="N109" s="8">
        <v>91</v>
      </c>
      <c r="O109" s="35">
        <f t="shared" si="109"/>
        <v>81.283051616409963</v>
      </c>
      <c r="P109" s="34" t="str">
        <f t="shared" si="99"/>
        <v>324,571428571429</v>
      </c>
      <c r="Q109" s="4" t="str">
        <f t="shared" si="100"/>
        <v>1+11,6735194431759i</v>
      </c>
      <c r="R109" s="4">
        <f t="shared" si="110"/>
        <v>11.716273135694889</v>
      </c>
      <c r="S109" s="4">
        <f t="shared" si="111"/>
        <v>1.4853409837220377</v>
      </c>
      <c r="T109" s="4" t="str">
        <f t="shared" si="101"/>
        <v>1+0,000102143295127789i</v>
      </c>
      <c r="U109" s="4">
        <f t="shared" si="112"/>
        <v>1.0000000052166262</v>
      </c>
      <c r="V109" s="4">
        <f t="shared" si="113"/>
        <v>1.0214329477256007E-4</v>
      </c>
      <c r="W109" t="str">
        <f t="shared" si="102"/>
        <v>1-0,000886660547984283i</v>
      </c>
      <c r="X109" s="4">
        <f t="shared" si="114"/>
        <v>1.0000003930833865</v>
      </c>
      <c r="Y109" s="4">
        <f t="shared" si="115"/>
        <v>-8.8666031562999311E-4</v>
      </c>
      <c r="Z109" t="str">
        <f t="shared" si="103"/>
        <v>0,999999973572262+0,000760222753841723i</v>
      </c>
      <c r="AA109" s="4">
        <f t="shared" si="116"/>
        <v>1.0000002625415456</v>
      </c>
      <c r="AB109" s="4">
        <f t="shared" si="117"/>
        <v>7.6022262747869689E-4</v>
      </c>
      <c r="AC109" s="48" t="str">
        <f t="shared" si="118"/>
        <v>2,32181674560668-27,6051511464287i</v>
      </c>
      <c r="AD109" s="20">
        <f t="shared" si="119"/>
        <v>28.850417167266109</v>
      </c>
      <c r="AE109" s="44">
        <f t="shared" si="120"/>
        <v>-85.19227656737884</v>
      </c>
      <c r="AF109" t="str">
        <f t="shared" si="104"/>
        <v>-20791,6666666667</v>
      </c>
      <c r="AG109" t="str">
        <f t="shared" si="121"/>
        <v>510,716475638947i</v>
      </c>
      <c r="AH109">
        <f t="shared" si="122"/>
        <v>510.71647563894697</v>
      </c>
      <c r="AI109">
        <f t="shared" si="123"/>
        <v>1.5707963267948966</v>
      </c>
      <c r="AJ109" t="str">
        <f t="shared" si="105"/>
        <v>0,995134500160537+0,59918227283265i</v>
      </c>
      <c r="AK109">
        <f t="shared" si="124"/>
        <v>1.161598927981023</v>
      </c>
      <c r="AL109">
        <f t="shared" si="125"/>
        <v>0.54197088296708529</v>
      </c>
      <c r="AM109" t="str">
        <f t="shared" si="106"/>
        <v>1+0,823683531910493i</v>
      </c>
      <c r="AN109">
        <f t="shared" si="126"/>
        <v>1.2955518363772807</v>
      </c>
      <c r="AO109">
        <f t="shared" si="127"/>
        <v>0.68901621781000189</v>
      </c>
      <c r="AP109" t="str">
        <f t="shared" si="107"/>
        <v>1+0,578539623603799i</v>
      </c>
      <c r="AQ109">
        <f t="shared" si="128"/>
        <v>1.1552956747428882</v>
      </c>
      <c r="AR109">
        <f t="shared" si="129"/>
        <v>0.52449033201606265</v>
      </c>
      <c r="AS109" s="42" t="str">
        <f t="shared" si="130"/>
        <v>-32,6379944170813+41,0666450847886i</v>
      </c>
      <c r="AT109">
        <f t="shared" si="131"/>
        <v>34.396023493091135</v>
      </c>
      <c r="AU109" s="44">
        <f t="shared" si="132"/>
        <v>128.47615950352281</v>
      </c>
      <c r="AV109" s="42" t="str">
        <f t="shared" si="108"/>
        <v>1057,87150266174+996,325993243574i</v>
      </c>
      <c r="AW109" s="20">
        <f t="shared" si="133"/>
        <v>63.246440660357266</v>
      </c>
      <c r="AX109" s="44">
        <f t="shared" si="134"/>
        <v>43.283882936143861</v>
      </c>
    </row>
    <row r="110" spans="14:50" x14ac:dyDescent="0.3">
      <c r="N110" s="8">
        <v>92</v>
      </c>
      <c r="O110" s="35">
        <f t="shared" si="109"/>
        <v>83.176377110267126</v>
      </c>
      <c r="P110" s="34" t="str">
        <f t="shared" si="99"/>
        <v>324,571428571429</v>
      </c>
      <c r="Q110" s="4" t="str">
        <f t="shared" si="100"/>
        <v>1+11,9454306414551i</v>
      </c>
      <c r="R110" s="4">
        <f t="shared" si="110"/>
        <v>11.987214572610871</v>
      </c>
      <c r="S110" s="4">
        <f t="shared" si="111"/>
        <v>1.4872770472252224</v>
      </c>
      <c r="T110" s="4" t="str">
        <f t="shared" si="101"/>
        <v>1+0,000104522518112732i</v>
      </c>
      <c r="U110" s="4">
        <f t="shared" si="112"/>
        <v>1.0000000054624782</v>
      </c>
      <c r="V110" s="4">
        <f t="shared" si="113"/>
        <v>1.0452251773209733E-4</v>
      </c>
      <c r="W110" t="str">
        <f t="shared" si="102"/>
        <v>1-0,00090731352528413i</v>
      </c>
      <c r="X110" s="4">
        <f t="shared" si="114"/>
        <v>1.0000004116088319</v>
      </c>
      <c r="Y110" s="4">
        <f t="shared" si="115"/>
        <v>-9.0731327631202814E-4</v>
      </c>
      <c r="Z110" t="str">
        <f t="shared" si="103"/>
        <v>0,999999972326761+0,000777930616578613i</v>
      </c>
      <c r="AA110" s="4">
        <f t="shared" si="116"/>
        <v>1.0000002749147456</v>
      </c>
      <c r="AB110" s="4">
        <f t="shared" si="117"/>
        <v>7.7793048117819302E-4</v>
      </c>
      <c r="AC110" s="48" t="str">
        <f t="shared" si="118"/>
        <v>2,2161252848602-26,9856276933074i</v>
      </c>
      <c r="AD110" s="20">
        <f t="shared" si="119"/>
        <v>28.651841388803561</v>
      </c>
      <c r="AE110" s="44">
        <f t="shared" si="120"/>
        <v>-85.305266428309281</v>
      </c>
      <c r="AF110" t="str">
        <f t="shared" si="104"/>
        <v>-20791,6666666667</v>
      </c>
      <c r="AG110" t="str">
        <f t="shared" si="121"/>
        <v>522,612590563659i</v>
      </c>
      <c r="AH110">
        <f t="shared" si="122"/>
        <v>522.61259056365896</v>
      </c>
      <c r="AI110">
        <f t="shared" si="123"/>
        <v>1.5707963267948966</v>
      </c>
      <c r="AJ110" t="str">
        <f t="shared" si="105"/>
        <v>0,994905196217562+0,613139020888505i</v>
      </c>
      <c r="AK110">
        <f t="shared" si="124"/>
        <v>1.1686641127359136</v>
      </c>
      <c r="AL110">
        <f t="shared" si="125"/>
        <v>0.55230332482203193</v>
      </c>
      <c r="AM110" t="str">
        <f t="shared" si="106"/>
        <v>1+0,842869586061069i</v>
      </c>
      <c r="AN110">
        <f t="shared" si="126"/>
        <v>1.3078337582073487</v>
      </c>
      <c r="AO110">
        <f t="shared" si="127"/>
        <v>0.7003398983751552</v>
      </c>
      <c r="AP110" t="str">
        <f t="shared" si="107"/>
        <v>1+0,592015542590513i</v>
      </c>
      <c r="AQ110">
        <f t="shared" si="128"/>
        <v>1.1621025783762549</v>
      </c>
      <c r="AR110">
        <f t="shared" si="129"/>
        <v>0.53452789011435475</v>
      </c>
      <c r="AS110" s="42" t="str">
        <f t="shared" si="130"/>
        <v>-32,6360883905687+40,1471529904209i</v>
      </c>
      <c r="AT110">
        <f t="shared" si="131"/>
        <v>34.276334713491956</v>
      </c>
      <c r="AU110" s="44">
        <f t="shared" si="132"/>
        <v>129.10806301375712</v>
      </c>
      <c r="AV110" s="42" t="str">
        <f t="shared" si="108"/>
        <v>1011,07046286448+969,676451530981i</v>
      </c>
      <c r="AW110" s="20">
        <f t="shared" si="133"/>
        <v>62.928176102295517</v>
      </c>
      <c r="AX110" s="44">
        <f t="shared" si="134"/>
        <v>43.802796585447794</v>
      </c>
    </row>
    <row r="111" spans="14:50" x14ac:dyDescent="0.3">
      <c r="N111" s="8">
        <v>93</v>
      </c>
      <c r="O111" s="35">
        <f t="shared" si="109"/>
        <v>85.113803820237734</v>
      </c>
      <c r="P111" s="34" t="str">
        <f t="shared" si="99"/>
        <v>324,571428571429</v>
      </c>
      <c r="Q111" s="4" t="str">
        <f t="shared" si="100"/>
        <v>1+12,2236754651768i</v>
      </c>
      <c r="R111" s="4">
        <f t="shared" si="110"/>
        <v>12.264511481423353</v>
      </c>
      <c r="S111" s="4">
        <f t="shared" si="111"/>
        <v>1.4891696471547677</v>
      </c>
      <c r="T111" s="4" t="str">
        <f t="shared" si="101"/>
        <v>1+0,000106957160320297i</v>
      </c>
      <c r="U111" s="4">
        <f t="shared" si="112"/>
        <v>1.000000005719917</v>
      </c>
      <c r="V111" s="4">
        <f t="shared" si="113"/>
        <v>1.0695715991243961E-4</v>
      </c>
      <c r="W111" t="str">
        <f t="shared" si="102"/>
        <v>1-0,000928447572224799i</v>
      </c>
      <c r="X111" s="4">
        <f t="shared" si="114"/>
        <v>1.0000004310073543</v>
      </c>
      <c r="Y111" s="4">
        <f t="shared" si="115"/>
        <v>-9.284473054463917E-4</v>
      </c>
      <c r="Z111" t="str">
        <f t="shared" si="103"/>
        <v>0,999999971022562+0,000796050948425542i</v>
      </c>
      <c r="AA111" s="4">
        <f t="shared" si="116"/>
        <v>1.0000002878710772</v>
      </c>
      <c r="AB111" s="4">
        <f t="shared" si="117"/>
        <v>7.9605080334137972E-4</v>
      </c>
      <c r="AC111" s="48" t="str">
        <f t="shared" si="118"/>
        <v>2,11512598414846-26,3796210239515i</v>
      </c>
      <c r="AD111" s="20">
        <f t="shared" si="119"/>
        <v>28.45320195103713</v>
      </c>
      <c r="AE111" s="44">
        <f t="shared" si="120"/>
        <v>-85.415814030514298</v>
      </c>
      <c r="AF111" t="str">
        <f t="shared" si="104"/>
        <v>-20791,6666666667</v>
      </c>
      <c r="AG111" t="str">
        <f t="shared" si="121"/>
        <v>534,785801601484i</v>
      </c>
      <c r="AH111">
        <f t="shared" si="122"/>
        <v>534.78580160148397</v>
      </c>
      <c r="AI111">
        <f t="shared" si="123"/>
        <v>1.5707963267948966</v>
      </c>
      <c r="AJ111" t="str">
        <f t="shared" si="105"/>
        <v>0,994665085512691+0,627420863369091i</v>
      </c>
      <c r="AK111">
        <f t="shared" si="124"/>
        <v>1.1760168247643332</v>
      </c>
      <c r="AL111">
        <f t="shared" si="125"/>
        <v>0.56274925687509991</v>
      </c>
      <c r="AM111" t="str">
        <f t="shared" si="106"/>
        <v>1+0,862502540822873i</v>
      </c>
      <c r="AN111">
        <f t="shared" si="126"/>
        <v>1.3205720854712595</v>
      </c>
      <c r="AO111">
        <f t="shared" si="127"/>
        <v>0.71170780149343837</v>
      </c>
      <c r="AP111" t="str">
        <f t="shared" si="107"/>
        <v>1+0,605805356054161i</v>
      </c>
      <c r="AQ111">
        <f t="shared" si="128"/>
        <v>1.169187807592907</v>
      </c>
      <c r="AR111">
        <f t="shared" si="129"/>
        <v>0.54467721383537349</v>
      </c>
      <c r="AS111" s="42" t="str">
        <f t="shared" si="130"/>
        <v>-32,6341385141878+39,2488730641175i</v>
      </c>
      <c r="AT111">
        <f t="shared" si="131"/>
        <v>34.158845823500272</v>
      </c>
      <c r="AU111" s="44">
        <f t="shared" si="132"/>
        <v>129.74240147875346</v>
      </c>
      <c r="AV111" s="42" t="str">
        <f t="shared" si="108"/>
        <v>966,345082706939+943,892517713874i</v>
      </c>
      <c r="AW111" s="20">
        <f t="shared" si="133"/>
        <v>62.612047774537409</v>
      </c>
      <c r="AX111" s="44">
        <f t="shared" si="134"/>
        <v>44.326587448239209</v>
      </c>
    </row>
    <row r="112" spans="14:50" x14ac:dyDescent="0.3">
      <c r="N112" s="8">
        <v>94</v>
      </c>
      <c r="O112" s="35">
        <f t="shared" si="109"/>
        <v>87.096358995608071</v>
      </c>
      <c r="P112" s="34" t="str">
        <f t="shared" si="99"/>
        <v>324,571428571429</v>
      </c>
      <c r="Q112" s="4" t="str">
        <f t="shared" si="100"/>
        <v>1+12,5084014434296i</v>
      </c>
      <c r="R112" s="4">
        <f t="shared" si="110"/>
        <v>12.548310909042367</v>
      </c>
      <c r="S112" s="4">
        <f t="shared" si="111"/>
        <v>1.4910197327286716</v>
      </c>
      <c r="T112" s="4" t="str">
        <f t="shared" si="101"/>
        <v>1+0,000109448512630009i</v>
      </c>
      <c r="U112" s="4">
        <f t="shared" si="112"/>
        <v>1.0000000059894885</v>
      </c>
      <c r="V112" s="4">
        <f t="shared" si="113"/>
        <v>1.0944851219298193E-4</v>
      </c>
      <c r="W112" t="str">
        <f t="shared" si="102"/>
        <v>1-0,000950073894357713i</v>
      </c>
      <c r="X112" s="4">
        <f t="shared" si="114"/>
        <v>1.0000004513201004</v>
      </c>
      <c r="Y112" s="4">
        <f t="shared" si="115"/>
        <v>-9.5007360849950627E-4</v>
      </c>
      <c r="Z112" t="str">
        <f t="shared" si="103"/>
        <v>0,999999969656897+0,000814593357022303i</v>
      </c>
      <c r="AA112" s="4">
        <f t="shared" si="116"/>
        <v>1.0000003014380205</v>
      </c>
      <c r="AB112" s="4">
        <f t="shared" si="117"/>
        <v>8.1459320156182524E-4</v>
      </c>
      <c r="AC112" s="48" t="str">
        <f t="shared" si="118"/>
        <v>2,01861330229744-25,7868619501446i</v>
      </c>
      <c r="AD112" s="20">
        <f t="shared" si="119"/>
        <v>28.254501681225719</v>
      </c>
      <c r="AE112" s="44">
        <f t="shared" si="120"/>
        <v>-85.523974878717596</v>
      </c>
      <c r="AF112" t="str">
        <f t="shared" si="104"/>
        <v>-20791,6666666667</v>
      </c>
      <c r="AG112" t="str">
        <f t="shared" si="121"/>
        <v>547,242563150043i</v>
      </c>
      <c r="AH112">
        <f t="shared" si="122"/>
        <v>547.242563150043</v>
      </c>
      <c r="AI112">
        <f t="shared" si="123"/>
        <v>1.5707963267948966</v>
      </c>
      <c r="AJ112" t="str">
        <f t="shared" si="105"/>
        <v>0,994413658738929+0,642035372696331i</v>
      </c>
      <c r="AK112">
        <f t="shared" si="124"/>
        <v>1.1836671595004482</v>
      </c>
      <c r="AL112">
        <f t="shared" si="125"/>
        <v>0.57330560284765808</v>
      </c>
      <c r="AM112" t="str">
        <f t="shared" si="106"/>
        <v>1+0,882592805848389i</v>
      </c>
      <c r="AN112">
        <f t="shared" si="126"/>
        <v>1.3337803645785657</v>
      </c>
      <c r="AO112">
        <f t="shared" si="127"/>
        <v>0.72311420289882256</v>
      </c>
      <c r="AP112" t="str">
        <f t="shared" si="107"/>
        <v>1+0,619916375536369i</v>
      </c>
      <c r="AQ112">
        <f t="shared" si="128"/>
        <v>1.1765612235060905</v>
      </c>
      <c r="AR112">
        <f t="shared" si="129"/>
        <v>0.55493532023408909</v>
      </c>
      <c r="AS112" s="42" t="str">
        <f t="shared" si="130"/>
        <v>-32,6321452954672+38,3713266463378i</v>
      </c>
      <c r="AT112">
        <f t="shared" si="131"/>
        <v>34.043573755803706</v>
      </c>
      <c r="AU112" s="44">
        <f t="shared" si="132"/>
        <v>130.3788522698492</v>
      </c>
      <c r="AV112" s="42" t="str">
        <f t="shared" si="108"/>
        <v>923,604420497085+918,937496266371i</v>
      </c>
      <c r="AW112" s="20">
        <f t="shared" si="133"/>
        <v>62.298075437029432</v>
      </c>
      <c r="AX112" s="44">
        <f t="shared" si="134"/>
        <v>44.854877391131616</v>
      </c>
    </row>
    <row r="113" spans="14:50" x14ac:dyDescent="0.3">
      <c r="N113" s="8">
        <v>95</v>
      </c>
      <c r="O113" s="35">
        <f t="shared" si="109"/>
        <v>89.125093813374562</v>
      </c>
      <c r="P113" s="34" t="str">
        <f t="shared" si="99"/>
        <v>324,571428571429</v>
      </c>
      <c r="Q113" s="4" t="str">
        <f t="shared" si="100"/>
        <v>1+12,7997595416959i</v>
      </c>
      <c r="R113" s="4">
        <f t="shared" si="110"/>
        <v>12.838763348751126</v>
      </c>
      <c r="S113" s="4">
        <f t="shared" si="111"/>
        <v>1.4928282341985279</v>
      </c>
      <c r="T113" s="4" t="str">
        <f t="shared" si="101"/>
        <v>1+0,000111997895989839i</v>
      </c>
      <c r="U113" s="4">
        <f t="shared" si="112"/>
        <v>1.0000000062717642</v>
      </c>
      <c r="V113" s="4">
        <f t="shared" si="113"/>
        <v>1.1199789552155606E-4</v>
      </c>
      <c r="W113" t="str">
        <f t="shared" si="102"/>
        <v>1-0,000972203958245134i</v>
      </c>
      <c r="X113" s="4">
        <f t="shared" si="114"/>
        <v>1.0000004725901566</v>
      </c>
      <c r="Y113" s="4">
        <f t="shared" si="115"/>
        <v>-9.7220365194255478E-4</v>
      </c>
      <c r="Z113" t="str">
        <f t="shared" si="103"/>
        <v>0,999999968226871+0,000833567673799377i</v>
      </c>
      <c r="AA113" s="4">
        <f t="shared" si="116"/>
        <v>1.0000003156443551</v>
      </c>
      <c r="AB113" s="4">
        <f t="shared" si="117"/>
        <v>8.3356750722047635E-4</v>
      </c>
      <c r="AC113" s="48" t="str">
        <f t="shared" si="118"/>
        <v>1,92639045978892-25,2070849034401i</v>
      </c>
      <c r="AD113" s="20">
        <f t="shared" si="119"/>
        <v>28.055743282714513</v>
      </c>
      <c r="AE113" s="44">
        <f t="shared" si="120"/>
        <v>-85.629803417001639</v>
      </c>
      <c r="AF113" t="str">
        <f t="shared" si="104"/>
        <v>-20791,6666666667</v>
      </c>
      <c r="AG113" t="str">
        <f t="shared" si="121"/>
        <v>559,989479949197i</v>
      </c>
      <c r="AH113">
        <f t="shared" si="122"/>
        <v>559.98947994919695</v>
      </c>
      <c r="AI113">
        <f t="shared" si="123"/>
        <v>1.5707963267948966</v>
      </c>
      <c r="AJ113" t="str">
        <f t="shared" si="105"/>
        <v>0,994150382586377+0,656990297676517i</v>
      </c>
      <c r="AK113">
        <f t="shared" si="124"/>
        <v>1.1916254589583581</v>
      </c>
      <c r="AL113">
        <f t="shared" si="125"/>
        <v>0.58396907544858834</v>
      </c>
      <c r="AM113" t="str">
        <f t="shared" si="106"/>
        <v>1+0,903151033262064i</v>
      </c>
      <c r="AN113">
        <f t="shared" si="126"/>
        <v>1.3474723703595313</v>
      </c>
      <c r="AO113">
        <f t="shared" si="127"/>
        <v>0.73455327899088896</v>
      </c>
      <c r="AP113" t="str">
        <f t="shared" si="107"/>
        <v>1+0,63435608288645i</v>
      </c>
      <c r="AQ113">
        <f t="shared" si="128"/>
        <v>1.1842329331238177</v>
      </c>
      <c r="AR113">
        <f t="shared" si="129"/>
        <v>0.56529901229673341</v>
      </c>
      <c r="AS113" s="42" t="str">
        <f t="shared" si="130"/>
        <v>-32,63010934471+37,5140460951776i</v>
      </c>
      <c r="AT113">
        <f t="shared" si="131"/>
        <v>33.930533311691853</v>
      </c>
      <c r="AU113" s="44">
        <f t="shared" si="132"/>
        <v>131.01708689182954</v>
      </c>
      <c r="AV113" s="42" t="str">
        <f t="shared" si="108"/>
        <v>882,761413649189+894,776637166471i</v>
      </c>
      <c r="AW113" s="20">
        <f t="shared" si="133"/>
        <v>61.986276594406363</v>
      </c>
      <c r="AX113" s="44">
        <f t="shared" si="134"/>
        <v>45.387283474827903</v>
      </c>
    </row>
    <row r="114" spans="14:50" x14ac:dyDescent="0.3">
      <c r="N114" s="8">
        <v>96</v>
      </c>
      <c r="O114" s="35">
        <f t="shared" si="109"/>
        <v>91.201083935590972</v>
      </c>
      <c r="P114" s="34" t="str">
        <f t="shared" si="99"/>
        <v>324,571428571429</v>
      </c>
      <c r="Q114" s="4" t="str">
        <f t="shared" si="100"/>
        <v>1+13,0979042418962i</v>
      </c>
      <c r="R114" s="4">
        <f t="shared" si="110"/>
        <v>13.136022820088373</v>
      </c>
      <c r="S114" s="4">
        <f t="shared" si="111"/>
        <v>1.4945960631091428</v>
      </c>
      <c r="T114" s="4" t="str">
        <f t="shared" si="101"/>
        <v>1+0,000114606662116591i</v>
      </c>
      <c r="U114" s="4">
        <f t="shared" si="112"/>
        <v>1.0000000065673433</v>
      </c>
      <c r="V114" s="4">
        <f t="shared" si="113"/>
        <v>1.1460666161481679E-4</v>
      </c>
      <c r="W114" t="str">
        <f t="shared" si="102"/>
        <v>1-0,000994849497539856i</v>
      </c>
      <c r="X114" s="4">
        <f t="shared" si="114"/>
        <v>1.0000004948626389</v>
      </c>
      <c r="Y114" s="4">
        <f t="shared" si="115"/>
        <v>-9.9484916933073792E-4</v>
      </c>
      <c r="Z114" t="str">
        <f t="shared" si="103"/>
        <v>0,999999966729449+0,000852983959190672i</v>
      </c>
      <c r="AA114" s="4">
        <f t="shared" si="116"/>
        <v>1.0000003305202121</v>
      </c>
      <c r="AB114" s="4">
        <f t="shared" si="117"/>
        <v>8.5298378069816765E-4</v>
      </c>
      <c r="AC114" s="48" t="str">
        <f t="shared" si="118"/>
        <v>1,83826908655964-24,6400280135507i</v>
      </c>
      <c r="AD114" s="20">
        <f t="shared" si="119"/>
        <v>27.856929340224092</v>
      </c>
      <c r="AE114" s="44">
        <f t="shared" si="120"/>
        <v>-85.733353044289572</v>
      </c>
      <c r="AF114" t="str">
        <f t="shared" si="104"/>
        <v>-20791,6666666667</v>
      </c>
      <c r="AG114" t="str">
        <f t="shared" si="121"/>
        <v>573,033310582957i</v>
      </c>
      <c r="AH114">
        <f t="shared" si="122"/>
        <v>573.03331058295703</v>
      </c>
      <c r="AI114">
        <f t="shared" si="123"/>
        <v>1.5707963267948966</v>
      </c>
      <c r="AJ114" t="str">
        <f t="shared" si="105"/>
        <v>0,99387469861102+0,672293567608827i</v>
      </c>
      <c r="AK114">
        <f t="shared" si="124"/>
        <v>1.1999023116851428</v>
      </c>
      <c r="AL114">
        <f t="shared" si="125"/>
        <v>0.5947361779770699</v>
      </c>
      <c r="AM114" t="str">
        <f t="shared" si="106"/>
        <v>1+0,924188123308192i</v>
      </c>
      <c r="AN114">
        <f t="shared" si="126"/>
        <v>1.3616621046588311</v>
      </c>
      <c r="AO114">
        <f t="shared" si="127"/>
        <v>0.74601912122553538</v>
      </c>
      <c r="AP114" t="str">
        <f t="shared" si="107"/>
        <v>1+0,649132134228374i</v>
      </c>
      <c r="AQ114">
        <f t="shared" si="128"/>
        <v>1.1922132895115218</v>
      </c>
      <c r="AR114">
        <f t="shared" si="129"/>
        <v>0.57576487966678325</v>
      </c>
      <c r="AS114" s="42" t="str">
        <f t="shared" si="130"/>
        <v>-32,6280313758139+36,6765745473249i</v>
      </c>
      <c r="AT114">
        <f t="shared" si="131"/>
        <v>33.819737104358374</v>
      </c>
      <c r="AU114" s="44">
        <f t="shared" si="132"/>
        <v>131.65677175721854</v>
      </c>
      <c r="AV114" s="42" t="str">
        <f t="shared" si="108"/>
        <v>843,732722853709+871,377020318313i</v>
      </c>
      <c r="AW114" s="20">
        <f t="shared" si="133"/>
        <v>61.676666444582466</v>
      </c>
      <c r="AX114" s="44">
        <f t="shared" si="134"/>
        <v>45.923418712928978</v>
      </c>
    </row>
    <row r="115" spans="14:50" x14ac:dyDescent="0.3">
      <c r="N115" s="8">
        <v>97</v>
      </c>
      <c r="O115" s="35">
        <f t="shared" si="109"/>
        <v>93.325430079699174</v>
      </c>
      <c r="P115" s="34" t="str">
        <f t="shared" si="99"/>
        <v>324,571428571429</v>
      </c>
      <c r="Q115" s="4" t="str">
        <f t="shared" si="100"/>
        <v>1+13,4029936242967i</v>
      </c>
      <c r="R115" s="4">
        <f t="shared" si="110"/>
        <v>13.440246950593504</v>
      </c>
      <c r="S115" s="4">
        <f t="shared" si="111"/>
        <v>1.4963241125632818</v>
      </c>
      <c r="T115" s="4" t="str">
        <f t="shared" si="101"/>
        <v>1+0,000117276194212596i</v>
      </c>
      <c r="U115" s="4">
        <f t="shared" si="112"/>
        <v>1.0000000068768529</v>
      </c>
      <c r="V115" s="4">
        <f t="shared" si="113"/>
        <v>1.1727619367493525E-4</v>
      </c>
      <c r="W115" t="str">
        <f t="shared" si="102"/>
        <v>1-0,00101802251920657i</v>
      </c>
      <c r="X115" s="4">
        <f t="shared" si="114"/>
        <v>1.0000005181847906</v>
      </c>
      <c r="Y115" s="4">
        <f t="shared" si="115"/>
        <v>-1.0180221675241737E-3</v>
      </c>
      <c r="Z115" t="str">
        <f t="shared" si="103"/>
        <v>0,999999965161456+0,000872852507967709i</v>
      </c>
      <c r="AA115" s="4">
        <f t="shared" si="116"/>
        <v>1.0000003460971469</v>
      </c>
      <c r="AB115" s="4">
        <f t="shared" si="117"/>
        <v>8.728523167095488E-4</v>
      </c>
      <c r="AC115" s="48" t="str">
        <f t="shared" si="118"/>
        <v>1,75406888206007-24,0854331749256i</v>
      </c>
      <c r="AD115" s="20">
        <f t="shared" si="119"/>
        <v>27.658062324926863</v>
      </c>
      <c r="AE115" s="44">
        <f t="shared" si="120"/>
        <v>-85.834676130135009</v>
      </c>
      <c r="AF115" t="str">
        <f t="shared" si="104"/>
        <v>-20791,6666666667</v>
      </c>
      <c r="AG115" t="str">
        <f t="shared" si="121"/>
        <v>586,380971062982i</v>
      </c>
      <c r="AH115">
        <f t="shared" si="122"/>
        <v>586.38097106298198</v>
      </c>
      <c r="AI115">
        <f t="shared" si="123"/>
        <v>1.5707963267948966</v>
      </c>
      <c r="AJ115" t="str">
        <f t="shared" si="105"/>
        <v>0,993586022050183+0,68795329648954i</v>
      </c>
      <c r="AK115">
        <f t="shared" si="124"/>
        <v>1.2085085524580832</v>
      </c>
      <c r="AL115">
        <f t="shared" si="125"/>
        <v>0.60560320684979752</v>
      </c>
      <c r="AM115" t="str">
        <f t="shared" si="106"/>
        <v>1+0,945715230130377i</v>
      </c>
      <c r="AN115">
        <f t="shared" si="126"/>
        <v>1.3763637951139778</v>
      </c>
      <c r="AO115">
        <f t="shared" si="127"/>
        <v>0.75750575103928242</v>
      </c>
      <c r="AP115" t="str">
        <f t="shared" si="107"/>
        <v>1+0,664252364020146i</v>
      </c>
      <c r="AQ115">
        <f t="shared" si="128"/>
        <v>1.2005128916868626</v>
      </c>
      <c r="AR115">
        <f t="shared" si="129"/>
        <v>0.58632930026277985</v>
      </c>
      <c r="AS115" s="42" t="str">
        <f t="shared" si="130"/>
        <v>-32,6259122064352+35,8584656849953i</v>
      </c>
      <c r="AT115">
        <f t="shared" si="131"/>
        <v>33.711195510657014</v>
      </c>
      <c r="AU115" s="44">
        <f t="shared" si="132"/>
        <v>132.297568989273</v>
      </c>
      <c r="AV115" s="42" t="str">
        <f t="shared" si="108"/>
        <v>806,438581661185+848,707447035554i</v>
      </c>
      <c r="AW115" s="20">
        <f t="shared" si="133"/>
        <v>61.36925783558388</v>
      </c>
      <c r="AX115" s="44">
        <f t="shared" si="134"/>
        <v>46.462892859138016</v>
      </c>
    </row>
    <row r="116" spans="14:50" x14ac:dyDescent="0.3">
      <c r="N116" s="8">
        <v>98</v>
      </c>
      <c r="O116" s="35">
        <f t="shared" si="109"/>
        <v>95.499258602143655</v>
      </c>
      <c r="P116" s="34" t="str">
        <f t="shared" si="99"/>
        <v>324,571428571429</v>
      </c>
      <c r="Q116" s="4" t="str">
        <f t="shared" si="100"/>
        <v>1+13,7151894513265i</v>
      </c>
      <c r="R116" s="4">
        <f t="shared" si="110"/>
        <v>13.751597059461048</v>
      </c>
      <c r="S116" s="4">
        <f t="shared" si="111"/>
        <v>1.498013257490753</v>
      </c>
      <c r="T116" s="4" t="str">
        <f t="shared" si="101"/>
        <v>1+0,000120007907699107i</v>
      </c>
      <c r="U116" s="4">
        <f t="shared" si="112"/>
        <v>1.0000000072009489</v>
      </c>
      <c r="V116" s="4">
        <f t="shared" si="113"/>
        <v>1.2000790712299313E-4</v>
      </c>
      <c r="W116" t="str">
        <f t="shared" si="102"/>
        <v>1-0,00104173530988808i</v>
      </c>
      <c r="X116" s="4">
        <f t="shared" si="114"/>
        <v>1.0000005426060807</v>
      </c>
      <c r="Y116" s="4">
        <f t="shared" si="115"/>
        <v>-1.0417349330536141E-3</v>
      </c>
      <c r="Z116" t="str">
        <f t="shared" si="103"/>
        <v>0,999999963519566+0,000893183854698037i</v>
      </c>
      <c r="AA116" s="4">
        <f t="shared" si="116"/>
        <v>1.0000003624082001</v>
      </c>
      <c r="AB116" s="4">
        <f t="shared" si="117"/>
        <v>8.9318364976122993E-4</v>
      </c>
      <c r="AC116" s="48" t="str">
        <f t="shared" si="118"/>
        <v>1,67361728732192-23,5430461023761i</v>
      </c>
      <c r="AD116" s="20">
        <f t="shared" si="119"/>
        <v>27.459144599317131</v>
      </c>
      <c r="AE116" s="44">
        <f t="shared" si="120"/>
        <v>-85.933824030774787</v>
      </c>
      <c r="AF116" t="str">
        <f t="shared" si="104"/>
        <v>-20791,6666666667</v>
      </c>
      <c r="AG116" t="str">
        <f t="shared" si="121"/>
        <v>600,039538495533i</v>
      </c>
      <c r="AH116">
        <f t="shared" si="122"/>
        <v>600.03953849553295</v>
      </c>
      <c r="AI116">
        <f t="shared" si="123"/>
        <v>1.5707963267948966</v>
      </c>
      <c r="AJ116" t="str">
        <f t="shared" si="105"/>
        <v>0,993283740582178+0,70397778731419i</v>
      </c>
      <c r="AK116">
        <f t="shared" si="124"/>
        <v>1.2174552617392997</v>
      </c>
      <c r="AL116">
        <f t="shared" si="125"/>
        <v>0.61656625508088692</v>
      </c>
      <c r="AM116" t="str">
        <f t="shared" si="106"/>
        <v>1+0,967743767685595i</v>
      </c>
      <c r="AN116">
        <f t="shared" si="126"/>
        <v>1.3915918941608962</v>
      </c>
      <c r="AO116">
        <f t="shared" si="127"/>
        <v>0.76900713521746278</v>
      </c>
      <c r="AP116" t="str">
        <f t="shared" si="107"/>
        <v>1+0,67972478920774i</v>
      </c>
      <c r="AQ116">
        <f t="shared" si="128"/>
        <v>1.2091425842569217</v>
      </c>
      <c r="AR116">
        <f t="shared" si="129"/>
        <v>0.5969884428217227</v>
      </c>
      <c r="AS116" s="42" t="str">
        <f t="shared" si="130"/>
        <v>-32,6237527574541+35,0592835086608i</v>
      </c>
      <c r="AT116">
        <f t="shared" si="131"/>
        <v>33.604916631701286</v>
      </c>
      <c r="AU116" s="44">
        <f t="shared" si="132"/>
        <v>132.93913724885726</v>
      </c>
      <c r="AV116" s="42" t="str">
        <f t="shared" si="108"/>
        <v>770,802651368484+826,738338162476i</v>
      </c>
      <c r="AW116" s="20">
        <f t="shared" si="133"/>
        <v>61.064061231018414</v>
      </c>
      <c r="AX116" s="44">
        <f t="shared" si="134"/>
        <v>47.005313218082463</v>
      </c>
    </row>
    <row r="117" spans="14:50" x14ac:dyDescent="0.3">
      <c r="N117" s="8">
        <v>99</v>
      </c>
      <c r="O117" s="35">
        <f t="shared" si="109"/>
        <v>97.723722095581124</v>
      </c>
      <c r="P117" s="34" t="str">
        <f t="shared" si="99"/>
        <v>324,571428571429</v>
      </c>
      <c r="Q117" s="4" t="str">
        <f t="shared" si="100"/>
        <v>1+14,0346572533453i</v>
      </c>
      <c r="R117" s="4">
        <f t="shared" si="110"/>
        <v>14.070238243145631</v>
      </c>
      <c r="S117" s="4">
        <f t="shared" si="111"/>
        <v>1.4996643549210653</v>
      </c>
      <c r="T117" s="4" t="str">
        <f t="shared" si="101"/>
        <v>1+0,000122803250966771i</v>
      </c>
      <c r="U117" s="4">
        <f t="shared" si="112"/>
        <v>1.0000000075403193</v>
      </c>
      <c r="V117" s="4">
        <f t="shared" si="113"/>
        <v>1.2280325034945386E-4</v>
      </c>
      <c r="W117" t="str">
        <f t="shared" si="102"/>
        <v>1-0,00106600044241989i</v>
      </c>
      <c r="X117" s="4">
        <f t="shared" si="114"/>
        <v>1.0000005681783102</v>
      </c>
      <c r="Y117" s="4">
        <f t="shared" si="115"/>
        <v>-1.0660000386344972E-3</v>
      </c>
      <c r="Z117" t="str">
        <f t="shared" si="103"/>
        <v>0,999999961800297+0,000913988779330812i</v>
      </c>
      <c r="AA117" s="4">
        <f t="shared" si="116"/>
        <v>1.0000003794879702</v>
      </c>
      <c r="AB117" s="4">
        <f t="shared" si="117"/>
        <v>9.1398855973707062E-4</v>
      </c>
      <c r="AC117" s="48" t="str">
        <f t="shared" si="118"/>
        <v>1,5967491687712-23,0126163765658i</v>
      </c>
      <c r="AD117" s="20">
        <f t="shared" si="119"/>
        <v>27.260178421883403</v>
      </c>
      <c r="AE117" s="44">
        <f t="shared" si="120"/>
        <v>-86.030847105401392</v>
      </c>
      <c r="AF117" t="str">
        <f t="shared" si="104"/>
        <v>-20791,6666666667</v>
      </c>
      <c r="AG117" t="str">
        <f t="shared" si="121"/>
        <v>614,016254833856i</v>
      </c>
      <c r="AH117">
        <f t="shared" si="122"/>
        <v>614.01625483385601</v>
      </c>
      <c r="AI117">
        <f t="shared" si="123"/>
        <v>1.5707963267948966</v>
      </c>
      <c r="AJ117" t="str">
        <f t="shared" si="105"/>
        <v>0,992967213027483+0,720375536479922i</v>
      </c>
      <c r="AK117">
        <f t="shared" si="124"/>
        <v>1.2267537649040667</v>
      </c>
      <c r="AL117">
        <f t="shared" si="125"/>
        <v>0.62762121673606242</v>
      </c>
      <c r="AM117" t="str">
        <f t="shared" si="106"/>
        <v>1+0,990285415796042i</v>
      </c>
      <c r="AN117">
        <f t="shared" si="126"/>
        <v>1.40736107830874</v>
      </c>
      <c r="AO117">
        <f t="shared" si="127"/>
        <v>0.78051720161142968</v>
      </c>
      <c r="AP117" t="str">
        <f t="shared" si="107"/>
        <v>1+0,695557613475792i</v>
      </c>
      <c r="AQ117">
        <f t="shared" si="128"/>
        <v>1.2181134568110392</v>
      </c>
      <c r="AR117">
        <f t="shared" si="129"/>
        <v>0.60773827039576778</v>
      </c>
      <c r="AS117" s="42" t="str">
        <f t="shared" si="130"/>
        <v>-32,6215540517048+34,2786021153864i</v>
      </c>
      <c r="AT117">
        <f t="shared" si="131"/>
        <v>33.500906262623566</v>
      </c>
      <c r="AU117" s="44">
        <f t="shared" si="132"/>
        <v>133.5811325801125</v>
      </c>
      <c r="AV117" s="42" t="str">
        <f t="shared" si="108"/>
        <v>736,75188109024+805,44163843367i</v>
      </c>
      <c r="AW117" s="20">
        <f t="shared" si="133"/>
        <v>60.761084684506969</v>
      </c>
      <c r="AX117" s="44">
        <f t="shared" si="134"/>
        <v>47.550285474711089</v>
      </c>
    </row>
    <row r="118" spans="14:50" x14ac:dyDescent="0.3">
      <c r="N118" s="8">
        <v>100</v>
      </c>
      <c r="O118" s="35">
        <f t="shared" si="109"/>
        <v>100</v>
      </c>
      <c r="P118" s="34" t="str">
        <f t="shared" si="99"/>
        <v>324,571428571429</v>
      </c>
      <c r="Q118" s="4" t="str">
        <f t="shared" si="100"/>
        <v>1+14,3615664164105i</v>
      </c>
      <c r="R118" s="4">
        <f t="shared" si="110"/>
        <v>14.396339462966617</v>
      </c>
      <c r="S118" s="4">
        <f t="shared" si="111"/>
        <v>1.5012782442589818</v>
      </c>
      <c r="T118" s="4" t="str">
        <f t="shared" si="101"/>
        <v>1+0,000125663706143592i</v>
      </c>
      <c r="U118" s="4">
        <f t="shared" si="112"/>
        <v>1.0000000078956834</v>
      </c>
      <c r="V118" s="4">
        <f t="shared" si="113"/>
        <v>1.2566370548212479E-4</v>
      </c>
      <c r="W118" t="str">
        <f t="shared" si="102"/>
        <v>1-0,00109083078249646i</v>
      </c>
      <c r="X118" s="4">
        <f t="shared" si="114"/>
        <v>1.0000005949557209</v>
      </c>
      <c r="Y118" s="4">
        <f t="shared" si="115"/>
        <v>-1.0908303498326304E-3</v>
      </c>
      <c r="Z118" t="str">
        <f t="shared" si="103"/>
        <v>0,99999996+0,000935278312912461i</v>
      </c>
      <c r="AA118" s="4">
        <f t="shared" si="116"/>
        <v>1.0000003973726832</v>
      </c>
      <c r="AB118" s="4">
        <f t="shared" si="117"/>
        <v>9.3527807761353322E-4</v>
      </c>
      <c r="AC118" s="48" t="str">
        <f t="shared" si="118"/>
        <v>1,52330651351186-22,4938974801258i</v>
      </c>
      <c r="AD118" s="20">
        <f t="shared" si="119"/>
        <v>27.061165951589075</v>
      </c>
      <c r="AE118" s="44">
        <f t="shared" si="120"/>
        <v>-86.125794732616427</v>
      </c>
      <c r="AF118" t="str">
        <f t="shared" si="104"/>
        <v>-20791,6666666667</v>
      </c>
      <c r="AG118" t="str">
        <f t="shared" si="121"/>
        <v>628,318530717959i</v>
      </c>
      <c r="AH118">
        <f t="shared" si="122"/>
        <v>628.31853071795899</v>
      </c>
      <c r="AI118">
        <f t="shared" si="123"/>
        <v>1.5707963267948966</v>
      </c>
      <c r="AJ118" t="str">
        <f t="shared" si="105"/>
        <v>0,992635767988717+0,737155238290393i</v>
      </c>
      <c r="AK118">
        <f t="shared" si="124"/>
        <v>1.2364156312622046</v>
      </c>
      <c r="AL118">
        <f t="shared" si="125"/>
        <v>0.63876379237542302</v>
      </c>
      <c r="AM118" t="str">
        <f t="shared" si="106"/>
        <v>1+1,01335212634192i</v>
      </c>
      <c r="AN118">
        <f t="shared" si="126"/>
        <v>1.4236862477251406</v>
      </c>
      <c r="AO118">
        <f t="shared" si="127"/>
        <v>0.79202985510574042</v>
      </c>
      <c r="AP118" t="str">
        <f t="shared" si="107"/>
        <v>1+0,711759231597304i</v>
      </c>
      <c r="AQ118">
        <f t="shared" si="128"/>
        <v>1.2274368430856166</v>
      </c>
      <c r="AR118">
        <f t="shared" si="129"/>
        <v>0.61857454482325192</v>
      </c>
      <c r="AS118" s="42" t="str">
        <f t="shared" si="130"/>
        <v>-32,61931721194+33,5160054825867i</v>
      </c>
      <c r="AT118">
        <f t="shared" si="131"/>
        <v>33.399167871729418</v>
      </c>
      <c r="AU118" s="44">
        <f t="shared" si="132"/>
        <v>134.22320926963278</v>
      </c>
      <c r="AV118" s="42" t="str">
        <f t="shared" si="108"/>
        <v>704,216372893382+784,790726695605i</v>
      </c>
      <c r="AW118" s="20">
        <f t="shared" si="133"/>
        <v>60.4603338233185</v>
      </c>
      <c r="AX118" s="44">
        <f t="shared" si="134"/>
        <v>48.097414537016348</v>
      </c>
    </row>
    <row r="119" spans="14:50" x14ac:dyDescent="0.3">
      <c r="N119" s="8">
        <v>1</v>
      </c>
      <c r="O119" s="35">
        <f>10^(2+(N119/100))</f>
        <v>102.32929922807544</v>
      </c>
      <c r="P119" s="34" t="str">
        <f t="shared" si="99"/>
        <v>324,571428571429</v>
      </c>
      <c r="Q119" s="4" t="str">
        <f t="shared" si="100"/>
        <v>1+14,6960902720875i</v>
      </c>
      <c r="R119" s="4">
        <f t="shared" si="110"/>
        <v>14.730073634756375</v>
      </c>
      <c r="S119" s="4">
        <f t="shared" si="111"/>
        <v>1.5028557475623205</v>
      </c>
      <c r="T119" s="4" t="str">
        <f t="shared" si="101"/>
        <v>1+0,000128590789880765i</v>
      </c>
      <c r="U119" s="4">
        <f t="shared" si="112"/>
        <v>1.0000000082677956</v>
      </c>
      <c r="V119" s="4">
        <f t="shared" si="113"/>
        <v>1.2859078917199009E-4</v>
      </c>
      <c r="W119" t="str">
        <f t="shared" si="102"/>
        <v>1-0,00111623949549276i</v>
      </c>
      <c r="X119" s="4">
        <f t="shared" si="114"/>
        <v>1.0000006229951117</v>
      </c>
      <c r="Y119" s="4">
        <f t="shared" si="115"/>
        <v>-1.1162390318851295E-3</v>
      </c>
      <c r="Z119" t="str">
        <f t="shared" si="103"/>
        <v>0,999999958114858+0,000957063743435487i</v>
      </c>
      <c r="AA119" s="4">
        <f t="shared" si="116"/>
        <v>1.0000004161002769</v>
      </c>
      <c r="AB119" s="4">
        <f t="shared" si="117"/>
        <v>9.5706349130814908E-4</v>
      </c>
      <c r="AC119" s="48" t="str">
        <f t="shared" si="118"/>
        <v>1,45313813579706-21,9866468251126i</v>
      </c>
      <c r="AD119" s="20">
        <f t="shared" si="119"/>
        <v>26.862109252168924</v>
      </c>
      <c r="AE119" s="44">
        <f t="shared" si="120"/>
        <v>-86.218715327028193</v>
      </c>
      <c r="AF119" t="str">
        <f t="shared" si="104"/>
        <v>-20791,6666666667</v>
      </c>
      <c r="AG119" t="str">
        <f t="shared" si="121"/>
        <v>642,953949403827i</v>
      </c>
      <c r="AH119">
        <f t="shared" si="122"/>
        <v>642.95394940382698</v>
      </c>
      <c r="AI119">
        <f t="shared" si="123"/>
        <v>1.5707963267948966</v>
      </c>
      <c r="AJ119" t="str">
        <f t="shared" si="105"/>
        <v>0,992288702426515+0,754325789565609i</v>
      </c>
      <c r="AK119">
        <f t="shared" si="124"/>
        <v>1.2464526728949947</v>
      </c>
      <c r="AL119">
        <f t="shared" si="125"/>
        <v>0.64998949549119645</v>
      </c>
      <c r="AM119" t="str">
        <f t="shared" si="106"/>
        <v>1+1,03695612959849i</v>
      </c>
      <c r="AN119">
        <f t="shared" si="126"/>
        <v>1.4405825261719234</v>
      </c>
      <c r="AO119">
        <f t="shared" si="127"/>
        <v>0.80353899373333981</v>
      </c>
      <c r="AP119" t="str">
        <f t="shared" si="107"/>
        <v>1+0,728338233884655i</v>
      </c>
      <c r="AQ119">
        <f t="shared" si="128"/>
        <v>1.2371243199202813</v>
      </c>
      <c r="AR119">
        <f t="shared" si="129"/>
        <v>0.62949283218770069</v>
      </c>
      <c r="AS119" s="42" t="str">
        <f t="shared" si="130"/>
        <v>-32,6170434580038+32,7710872570108i</v>
      </c>
      <c r="AT119">
        <f t="shared" si="131"/>
        <v>33.299702589200145</v>
      </c>
      <c r="AU119" s="44">
        <f t="shared" si="132"/>
        <v>134.86502071371848</v>
      </c>
      <c r="AV119" s="42" t="str">
        <f t="shared" si="108"/>
        <v>673,129251869069+764,760331635174i</v>
      </c>
      <c r="AW119" s="20">
        <f t="shared" si="133"/>
        <v>60.161811841369058</v>
      </c>
      <c r="AX119" s="44">
        <f t="shared" si="134"/>
        <v>48.646305386690258</v>
      </c>
    </row>
    <row r="120" spans="14:50" x14ac:dyDescent="0.3">
      <c r="N120" s="8">
        <v>2</v>
      </c>
      <c r="O120" s="35">
        <f t="shared" ref="O120:O183" si="135">10^(2+(N120/100))</f>
        <v>104.71285480508998</v>
      </c>
      <c r="P120" s="34" t="str">
        <f t="shared" si="99"/>
        <v>324,571428571429</v>
      </c>
      <c r="Q120" s="4" t="str">
        <f t="shared" si="100"/>
        <v>1+15,0384061893525i</v>
      </c>
      <c r="R120" s="4">
        <f t="shared" si="110"/>
        <v>15.071617720601711</v>
      </c>
      <c r="S120" s="4">
        <f t="shared" si="111"/>
        <v>1.5043976698214154</v>
      </c>
      <c r="T120" s="4" t="str">
        <f t="shared" si="101"/>
        <v>1+0,000131586054156834i</v>
      </c>
      <c r="U120" s="4">
        <f t="shared" si="112"/>
        <v>1.0000000086574448</v>
      </c>
      <c r="V120" s="4">
        <f t="shared" si="113"/>
        <v>1.3158605339736799E-4</v>
      </c>
      <c r="W120" t="str">
        <f t="shared" si="102"/>
        <v>1-0,00114224005344474i</v>
      </c>
      <c r="X120" s="4">
        <f t="shared" si="114"/>
        <v>1.000000652355957</v>
      </c>
      <c r="Y120" s="4">
        <f t="shared" si="115"/>
        <v>-1.1422395566802314E-3</v>
      </c>
      <c r="Z120" t="str">
        <f t="shared" si="103"/>
        <v>0,999999956140872+0,00097935662182352i</v>
      </c>
      <c r="AA120" s="4">
        <f t="shared" si="116"/>
        <v>1.0000004357104746</v>
      </c>
      <c r="AB120" s="4">
        <f t="shared" si="117"/>
        <v>9.7935635166421643E-4</v>
      </c>
      <c r="AC120" s="48" t="str">
        <f t="shared" si="118"/>
        <v>1,38609939439822-21,4906257724812i</v>
      </c>
      <c r="AD120" s="20">
        <f t="shared" si="119"/>
        <v>26.663010296248117</v>
      </c>
      <c r="AE120" s="44">
        <f t="shared" si="120"/>
        <v>-86.309656355960527</v>
      </c>
      <c r="AF120" t="str">
        <f t="shared" si="104"/>
        <v>-20791,6666666667</v>
      </c>
      <c r="AG120" t="str">
        <f t="shared" si="121"/>
        <v>657,930270784171i</v>
      </c>
      <c r="AH120">
        <f t="shared" si="122"/>
        <v>657.93027078417094</v>
      </c>
      <c r="AI120">
        <f t="shared" si="123"/>
        <v>1.5707963267948966</v>
      </c>
      <c r="AJ120" t="str">
        <f t="shared" si="105"/>
        <v>0,991925280168288+0,771896294359134i</v>
      </c>
      <c r="AK120">
        <f t="shared" si="124"/>
        <v>1.2568769433330771</v>
      </c>
      <c r="AL120">
        <f t="shared" si="125"/>
        <v>0.66129365993848688</v>
      </c>
      <c r="AM120" t="str">
        <f t="shared" si="106"/>
        <v>1+1,06110994072071i</v>
      </c>
      <c r="AN120">
        <f t="shared" si="126"/>
        <v>1.4580652613296528</v>
      </c>
      <c r="AO120">
        <f t="shared" si="127"/>
        <v>0.81503852483495787</v>
      </c>
      <c r="AP120" t="str">
        <f t="shared" si="107"/>
        <v>1+0,745303410744309i</v>
      </c>
      <c r="AQ120">
        <f t="shared" si="128"/>
        <v>1.2471877060278858</v>
      </c>
      <c r="AR120">
        <f t="shared" si="129"/>
        <v>0.64048850927057777</v>
      </c>
      <c r="AS120" s="42" t="str">
        <f t="shared" si="130"/>
        <v>-32,6147341031989+32,0434505487629i</v>
      </c>
      <c r="AT120">
        <f t="shared" si="131"/>
        <v>33.202509205412049</v>
      </c>
      <c r="AU120" s="44">
        <f t="shared" si="132"/>
        <v>135.50622028820658</v>
      </c>
      <c r="AV120" s="42" t="str">
        <f t="shared" si="108"/>
        <v>643,426541013568+745,326452680897i</v>
      </c>
      <c r="AW120" s="20">
        <f t="shared" si="133"/>
        <v>59.865519501660167</v>
      </c>
      <c r="AX120" s="44">
        <f t="shared" si="134"/>
        <v>49.196563932246036</v>
      </c>
    </row>
    <row r="121" spans="14:50" x14ac:dyDescent="0.3">
      <c r="N121" s="8">
        <v>3</v>
      </c>
      <c r="O121" s="35">
        <f t="shared" si="135"/>
        <v>107.15193052376065</v>
      </c>
      <c r="P121" s="34" t="str">
        <f t="shared" si="99"/>
        <v>324,571428571429</v>
      </c>
      <c r="Q121" s="4" t="str">
        <f t="shared" si="100"/>
        <v>1+15,3886956686359i</v>
      </c>
      <c r="R121" s="4">
        <f t="shared" si="110"/>
        <v>15.421152822726754</v>
      </c>
      <c r="S121" s="4">
        <f t="shared" si="111"/>
        <v>1.5059047992396981</v>
      </c>
      <c r="T121" s="4" t="str">
        <f t="shared" si="101"/>
        <v>1+0,000134651087100564i</v>
      </c>
      <c r="U121" s="4">
        <f t="shared" si="112"/>
        <v>1.0000000090654575</v>
      </c>
      <c r="V121" s="4">
        <f t="shared" si="113"/>
        <v>1.3465108628678152E-4</v>
      </c>
      <c r="W121" t="str">
        <f t="shared" si="102"/>
        <v>1-0,0011688462421924i</v>
      </c>
      <c r="X121" s="4">
        <f t="shared" si="114"/>
        <v>1.0000006831005357</v>
      </c>
      <c r="Y121" s="4">
        <f t="shared" si="115"/>
        <v>-1.1688457098996583E-3</v>
      </c>
      <c r="Z121" t="str">
        <f t="shared" si="103"/>
        <v>0,999999954073855+0,00100216876805576i</v>
      </c>
      <c r="AA121" s="4">
        <f t="shared" si="116"/>
        <v>1.0000004562448719</v>
      </c>
      <c r="AB121" s="4">
        <f t="shared" si="117"/>
        <v>1.0021684785748578E-3</v>
      </c>
      <c r="AC121" s="48" t="str">
        <f t="shared" si="118"/>
        <v>1,32205192057758-21,0055996442036i</v>
      </c>
      <c r="AD121" s="20">
        <f t="shared" si="119"/>
        <v>26.463870969290511</v>
      </c>
      <c r="AE121" s="44">
        <f t="shared" si="120"/>
        <v>-86.398664356241781</v>
      </c>
      <c r="AF121" t="str">
        <f t="shared" si="104"/>
        <v>-20791,6666666667</v>
      </c>
      <c r="AG121" t="str">
        <f t="shared" si="121"/>
        <v>673,255435502821i</v>
      </c>
      <c r="AH121">
        <f t="shared" si="122"/>
        <v>673.255435502821</v>
      </c>
      <c r="AI121">
        <f t="shared" si="123"/>
        <v>1.5707963267948966</v>
      </c>
      <c r="AJ121" t="str">
        <f t="shared" si="105"/>
        <v>0,991544730346702+0,789876068785184i</v>
      </c>
      <c r="AK121">
        <f t="shared" si="124"/>
        <v>1.2677007361036952</v>
      </c>
      <c r="AL121">
        <f t="shared" si="125"/>
        <v>0.67267144834823733</v>
      </c>
      <c r="AM121" t="str">
        <f t="shared" si="106"/>
        <v>1+1,08582636637895i</v>
      </c>
      <c r="AN121">
        <f t="shared" si="126"/>
        <v>1.476150025547442</v>
      </c>
      <c r="AO121">
        <f t="shared" si="127"/>
        <v>0.82652238115845134</v>
      </c>
      <c r="AP121" t="str">
        <f t="shared" si="107"/>
        <v>1+0,762663757337596i</v>
      </c>
      <c r="AQ121">
        <f t="shared" si="128"/>
        <v>1.2576390606037566</v>
      </c>
      <c r="AR121">
        <f t="shared" si="129"/>
        <v>0.65155677099505127</v>
      </c>
      <c r="AS121" s="42" t="str">
        <f t="shared" si="130"/>
        <v>-32,6123905498385+31,3327077301666i</v>
      </c>
      <c r="AT121">
        <f t="shared" si="131"/>
        <v>33.107584178855483</v>
      </c>
      <c r="AU121" s="44">
        <f t="shared" si="132"/>
        <v>136.14646221536444</v>
      </c>
      <c r="AV121" s="42" t="str">
        <f t="shared" si="108"/>
        <v>615,047040787683+726,466285761879i</v>
      </c>
      <c r="AW121" s="20">
        <f t="shared" si="133"/>
        <v>59.571455148145994</v>
      </c>
      <c r="AX121" s="44">
        <f t="shared" si="134"/>
        <v>49.747797859122663</v>
      </c>
    </row>
    <row r="122" spans="14:50" x14ac:dyDescent="0.3">
      <c r="N122" s="8">
        <v>4</v>
      </c>
      <c r="O122" s="35">
        <f t="shared" si="135"/>
        <v>109.64781961431861</v>
      </c>
      <c r="P122" s="34" t="str">
        <f t="shared" si="99"/>
        <v>324,571428571429</v>
      </c>
      <c r="Q122" s="4" t="str">
        <f t="shared" si="100"/>
        <v>1+15,7471444380563i</v>
      </c>
      <c r="R122" s="4">
        <f t="shared" si="110"/>
        <v>15.778864279567381</v>
      </c>
      <c r="S122" s="4">
        <f t="shared" si="111"/>
        <v>1.5073779075148916</v>
      </c>
      <c r="T122" s="4" t="str">
        <f t="shared" si="101"/>
        <v>1+0,000137787513832993i</v>
      </c>
      <c r="U122" s="4">
        <f t="shared" si="112"/>
        <v>1.0000000094926995</v>
      </c>
      <c r="V122" s="4">
        <f t="shared" si="113"/>
        <v>1.3778751296100936E-4</v>
      </c>
      <c r="W122" t="str">
        <f t="shared" si="102"/>
        <v>1-0,00119607216868917i</v>
      </c>
      <c r="X122" s="4">
        <f t="shared" si="114"/>
        <v>1.0000007152940604</v>
      </c>
      <c r="Y122" s="4">
        <f t="shared" si="115"/>
        <v>-1.1960715983272434E-3</v>
      </c>
      <c r="Z122" t="str">
        <f t="shared" si="103"/>
        <v>0,999999951909423+0,0010255122774341i</v>
      </c>
      <c r="AA122" s="4">
        <f t="shared" si="116"/>
        <v>1.0000004777470257</v>
      </c>
      <c r="AB122" s="4">
        <f t="shared" si="117"/>
        <v>1.0255119672497323E-3</v>
      </c>
      <c r="AC122" s="48" t="str">
        <f t="shared" si="118"/>
        <v>1,26086335636675-20,5313377286233i</v>
      </c>
      <c r="AD122" s="20">
        <f t="shared" si="119"/>
        <v>26.264693073382553</v>
      </c>
      <c r="AE122" s="44">
        <f t="shared" si="120"/>
        <v>-86.485784951045559</v>
      </c>
      <c r="AF122" t="str">
        <f t="shared" si="104"/>
        <v>-20791,6666666667</v>
      </c>
      <c r="AG122" t="str">
        <f t="shared" si="121"/>
        <v>688,937569164964i</v>
      </c>
      <c r="AH122">
        <f t="shared" si="122"/>
        <v>688.93756916496397</v>
      </c>
      <c r="AI122">
        <f t="shared" si="123"/>
        <v>1.5707963267948966</v>
      </c>
      <c r="AJ122" t="str">
        <f t="shared" si="105"/>
        <v>0,991146245764563+0,80827464595815i</v>
      </c>
      <c r="AK122">
        <f t="shared" si="124"/>
        <v>1.2789365831783686</v>
      </c>
      <c r="AL122">
        <f t="shared" si="125"/>
        <v>0.6841178615025153</v>
      </c>
      <c r="AM122" t="str">
        <f t="shared" si="106"/>
        <v>1+1,11111851154925i</v>
      </c>
      <c r="AN122">
        <f t="shared" si="126"/>
        <v>1.4948526170520693</v>
      </c>
      <c r="AO122">
        <f t="shared" si="127"/>
        <v>0.83798453679448648</v>
      </c>
      <c r="AP122" t="str">
        <f t="shared" si="107"/>
        <v>1+0,780428478350071i</v>
      </c>
      <c r="AQ122">
        <f t="shared" si="128"/>
        <v>1.2684906818025141</v>
      </c>
      <c r="AR122">
        <f t="shared" si="129"/>
        <v>0.6626926388492802</v>
      </c>
      <c r="AS122" s="42" t="str">
        <f t="shared" si="130"/>
        <v>-32,6100142839838+30,6384802392809i</v>
      </c>
      <c r="AT122">
        <f t="shared" si="131"/>
        <v>33.014921653551845</v>
      </c>
      <c r="AU122" s="44">
        <f t="shared" si="132"/>
        <v>136.78540242239083</v>
      </c>
      <c r="AV122" s="42" t="str">
        <f t="shared" si="108"/>
        <v>587,932213223156+708,158153628177i</v>
      </c>
      <c r="AW122" s="20">
        <f t="shared" si="133"/>
        <v>59.279614726934398</v>
      </c>
      <c r="AX122" s="44">
        <f t="shared" si="134"/>
        <v>50.299617471345265</v>
      </c>
    </row>
    <row r="123" spans="14:50" x14ac:dyDescent="0.3">
      <c r="N123" s="8">
        <v>5</v>
      </c>
      <c r="O123" s="35">
        <f t="shared" si="135"/>
        <v>112.20184543019634</v>
      </c>
      <c r="P123" s="34" t="str">
        <f t="shared" si="99"/>
        <v>324,571428571429</v>
      </c>
      <c r="Q123" s="4" t="str">
        <f t="shared" si="100"/>
        <v>1+16,1139425518959i</v>
      </c>
      <c r="R123" s="4">
        <f t="shared" si="110"/>
        <v>16.144941764088262</v>
      </c>
      <c r="S123" s="4">
        <f t="shared" si="111"/>
        <v>1.5088177501203628</v>
      </c>
      <c r="T123" s="4" t="str">
        <f t="shared" si="101"/>
        <v>1+0,000140996997329089i</v>
      </c>
      <c r="U123" s="4">
        <f t="shared" si="112"/>
        <v>1.0000000099400765</v>
      </c>
      <c r="V123" s="4">
        <f t="shared" si="113"/>
        <v>1.409969963947417E-4</v>
      </c>
      <c r="W123" t="str">
        <f t="shared" si="102"/>
        <v>1-0,00122393226848168i</v>
      </c>
      <c r="X123" s="4">
        <f t="shared" si="114"/>
        <v>1.0000007490048184</v>
      </c>
      <c r="Y123" s="4">
        <f t="shared" si="115"/>
        <v>-1.2239316573278895E-3</v>
      </c>
      <c r="Z123" t="str">
        <f t="shared" si="103"/>
        <v>0,999999949642984+0,00104939952699619i</v>
      </c>
      <c r="AA123" s="4">
        <f t="shared" si="116"/>
        <v>1.0000005002625438</v>
      </c>
      <c r="AB123" s="4">
        <f t="shared" si="117"/>
        <v>1.0493991946276609E-3</v>
      </c>
      <c r="AC123" s="48" t="str">
        <f t="shared" si="118"/>
        <v>1,20240710285206-20,067613279598i</v>
      </c>
      <c r="AD123" s="20">
        <f t="shared" si="119"/>
        <v>26.065478330858799</v>
      </c>
      <c r="AE123" s="44">
        <f t="shared" si="120"/>
        <v>-86.571062866757742</v>
      </c>
      <c r="AF123" t="str">
        <f t="shared" si="104"/>
        <v>-20791,6666666667</v>
      </c>
      <c r="AG123" t="str">
        <f t="shared" si="121"/>
        <v>704,984986645445i</v>
      </c>
      <c r="AH123">
        <f t="shared" si="122"/>
        <v>704.98498664544502</v>
      </c>
      <c r="AI123">
        <f t="shared" si="123"/>
        <v>1.5707963267948966</v>
      </c>
      <c r="AJ123" t="str">
        <f t="shared" si="105"/>
        <v>0,990728981182648+0,827101781047182i</v>
      </c>
      <c r="AK123">
        <f t="shared" si="124"/>
        <v>1.2905972533546739</v>
      </c>
      <c r="AL123">
        <f t="shared" si="125"/>
        <v>0.6956277486429715</v>
      </c>
      <c r="AM123" t="str">
        <f t="shared" si="106"/>
        <v>1+1,13699978646177i</v>
      </c>
      <c r="AN123">
        <f t="shared" si="126"/>
        <v>1.5141890616478877</v>
      </c>
      <c r="AO123">
        <f t="shared" si="127"/>
        <v>0.84941902284696724</v>
      </c>
      <c r="AP123" t="str">
        <f t="shared" si="107"/>
        <v>1+0,79860699287196i</v>
      </c>
      <c r="AQ123">
        <f t="shared" si="128"/>
        <v>1.2797551051134723</v>
      </c>
      <c r="AR123">
        <f t="shared" si="129"/>
        <v>0.67389097026856903</v>
      </c>
      <c r="AS123" s="42" t="str">
        <f t="shared" si="130"/>
        <v>-32,6076068693791+29,9603983878765i</v>
      </c>
      <c r="AT123">
        <f t="shared" si="131"/>
        <v>32.924513485784473</v>
      </c>
      <c r="AU123" s="44">
        <f t="shared" si="132"/>
        <v>137.42269938619322</v>
      </c>
      <c r="AV123" s="42" t="str">
        <f t="shared" si="108"/>
        <v>562,026070443848+690,381440453723i</v>
      </c>
      <c r="AW123" s="20">
        <f t="shared" si="133"/>
        <v>58.989991816643268</v>
      </c>
      <c r="AX123" s="44">
        <f t="shared" si="134"/>
        <v>50.851636519435488</v>
      </c>
    </row>
    <row r="124" spans="14:50" x14ac:dyDescent="0.3">
      <c r="N124" s="8">
        <v>6</v>
      </c>
      <c r="O124" s="35">
        <f t="shared" si="135"/>
        <v>114.81536214968835</v>
      </c>
      <c r="P124" s="34" t="str">
        <f t="shared" si="99"/>
        <v>324,571428571429</v>
      </c>
      <c r="Q124" s="4" t="str">
        <f t="shared" si="100"/>
        <v>1+16,4892844913697i</v>
      </c>
      <c r="R124" s="4">
        <f t="shared" si="110"/>
        <v>16.519579384394909</v>
      </c>
      <c r="S124" s="4">
        <f t="shared" si="111"/>
        <v>1.5102250665862078</v>
      </c>
      <c r="T124" s="4" t="str">
        <f t="shared" si="101"/>
        <v>1+0,000144281239299485i</v>
      </c>
      <c r="U124" s="4">
        <f t="shared" si="112"/>
        <v>1.000000010408538</v>
      </c>
      <c r="V124" s="4">
        <f t="shared" si="113"/>
        <v>1.4428123829831384E-4</v>
      </c>
      <c r="W124" t="str">
        <f t="shared" si="102"/>
        <v>1-0,00125244131336359i</v>
      </c>
      <c r="X124" s="4">
        <f t="shared" si="114"/>
        <v>1.0000007843043142</v>
      </c>
      <c r="Y124" s="4">
        <f t="shared" si="115"/>
        <v>-1.2524406585005328E-3</v>
      </c>
      <c r="Z124" t="str">
        <f t="shared" si="103"/>
        <v>0,99999994726973+0,00107384318207794i</v>
      </c>
      <c r="AA124" s="4">
        <f t="shared" si="116"/>
        <v>1.000000523839184</v>
      </c>
      <c r="AB124" s="4">
        <f t="shared" si="117"/>
        <v>1.0738428259386556E-3</v>
      </c>
      <c r="AC124" s="48" t="str">
        <f t="shared" si="118"/>
        <v>1,14656207816755-19,6142035099488i</v>
      </c>
      <c r="AD124" s="20">
        <f t="shared" si="119"/>
        <v>25.866228387775585</v>
      </c>
      <c r="AE124" s="44">
        <f t="shared" si="120"/>
        <v>-86.654541949845381</v>
      </c>
      <c r="AF124" t="str">
        <f t="shared" si="104"/>
        <v>-20791,6666666667</v>
      </c>
      <c r="AG124" t="str">
        <f t="shared" si="121"/>
        <v>721,406196497425i</v>
      </c>
      <c r="AH124">
        <f t="shared" si="122"/>
        <v>721.40619649742496</v>
      </c>
      <c r="AI124">
        <f t="shared" si="123"/>
        <v>1.5707963267948966</v>
      </c>
      <c r="AJ124" t="str">
        <f t="shared" si="105"/>
        <v>0,990292051526833+0,846367456448513i</v>
      </c>
      <c r="AK124">
        <f t="shared" si="124"/>
        <v>1.3026957506080801</v>
      </c>
      <c r="AL124">
        <f t="shared" si="125"/>
        <v>0.70719581867401726</v>
      </c>
      <c r="AM124" t="str">
        <f t="shared" si="106"/>
        <v>1+1,16348391371105i</v>
      </c>
      <c r="AN124">
        <f t="shared" si="126"/>
        <v>1.5341756149360419</v>
      </c>
      <c r="AO124">
        <f t="shared" si="127"/>
        <v>0.86081994273971574</v>
      </c>
      <c r="AP124" t="str">
        <f t="shared" si="107"/>
        <v>1+0,817208939392283i</v>
      </c>
      <c r="AQ124">
        <f t="shared" si="128"/>
        <v>1.2914451016681507</v>
      </c>
      <c r="AR124">
        <f t="shared" si="129"/>
        <v>0.68514646894647824</v>
      </c>
      <c r="AS124" s="42" t="str">
        <f t="shared" si="130"/>
        <v>-32,6051699405983+29,2981011736861i</v>
      </c>
      <c r="AT124">
        <f t="shared" si="131"/>
        <v>32.836349279878675</v>
      </c>
      <c r="AU124" s="44">
        <f t="shared" si="132"/>
        <v>138.05801495928299</v>
      </c>
      <c r="AV124" s="42" t="str">
        <f t="shared" si="108"/>
        <v>537,27506746965+673,116530459425i</v>
      </c>
      <c r="AW124" s="20">
        <f t="shared" si="133"/>
        <v>58.702577667654261</v>
      </c>
      <c r="AX124" s="44">
        <f t="shared" si="134"/>
        <v>51.403473009437647</v>
      </c>
    </row>
    <row r="125" spans="14:50" x14ac:dyDescent="0.3">
      <c r="N125" s="8">
        <v>7</v>
      </c>
      <c r="O125" s="35">
        <f t="shared" si="135"/>
        <v>117.48975549395293</v>
      </c>
      <c r="P125" s="34" t="str">
        <f t="shared" si="99"/>
        <v>324,571428571429</v>
      </c>
      <c r="Q125" s="4" t="str">
        <f t="shared" si="100"/>
        <v>1+16,8733692677423i</v>
      </c>
      <c r="R125" s="4">
        <f t="shared" si="110"/>
        <v>16.902975786694793</v>
      </c>
      <c r="S125" s="4">
        <f t="shared" si="111"/>
        <v>1.5116005807796877</v>
      </c>
      <c r="T125" s="4" t="str">
        <f t="shared" si="101"/>
        <v>1+0,000147641981092745i</v>
      </c>
      <c r="U125" s="4">
        <f t="shared" si="112"/>
        <v>1.0000000108990772</v>
      </c>
      <c r="V125" s="4">
        <f t="shared" si="113"/>
        <v>1.4764198001997078E-4</v>
      </c>
      <c r="W125" t="str">
        <f t="shared" si="102"/>
        <v>1-0,00128161441920786i</v>
      </c>
      <c r="X125" s="4">
        <f t="shared" si="114"/>
        <v>1.0000008212674225</v>
      </c>
      <c r="Y125" s="4">
        <f t="shared" si="115"/>
        <v>-1.2816137175094828E-3</v>
      </c>
      <c r="Z125" t="str">
        <f t="shared" si="103"/>
        <v>0,999999944784629+0,00109885620302882i</v>
      </c>
      <c r="AA125" s="4">
        <f t="shared" si="116"/>
        <v>1.0000005485269574</v>
      </c>
      <c r="AB125" s="4">
        <f t="shared" si="117"/>
        <v>1.0988558214187125E-3</v>
      </c>
      <c r="AC125" s="48" t="str">
        <f t="shared" si="118"/>
        <v>1,09321248489692-19,1708895796997i</v>
      </c>
      <c r="AD125" s="20">
        <f t="shared" si="119"/>
        <v>25.666944817238765</v>
      </c>
      <c r="AE125" s="44">
        <f t="shared" si="120"/>
        <v>-86.736265183706124</v>
      </c>
      <c r="AF125" t="str">
        <f t="shared" si="104"/>
        <v>-20791,6666666667</v>
      </c>
      <c r="AG125" t="str">
        <f t="shared" si="121"/>
        <v>738,209905463727i</v>
      </c>
      <c r="AH125">
        <f t="shared" si="122"/>
        <v>738.20990546372695</v>
      </c>
      <c r="AI125">
        <f t="shared" si="123"/>
        <v>1.5707963267948966</v>
      </c>
      <c r="AJ125" t="str">
        <f t="shared" si="105"/>
        <v>0,98983453001074+0,866081887078249i</v>
      </c>
      <c r="AK125">
        <f t="shared" si="124"/>
        <v>1.3152453124518646</v>
      </c>
      <c r="AL125">
        <f t="shared" si="125"/>
        <v>0.71881665221302204</v>
      </c>
      <c r="AM125" t="str">
        <f t="shared" si="106"/>
        <v>1+1,1905849355319i</v>
      </c>
      <c r="AN125">
        <f t="shared" si="126"/>
        <v>1.5548287650784889</v>
      </c>
      <c r="AO125">
        <f t="shared" si="127"/>
        <v>0.87218148706526311</v>
      </c>
      <c r="AP125" t="str">
        <f t="shared" si="107"/>
        <v>1+0,83624418090931i</v>
      </c>
      <c r="AQ125">
        <f t="shared" si="128"/>
        <v>1.3035736765157091</v>
      </c>
      <c r="AR125">
        <f t="shared" si="129"/>
        <v>0.69645369603566942</v>
      </c>
      <c r="AS125" s="42" t="str">
        <f t="shared" si="130"/>
        <v>-32,6027051954402+28,6512360967444i</v>
      </c>
      <c r="AT125">
        <f t="shared" si="131"/>
        <v>32.750416432693157</v>
      </c>
      <c r="AU125" s="44">
        <f t="shared" si="132"/>
        <v>138.69101517188525</v>
      </c>
      <c r="AV125" s="42" t="str">
        <f t="shared" si="108"/>
        <v>513,627999171524+656,344750309976i</v>
      </c>
      <c r="AW125" s="20">
        <f t="shared" si="133"/>
        <v>58.417361249931929</v>
      </c>
      <c r="AX125" s="44">
        <f t="shared" si="134"/>
        <v>51.954749988179145</v>
      </c>
    </row>
    <row r="126" spans="14:50" x14ac:dyDescent="0.3">
      <c r="N126" s="8">
        <v>8</v>
      </c>
      <c r="O126" s="35">
        <f t="shared" si="135"/>
        <v>120.22644346174135</v>
      </c>
      <c r="P126" s="34" t="str">
        <f t="shared" si="99"/>
        <v>324,571428571429</v>
      </c>
      <c r="Q126" s="4" t="str">
        <f t="shared" si="100"/>
        <v>1+17,2664005278462i</v>
      </c>
      <c r="R126" s="4">
        <f t="shared" si="110"/>
        <v>17.295334260661388</v>
      </c>
      <c r="S126" s="4">
        <f t="shared" si="111"/>
        <v>1.5129450011846557</v>
      </c>
      <c r="T126" s="4" t="str">
        <f t="shared" si="101"/>
        <v>1+0,000151081004618654i</v>
      </c>
      <c r="U126" s="4">
        <f t="shared" si="112"/>
        <v>1.000000011412735</v>
      </c>
      <c r="V126" s="4">
        <f t="shared" si="113"/>
        <v>1.5108100346915569E-4</v>
      </c>
      <c r="W126" t="str">
        <f t="shared" si="102"/>
        <v>1-0,00131146705398137i</v>
      </c>
      <c r="X126" s="4">
        <f t="shared" si="114"/>
        <v>1.0000008599725472</v>
      </c>
      <c r="Y126" s="4">
        <f t="shared" si="115"/>
        <v>-1.3114663020980474E-3</v>
      </c>
      <c r="Z126" t="str">
        <f t="shared" si="103"/>
        <v>0,999999942182409+0,00112445185208363i</v>
      </c>
      <c r="AA126" s="4">
        <f t="shared" si="116"/>
        <v>1.0000005743782296</v>
      </c>
      <c r="AB126" s="4">
        <f t="shared" si="117"/>
        <v>1.1244514431810451E-3</v>
      </c>
      <c r="AC126" s="48" t="str">
        <f t="shared" si="118"/>
        <v>1,04224758658756-18,7374565795569i</v>
      </c>
      <c r="AD126" s="20">
        <f t="shared" si="119"/>
        <v>25.467629122590147</v>
      </c>
      <c r="AE126" s="44">
        <f t="shared" si="120"/>
        <v>-86.816274705478236</v>
      </c>
      <c r="AF126" t="str">
        <f t="shared" si="104"/>
        <v>-20791,6666666667</v>
      </c>
      <c r="AG126" t="str">
        <f t="shared" si="121"/>
        <v>755,405023093271i</v>
      </c>
      <c r="AH126">
        <f t="shared" si="122"/>
        <v>755.40502309327098</v>
      </c>
      <c r="AI126">
        <f t="shared" si="123"/>
        <v>1.5707963267948966</v>
      </c>
      <c r="AJ126" t="str">
        <f t="shared" si="105"/>
        <v>0,989355446169891+0,886255525788464i</v>
      </c>
      <c r="AK126">
        <f t="shared" si="124"/>
        <v>1.32825940834485</v>
      </c>
      <c r="AL126">
        <f t="shared" si="125"/>
        <v>0.730484714430922</v>
      </c>
      <c r="AM126" t="str">
        <f t="shared" si="106"/>
        <v>1+1,21831722124483i</v>
      </c>
      <c r="AN126">
        <f t="shared" si="126"/>
        <v>1.5761652361290439</v>
      </c>
      <c r="AO126">
        <f t="shared" si="127"/>
        <v>0.88349794788695957</v>
      </c>
      <c r="AP126" t="str">
        <f t="shared" si="107"/>
        <v>1+0,855722810160057i</v>
      </c>
      <c r="AQ126">
        <f t="shared" si="128"/>
        <v>1.3161540669041087</v>
      </c>
      <c r="AR126">
        <f t="shared" si="129"/>
        <v>0.7078070821900625</v>
      </c>
      <c r="AS126" s="42" t="str">
        <f t="shared" si="130"/>
        <v>-32,6002143866042+28,0194589796378i</v>
      </c>
      <c r="AT126">
        <f t="shared" si="131"/>
        <v>32.666700186412804</v>
      </c>
      <c r="AU126" s="44">
        <f t="shared" si="132"/>
        <v>139.32137100564083</v>
      </c>
      <c r="AV126" s="42" t="str">
        <f t="shared" si="108"/>
        <v>491,035901246964+640,048315052259i</v>
      </c>
      <c r="AW126" s="20">
        <f t="shared" si="133"/>
        <v>58.13432930900295</v>
      </c>
      <c r="AX126" s="44">
        <f t="shared" si="134"/>
        <v>52.505096300162563</v>
      </c>
    </row>
    <row r="127" spans="14:50" x14ac:dyDescent="0.3">
      <c r="N127" s="8">
        <v>9</v>
      </c>
      <c r="O127" s="35">
        <f t="shared" si="135"/>
        <v>123.02687708123821</v>
      </c>
      <c r="P127" s="34" t="str">
        <f t="shared" si="99"/>
        <v>324,571428571429</v>
      </c>
      <c r="Q127" s="4" t="str">
        <f t="shared" si="100"/>
        <v>1+17,6685866620577i</v>
      </c>
      <c r="R127" s="4">
        <f t="shared" si="110"/>
        <v>17.69686284725751</v>
      </c>
      <c r="S127" s="4">
        <f t="shared" si="111"/>
        <v>1.5142590211796574</v>
      </c>
      <c r="T127" s="4" t="str">
        <f t="shared" si="101"/>
        <v>1+0,000154600133293005i</v>
      </c>
      <c r="U127" s="4">
        <f t="shared" si="112"/>
        <v>1.0000000119506005</v>
      </c>
      <c r="V127" s="4">
        <f t="shared" si="113"/>
        <v>1.5460013206129537E-4</v>
      </c>
      <c r="W127" t="str">
        <f t="shared" si="102"/>
        <v>1-0,00134201504594622i</v>
      </c>
      <c r="X127" s="4">
        <f t="shared" si="114"/>
        <v>1.0000009005017865</v>
      </c>
      <c r="Y127" s="4">
        <f t="shared" si="115"/>
        <v>-1.3420142402887636E-3</v>
      </c>
      <c r="Z127" t="str">
        <f t="shared" si="103"/>
        <v>0,99999993945755+0,00115064370039429i</v>
      </c>
      <c r="AA127" s="4">
        <f t="shared" si="116"/>
        <v>1.0000006014478335</v>
      </c>
      <c r="AB127" s="4">
        <f t="shared" si="117"/>
        <v>1.1506432622472903E-3</v>
      </c>
      <c r="AC127" s="48" t="str">
        <f t="shared" si="118"/>
        <v>0,993561493082916-18,3136935100544i</v>
      </c>
      <c r="AD127" s="20">
        <f t="shared" si="119"/>
        <v>25.268282740460211</v>
      </c>
      <c r="AE127" s="44">
        <f t="shared" si="120"/>
        <v>-86.894611822793166</v>
      </c>
      <c r="AF127" t="str">
        <f t="shared" si="104"/>
        <v>-20791,6666666667</v>
      </c>
      <c r="AG127" t="str">
        <f t="shared" si="121"/>
        <v>773,000666465025i</v>
      </c>
      <c r="AH127">
        <f t="shared" si="122"/>
        <v>773.00066646502501</v>
      </c>
      <c r="AI127">
        <f t="shared" si="123"/>
        <v>1.5707963267948966</v>
      </c>
      <c r="AJ127" t="str">
        <f t="shared" si="105"/>
        <v>0,988853783803228+0,90689906890943i</v>
      </c>
      <c r="AK127">
        <f t="shared" si="124"/>
        <v>1.3417517381880868</v>
      </c>
      <c r="AL127">
        <f t="shared" si="125"/>
        <v>0.74219436861798527</v>
      </c>
      <c r="AM127" t="str">
        <f t="shared" si="106"/>
        <v>1+1,24669547487479i</v>
      </c>
      <c r="AN127">
        <f t="shared" si="126"/>
        <v>1.5982019919501034</v>
      </c>
      <c r="AO127">
        <f t="shared" si="127"/>
        <v>0.89476373241182816</v>
      </c>
      <c r="AP127" t="str">
        <f t="shared" si="107"/>
        <v>1+0,87565515497158i</v>
      </c>
      <c r="AQ127">
        <f t="shared" si="128"/>
        <v>1.3291997406064679</v>
      </c>
      <c r="AR127">
        <f t="shared" si="129"/>
        <v>0.71920094039092874</v>
      </c>
      <c r="AS127" s="42" t="str">
        <f t="shared" si="130"/>
        <v>-32,5976993126977+27,4024337914948i</v>
      </c>
      <c r="AT127">
        <f t="shared" si="131"/>
        <v>32.585183689171878</v>
      </c>
      <c r="AU127" s="44">
        <f t="shared" si="132"/>
        <v>139.9487591346234</v>
      </c>
      <c r="AV127" s="42" t="str">
        <f t="shared" si="108"/>
        <v>469,451955086802+624,21027737764i</v>
      </c>
      <c r="AW127" s="20">
        <f t="shared" si="133"/>
        <v>57.853466429632086</v>
      </c>
      <c r="AX127" s="44">
        <f t="shared" si="134"/>
        <v>53.05414731183027</v>
      </c>
    </row>
    <row r="128" spans="14:50" x14ac:dyDescent="0.3">
      <c r="N128" s="8">
        <v>10</v>
      </c>
      <c r="O128" s="35">
        <f t="shared" si="135"/>
        <v>125.89254117941677</v>
      </c>
      <c r="P128" s="34" t="str">
        <f t="shared" si="99"/>
        <v>324,571428571429</v>
      </c>
      <c r="Q128" s="4" t="str">
        <f t="shared" si="100"/>
        <v>1+18,0801409147888i</v>
      </c>
      <c r="R128" s="4">
        <f t="shared" si="110"/>
        <v>18.107774449076285</v>
      </c>
      <c r="S128" s="4">
        <f t="shared" si="111"/>
        <v>1.5155433193144108</v>
      </c>
      <c r="T128" s="4" t="str">
        <f t="shared" si="101"/>
        <v>1+0,000158201233004402i</v>
      </c>
      <c r="U128" s="4">
        <f t="shared" si="112"/>
        <v>1.0000000125138151</v>
      </c>
      <c r="V128" s="4">
        <f t="shared" si="113"/>
        <v>1.5820123168460137E-4</v>
      </c>
      <c r="W128" t="str">
        <f t="shared" si="102"/>
        <v>1-0,0013732745920521i</v>
      </c>
      <c r="X128" s="4">
        <f t="shared" si="114"/>
        <v>1.0000009429411081</v>
      </c>
      <c r="Y128" s="4">
        <f t="shared" si="115"/>
        <v>-1.3732737287746261E-3</v>
      </c>
      <c r="Z128" t="str">
        <f t="shared" si="103"/>
        <v>0,999999936604272+0,00117744563522547i</v>
      </c>
      <c r="AA128" s="4">
        <f t="shared" si="116"/>
        <v>1.0000006297931876</v>
      </c>
      <c r="AB128" s="4">
        <f t="shared" si="117"/>
        <v>1.1774451657425176E-3</v>
      </c>
      <c r="AC128" s="48" t="str">
        <f t="shared" si="118"/>
        <v>0,947052954382181-17,8993932567548i</v>
      </c>
      <c r="AD128" s="20">
        <f t="shared" si="119"/>
        <v>25.068907043690231</v>
      </c>
      <c r="AE128" s="44">
        <f t="shared" si="120"/>
        <v>-86.971317030454202</v>
      </c>
      <c r="AF128" t="str">
        <f t="shared" si="104"/>
        <v>-20791,6666666667</v>
      </c>
      <c r="AG128" t="str">
        <f t="shared" si="121"/>
        <v>791,006165022012i</v>
      </c>
      <c r="AH128">
        <f t="shared" si="122"/>
        <v>791.00616502201206</v>
      </c>
      <c r="AI128">
        <f t="shared" si="123"/>
        <v>1.5707963267948966</v>
      </c>
      <c r="AJ128" t="str">
        <f t="shared" si="105"/>
        <v>0,988328478817613+0,92802346192096i</v>
      </c>
      <c r="AK128">
        <f t="shared" si="124"/>
        <v>1.3557362309526511</v>
      </c>
      <c r="AL128">
        <f t="shared" si="125"/>
        <v>0.75393989040151044</v>
      </c>
      <c r="AM128" t="str">
        <f t="shared" si="106"/>
        <v>1+1,2757347429475i</v>
      </c>
      <c r="AN128">
        <f t="shared" si="126"/>
        <v>1.620956240730552</v>
      </c>
      <c r="AO128">
        <f t="shared" si="127"/>
        <v>0.90597337595892224</v>
      </c>
      <c r="AP128" t="str">
        <f t="shared" si="107"/>
        <v>1+0,896051783736935i</v>
      </c>
      <c r="AQ128">
        <f t="shared" si="128"/>
        <v>1.3427243943334546</v>
      </c>
      <c r="AR128">
        <f t="shared" si="129"/>
        <v>0.73062947949103585</v>
      </c>
      <c r="AS128" s="42" t="str">
        <f t="shared" si="130"/>
        <v>-32,5951618086317+26,7998324755494i</v>
      </c>
      <c r="AT128">
        <f t="shared" si="131"/>
        <v>32.505848062979098</v>
      </c>
      <c r="AU128" s="44">
        <f t="shared" si="132"/>
        <v>140.57286262977934</v>
      </c>
      <c r="AV128" s="42" t="str">
        <f t="shared" si="108"/>
        <v>448,831396405577+608,81448000317i</v>
      </c>
      <c r="AW128" s="20">
        <f t="shared" si="133"/>
        <v>57.574755106669322</v>
      </c>
      <c r="AX128" s="44">
        <f t="shared" si="134"/>
        <v>53.601545599325142</v>
      </c>
    </row>
    <row r="129" spans="14:50" x14ac:dyDescent="0.3">
      <c r="N129" s="8">
        <v>11</v>
      </c>
      <c r="O129" s="35">
        <f t="shared" si="135"/>
        <v>128.82495516931343</v>
      </c>
      <c r="P129" s="34" t="str">
        <f t="shared" si="99"/>
        <v>324,571428571429</v>
      </c>
      <c r="Q129" s="4" t="str">
        <f t="shared" si="100"/>
        <v>1+18,501281497552i</v>
      </c>
      <c r="R129" s="4">
        <f t="shared" si="110"/>
        <v>18.528286943256788</v>
      </c>
      <c r="S129" s="4">
        <f t="shared" si="111"/>
        <v>1.5167985595843974</v>
      </c>
      <c r="T129" s="4" t="str">
        <f t="shared" si="101"/>
        <v>1+0,00016188621310358i</v>
      </c>
      <c r="U129" s="4">
        <f t="shared" si="112"/>
        <v>1.0000000131035729</v>
      </c>
      <c r="V129" s="4">
        <f t="shared" si="113"/>
        <v>1.6188621168938816E-4</v>
      </c>
      <c r="W129" t="str">
        <f t="shared" si="102"/>
        <v>1-0,00140526226652413i</v>
      </c>
      <c r="X129" s="4">
        <f t="shared" si="114"/>
        <v>1.0000009873805313</v>
      </c>
      <c r="Y129" s="4">
        <f t="shared" si="115"/>
        <v>-1.4052613415057003E-3</v>
      </c>
      <c r="Z129" t="str">
        <f t="shared" si="103"/>
        <v>0,999999933616524+0,00120487186731779i</v>
      </c>
      <c r="AA129" s="4">
        <f t="shared" si="116"/>
        <v>1.0000006594744171</v>
      </c>
      <c r="AB129" s="4">
        <f t="shared" si="117"/>
        <v>1.2048713642577602E-3</v>
      </c>
      <c r="AC129" s="48" t="str">
        <f t="shared" si="118"/>
        <v>0,902625162741056-17,4943525618747i</v>
      </c>
      <c r="AD129" s="20">
        <f t="shared" si="119"/>
        <v>24.869503344130006</v>
      </c>
      <c r="AE129" s="44">
        <f t="shared" si="120"/>
        <v>-87.046430027026616</v>
      </c>
      <c r="AF129" t="str">
        <f t="shared" si="104"/>
        <v>-20791,6666666667</v>
      </c>
      <c r="AG129" t="str">
        <f t="shared" si="121"/>
        <v>809,431065517899i</v>
      </c>
      <c r="AH129">
        <f t="shared" si="122"/>
        <v>809.43106551789901</v>
      </c>
      <c r="AI129">
        <f t="shared" si="123"/>
        <v>1.5707963267948966</v>
      </c>
      <c r="AJ129" t="str">
        <f t="shared" si="105"/>
        <v>0,987778416970742+0,949639905255844i</v>
      </c>
      <c r="AK129">
        <f t="shared" si="124"/>
        <v>1.370227043481318</v>
      </c>
      <c r="AL129">
        <f t="shared" si="125"/>
        <v>0.76571548253482469</v>
      </c>
      <c r="AM129" t="str">
        <f t="shared" si="106"/>
        <v>1+1,30545042246727i</v>
      </c>
      <c r="AN129">
        <f t="shared" si="126"/>
        <v>1.6444454401165076</v>
      </c>
      <c r="AO129">
        <f t="shared" si="127"/>
        <v>0.91712155415561325</v>
      </c>
      <c r="AP129" t="str">
        <f t="shared" si="107"/>
        <v>1+0,916923511018676i</v>
      </c>
      <c r="AQ129">
        <f t="shared" si="128"/>
        <v>1.3567419522734661</v>
      </c>
      <c r="AR129">
        <f t="shared" si="129"/>
        <v>0.74208681840293156</v>
      </c>
      <c r="AS129" s="42" t="str">
        <f t="shared" si="130"/>
        <v>-32,5926037354677+26,211334780123i</v>
      </c>
      <c r="AT129">
        <f t="shared" si="131"/>
        <v>32.428672478368213</v>
      </c>
      <c r="AU129" s="44">
        <f t="shared" si="132"/>
        <v>141.19337162330581</v>
      </c>
      <c r="AV129" s="42" t="str">
        <f t="shared" si="108"/>
        <v>429,131427509919+593,845510979315i</v>
      </c>
      <c r="AW129" s="20">
        <f t="shared" si="133"/>
        <v>57.298175822498223</v>
      </c>
      <c r="AX129" s="44">
        <f t="shared" si="134"/>
        <v>54.146941596279191</v>
      </c>
    </row>
    <row r="130" spans="14:50" x14ac:dyDescent="0.3">
      <c r="N130" s="8">
        <v>12</v>
      </c>
      <c r="O130" s="35">
        <f t="shared" si="135"/>
        <v>131.82567385564084</v>
      </c>
      <c r="P130" s="34" t="str">
        <f t="shared" si="99"/>
        <v>324,571428571429</v>
      </c>
      <c r="Q130" s="4" t="str">
        <f t="shared" si="100"/>
        <v>1+18,9322317046585i</v>
      </c>
      <c r="R130" s="4">
        <f t="shared" si="110"/>
        <v>18.958623297034951</v>
      </c>
      <c r="S130" s="4">
        <f t="shared" si="111"/>
        <v>1.518025391703322</v>
      </c>
      <c r="T130" s="4" t="str">
        <f t="shared" si="101"/>
        <v>1+0,000165657027415762i</v>
      </c>
      <c r="U130" s="4">
        <f t="shared" si="112"/>
        <v>1.0000000137211253</v>
      </c>
      <c r="V130" s="4">
        <f t="shared" si="113"/>
        <v>1.6565702590042814E-4</v>
      </c>
      <c r="W130" t="str">
        <f t="shared" si="102"/>
        <v>1-0,00143799502965071i</v>
      </c>
      <c r="X130" s="4">
        <f t="shared" si="114"/>
        <v>1.0000010339143182</v>
      </c>
      <c r="Y130" s="4">
        <f t="shared" si="115"/>
        <v>-1.4379940384756601E-3</v>
      </c>
      <c r="Z130" t="str">
        <f t="shared" si="103"/>
        <v>0,999999930487967+0,00123293693842252i</v>
      </c>
      <c r="AA130" s="4">
        <f t="shared" si="116"/>
        <v>1.000000690554478</v>
      </c>
      <c r="AB130" s="4">
        <f t="shared" si="117"/>
        <v>1.2329363993840066E-3</v>
      </c>
      <c r="AC130" s="48" t="str">
        <f t="shared" si="118"/>
        <v>0,860185562731722-17,0983719926792i</v>
      </c>
      <c r="AD130" s="20">
        <f t="shared" si="119"/>
        <v>24.670072895317297</v>
      </c>
      <c r="AE130" s="44">
        <f t="shared" si="120"/>
        <v>-87.119989731325575</v>
      </c>
      <c r="AF130" t="str">
        <f t="shared" si="104"/>
        <v>-20791,6666666667</v>
      </c>
      <c r="AG130" t="str">
        <f t="shared" si="121"/>
        <v>828,285137078811i</v>
      </c>
      <c r="AH130">
        <f t="shared" si="122"/>
        <v>828.28513707881098</v>
      </c>
      <c r="AI130">
        <f t="shared" si="123"/>
        <v>1.5707963267948966</v>
      </c>
      <c r="AJ130" t="str">
        <f t="shared" si="105"/>
        <v>0,987202431507689+0,971759860238465i</v>
      </c>
      <c r="AK130">
        <f t="shared" si="124"/>
        <v>1.3852385595071248</v>
      </c>
      <c r="AL130">
        <f t="shared" si="125"/>
        <v>0.77751529017041843</v>
      </c>
      <c r="AM130" t="str">
        <f t="shared" si="106"/>
        <v>1+1,33585826908071i</v>
      </c>
      <c r="AN130">
        <f t="shared" si="126"/>
        <v>1.6686873029634133</v>
      </c>
      <c r="AO130">
        <f t="shared" si="127"/>
        <v>0.92820309430285253</v>
      </c>
      <c r="AP130" t="str">
        <f t="shared" si="107"/>
        <v>1+0,938281403282877i</v>
      </c>
      <c r="AQ130">
        <f t="shared" si="128"/>
        <v>1.3712665648029505</v>
      </c>
      <c r="AR130">
        <f t="shared" si="129"/>
        <v>0.75356700085017836</v>
      </c>
      <c r="AS130" s="42" t="str">
        <f t="shared" si="130"/>
        <v>-32,5900269697899+25,6366280928798i</v>
      </c>
      <c r="AT130">
        <f t="shared" si="131"/>
        <v>32.353634235157898</v>
      </c>
      <c r="AU130" s="44">
        <f t="shared" si="132"/>
        <v>141.80998392992905</v>
      </c>
      <c r="AV130" s="42" t="str">
        <f t="shared" si="108"/>
        <v>410,311133081578+579,288661743533i</v>
      </c>
      <c r="AW130" s="20">
        <f t="shared" si="133"/>
        <v>57.023707130475202</v>
      </c>
      <c r="AX130" s="44">
        <f t="shared" si="134"/>
        <v>54.689994198603458</v>
      </c>
    </row>
    <row r="131" spans="14:50" x14ac:dyDescent="0.3">
      <c r="N131" s="8">
        <v>13</v>
      </c>
      <c r="O131" s="35">
        <f t="shared" si="135"/>
        <v>134.89628825916537</v>
      </c>
      <c r="P131" s="34" t="str">
        <f t="shared" si="99"/>
        <v>324,571428571429</v>
      </c>
      <c r="Q131" s="4" t="str">
        <f t="shared" si="100"/>
        <v>1+19,3732200316126i</v>
      </c>
      <c r="R131" s="4">
        <f t="shared" si="110"/>
        <v>19.399011685992559</v>
      </c>
      <c r="S131" s="4">
        <f t="shared" si="111"/>
        <v>1.5192244513732314</v>
      </c>
      <c r="T131" s="4" t="str">
        <f t="shared" si="101"/>
        <v>1+0,00016951567527661i</v>
      </c>
      <c r="U131" s="4">
        <f t="shared" si="112"/>
        <v>1.0000000143677821</v>
      </c>
      <c r="V131" s="4">
        <f t="shared" si="113"/>
        <v>1.6951567365290052E-4</v>
      </c>
      <c r="W131" t="str">
        <f t="shared" si="102"/>
        <v>1-0,00147149023677613i</v>
      </c>
      <c r="X131" s="4">
        <f t="shared" si="114"/>
        <v>1.0000010826411725</v>
      </c>
      <c r="Y131" s="4">
        <f t="shared" si="115"/>
        <v>-1.4714891747129913E-3</v>
      </c>
      <c r="Z131" t="str">
        <f t="shared" si="103"/>
        <v>0,999999927211966+0,00126165572901185i</v>
      </c>
      <c r="AA131" s="4">
        <f t="shared" si="116"/>
        <v>1.0000007230992964</v>
      </c>
      <c r="AB131" s="4">
        <f t="shared" si="117"/>
        <v>1.2616551514216989E-3</v>
      </c>
      <c r="AC131" s="48" t="str">
        <f t="shared" si="118"/>
        <v>0,819645668985019-16,7112559069582i</v>
      </c>
      <c r="AD131" s="20">
        <f t="shared" si="119"/>
        <v>24.47061689504093</v>
      </c>
      <c r="AE131" s="44">
        <f t="shared" si="120"/>
        <v>-87.192034298790119</v>
      </c>
      <c r="AF131" t="str">
        <f t="shared" si="104"/>
        <v>-20791,6666666667</v>
      </c>
      <c r="AG131" t="str">
        <f t="shared" si="121"/>
        <v>847,57837638305i</v>
      </c>
      <c r="AH131">
        <f t="shared" si="122"/>
        <v>847.57837638305</v>
      </c>
      <c r="AI131">
        <f t="shared" si="123"/>
        <v>1.5707963267948966</v>
      </c>
      <c r="AJ131" t="str">
        <f t="shared" si="105"/>
        <v>0,986599300686065+0,994395055161746i</v>
      </c>
      <c r="AK131">
        <f t="shared" si="124"/>
        <v>1.4007853889316395</v>
      </c>
      <c r="AL131">
        <f t="shared" si="125"/>
        <v>0.78933341652443356</v>
      </c>
      <c r="AM131" t="str">
        <f t="shared" si="106"/>
        <v>1+1,36697440543058i</v>
      </c>
      <c r="AN131">
        <f t="shared" si="126"/>
        <v>1.6936998037144266</v>
      </c>
      <c r="AO131">
        <f t="shared" si="127"/>
        <v>0.93921298585922131</v>
      </c>
      <c r="AP131" t="str">
        <f t="shared" si="107"/>
        <v>1+0,960136784766719i</v>
      </c>
      <c r="AQ131">
        <f t="shared" si="128"/>
        <v>1.3863126074093726</v>
      </c>
      <c r="AR131">
        <f t="shared" si="129"/>
        <v>0.76506401059386187</v>
      </c>
      <c r="AS131" s="42" t="str">
        <f t="shared" si="130"/>
        <v>-32,5874333926806+25,0754072782187i</v>
      </c>
      <c r="AT131">
        <f t="shared" si="131"/>
        <v>32.280708848672674</v>
      </c>
      <c r="AU131" s="44">
        <f t="shared" si="132"/>
        <v>142.42240562250211</v>
      </c>
      <c r="AV131" s="42" t="str">
        <f t="shared" si="108"/>
        <v>392,331399353867+565,129887749668i</v>
      </c>
      <c r="AW131" s="20">
        <f t="shared" si="133"/>
        <v>56.751325743713608</v>
      </c>
      <c r="AX131" s="44">
        <f t="shared" si="134"/>
        <v>55.230371323711964</v>
      </c>
    </row>
    <row r="132" spans="14:50" x14ac:dyDescent="0.3">
      <c r="N132" s="8">
        <v>14</v>
      </c>
      <c r="O132" s="35">
        <f t="shared" si="135"/>
        <v>138.0384264602886</v>
      </c>
      <c r="P132" s="34" t="str">
        <f t="shared" si="99"/>
        <v>324,571428571429</v>
      </c>
      <c r="Q132" s="4" t="str">
        <f t="shared" si="100"/>
        <v>1+19,8244802962623i</v>
      </c>
      <c r="R132" s="4">
        <f t="shared" si="110"/>
        <v>19.849685615064338</v>
      </c>
      <c r="S132" s="4">
        <f t="shared" si="111"/>
        <v>1.5203963605520814</v>
      </c>
      <c r="T132" s="4" t="str">
        <f t="shared" si="101"/>
        <v>1+0,000173464202592295i</v>
      </c>
      <c r="U132" s="4">
        <f t="shared" si="112"/>
        <v>1.0000000150449146</v>
      </c>
      <c r="V132" s="4">
        <f t="shared" si="113"/>
        <v>1.7346420085245895E-4</v>
      </c>
      <c r="W132" t="str">
        <f t="shared" si="102"/>
        <v>1-0,00150576564750256i</v>
      </c>
      <c r="X132" s="4">
        <f t="shared" si="114"/>
        <v>1.0000011336644499</v>
      </c>
      <c r="Y132" s="4">
        <f t="shared" si="115"/>
        <v>-1.5057645094814734E-3</v>
      </c>
      <c r="Z132" t="str">
        <f t="shared" si="103"/>
        <v>0,999999923781571+0,00129104346616869i</v>
      </c>
      <c r="AA132" s="4">
        <f t="shared" si="116"/>
        <v>1.000000757177903</v>
      </c>
      <c r="AB132" s="4">
        <f t="shared" si="117"/>
        <v>1.2910428472697186E-3</v>
      </c>
      <c r="AC132" s="48" t="str">
        <f t="shared" si="118"/>
        <v>0,780920891343941-16,3328124158875i</v>
      </c>
      <c r="AD132" s="20">
        <f t="shared" si="119"/>
        <v>24.271136487795467</v>
      </c>
      <c r="AE132" s="44">
        <f t="shared" si="120"/>
        <v>-87.262601137732389</v>
      </c>
      <c r="AF132" t="str">
        <f t="shared" si="104"/>
        <v>-20791,6666666667</v>
      </c>
      <c r="AG132" t="str">
        <f t="shared" si="121"/>
        <v>867,321012961475i</v>
      </c>
      <c r="AH132">
        <f t="shared" si="122"/>
        <v>867.32101296147505</v>
      </c>
      <c r="AI132">
        <f t="shared" si="123"/>
        <v>1.5707963267948966</v>
      </c>
      <c r="AJ132" t="str">
        <f t="shared" si="105"/>
        <v>0,985967745184532+1,01755749150565i</v>
      </c>
      <c r="AK132">
        <f t="shared" si="124"/>
        <v>1.4168823674051214</v>
      </c>
      <c r="AL132">
        <f t="shared" si="125"/>
        <v>0.80116393883512982</v>
      </c>
      <c r="AM132" t="str">
        <f t="shared" si="106"/>
        <v>1+1,39881532970427i</v>
      </c>
      <c r="AN132">
        <f t="shared" si="126"/>
        <v>1.7195011854068798</v>
      </c>
      <c r="AO132">
        <f t="shared" si="127"/>
        <v>0.95014639000279977</v>
      </c>
      <c r="AP132" t="str">
        <f t="shared" si="107"/>
        <v>1+0,982501243482759i</v>
      </c>
      <c r="AQ132">
        <f t="shared" si="128"/>
        <v>1.4018946798690577</v>
      </c>
      <c r="AR132">
        <f t="shared" si="129"/>
        <v>0.77657178704115026</v>
      </c>
      <c r="AS132" s="42" t="str">
        <f t="shared" si="130"/>
        <v>-32,584824878382+24,5273745176789i</v>
      </c>
      <c r="AT132">
        <f t="shared" si="131"/>
        <v>32.209870140753708</v>
      </c>
      <c r="AU132" s="44">
        <f t="shared" si="132"/>
        <v>143.03035155981144</v>
      </c>
      <c r="AV132" s="42" t="str">
        <f t="shared" si="108"/>
        <v>375,154836563156+551,35577151383i</v>
      </c>
      <c r="AW132" s="20">
        <f t="shared" si="133"/>
        <v>56.481006628549167</v>
      </c>
      <c r="AX132" s="44">
        <f t="shared" si="134"/>
        <v>55.767750422079082</v>
      </c>
    </row>
    <row r="133" spans="14:50" x14ac:dyDescent="0.3">
      <c r="N133" s="8">
        <v>15</v>
      </c>
      <c r="O133" s="35">
        <f t="shared" si="135"/>
        <v>141.25375446227542</v>
      </c>
      <c r="P133" s="34" t="str">
        <f t="shared" si="99"/>
        <v>324,571428571429</v>
      </c>
      <c r="Q133" s="4" t="str">
        <f t="shared" si="100"/>
        <v>1+20,2862517627731i</v>
      </c>
      <c r="R133" s="4">
        <f t="shared" si="110"/>
        <v>20.310884042370354</v>
      </c>
      <c r="S133" s="4">
        <f t="shared" si="111"/>
        <v>1.5215417277185925</v>
      </c>
      <c r="T133" s="4" t="str">
        <f t="shared" si="101"/>
        <v>1+0,000177504702924264i</v>
      </c>
      <c r="U133" s="4">
        <f t="shared" si="112"/>
        <v>1.0000000157539597</v>
      </c>
      <c r="V133" s="4">
        <f t="shared" si="113"/>
        <v>1.7750470105999607E-4</v>
      </c>
      <c r="W133" t="str">
        <f t="shared" si="102"/>
        <v>1-0,00154083943510646i</v>
      </c>
      <c r="X133" s="4">
        <f t="shared" si="114"/>
        <v>1.0000011870923777</v>
      </c>
      <c r="Y133" s="4">
        <f t="shared" si="115"/>
        <v>-1.5408382156949741E-3</v>
      </c>
      <c r="Z133" t="str">
        <f t="shared" si="103"/>
        <v>0,999999920189507+0,00132111573166028i</v>
      </c>
      <c r="AA133" s="4">
        <f t="shared" si="116"/>
        <v>1.0000007928625843</v>
      </c>
      <c r="AB133" s="4">
        <f t="shared" si="117"/>
        <v>1.3211150684981127E-3</v>
      </c>
      <c r="AC133" s="48" t="str">
        <f t="shared" si="118"/>
        <v>0,743930367162891-15,9628533445453i</v>
      </c>
      <c r="AD133" s="20">
        <f t="shared" si="119"/>
        <v>24.071632767129284</v>
      </c>
      <c r="AE133" s="44">
        <f t="shared" si="120"/>
        <v>-87.331726925452216</v>
      </c>
      <c r="AF133" t="str">
        <f t="shared" si="104"/>
        <v>-20791,6666666667</v>
      </c>
      <c r="AG133" t="str">
        <f t="shared" si="121"/>
        <v>887,523514621322i</v>
      </c>
      <c r="AH133">
        <f t="shared" si="122"/>
        <v>887.52351462132197</v>
      </c>
      <c r="AI133">
        <f t="shared" si="123"/>
        <v>1.5707963267948966</v>
      </c>
      <c r="AJ133" t="str">
        <f t="shared" si="105"/>
        <v>0,985306425389199+1,04125945030051i</v>
      </c>
      <c r="AK133">
        <f t="shared" si="124"/>
        <v>1.4335445562497739</v>
      </c>
      <c r="AL133">
        <f t="shared" si="125"/>
        <v>0.81300092451446226</v>
      </c>
      <c r="AM133" t="str">
        <f t="shared" si="106"/>
        <v>1+1,43139792438127i</v>
      </c>
      <c r="AN133">
        <f t="shared" si="126"/>
        <v>1.7461099673053264</v>
      </c>
      <c r="AO133">
        <f t="shared" si="127"/>
        <v>0.96099864823910364</v>
      </c>
      <c r="AP133" t="str">
        <f t="shared" si="107"/>
        <v>1+1,00538663736303i</v>
      </c>
      <c r="AQ133">
        <f t="shared" si="128"/>
        <v>1.4180276057214616</v>
      </c>
      <c r="AR133">
        <f t="shared" si="129"/>
        <v>0.78808424113815745</v>
      </c>
      <c r="AS133" s="42" t="str">
        <f t="shared" si="130"/>
        <v>-32,5822032827298+23,992239153248i</v>
      </c>
      <c r="AT133">
        <f t="shared" si="131"/>
        <v>32.141090334873525</v>
      </c>
      <c r="AU133" s="44">
        <f t="shared" si="132"/>
        <v>143.63354586495174</v>
      </c>
      <c r="AV133" s="42" t="str">
        <f t="shared" si="108"/>
        <v>358,745704559458+537,953487926714i</v>
      </c>
      <c r="AW133" s="20">
        <f t="shared" si="133"/>
        <v>56.212723102002812</v>
      </c>
      <c r="AX133" s="44">
        <f t="shared" si="134"/>
        <v>56.301818939499547</v>
      </c>
    </row>
    <row r="134" spans="14:50" x14ac:dyDescent="0.3">
      <c r="N134" s="8">
        <v>16</v>
      </c>
      <c r="O134" s="35">
        <f t="shared" si="135"/>
        <v>144.54397707459285</v>
      </c>
      <c r="P134" s="34" t="str">
        <f t="shared" si="99"/>
        <v>324,571428571429</v>
      </c>
      <c r="Q134" s="4" t="str">
        <f t="shared" si="100"/>
        <v>1+20,7587792684888i</v>
      </c>
      <c r="R134" s="4">
        <f t="shared" si="110"/>
        <v>20.782851505937302</v>
      </c>
      <c r="S134" s="4">
        <f t="shared" si="111"/>
        <v>1.5226611481342252</v>
      </c>
      <c r="T134" s="4" t="str">
        <f t="shared" si="101"/>
        <v>1+0,000181639318599277i</v>
      </c>
      <c r="U134" s="4">
        <f t="shared" si="112"/>
        <v>1.0000000164964209</v>
      </c>
      <c r="V134" s="4">
        <f t="shared" si="113"/>
        <v>1.8163931660167791E-4</v>
      </c>
      <c r="W134" t="str">
        <f t="shared" si="102"/>
        <v>1-0,00157673019617428i</v>
      </c>
      <c r="X134" s="4">
        <f t="shared" si="114"/>
        <v>1.0000012430382832</v>
      </c>
      <c r="Y134" s="4">
        <f t="shared" si="115"/>
        <v>-1.5767288895514196E-3</v>
      </c>
      <c r="Z134" t="str">
        <f t="shared" si="103"/>
        <v>0,999999916428155+0,00135188847019983i</v>
      </c>
      <c r="AA134" s="4">
        <f t="shared" si="116"/>
        <v>1.0000008302290317</v>
      </c>
      <c r="AB134" s="4">
        <f t="shared" si="117"/>
        <v>1.351887759608796E-3</v>
      </c>
      <c r="AC134" s="48" t="str">
        <f t="shared" si="118"/>
        <v>0,708596800493587-15,6011941903437i</v>
      </c>
      <c r="AD134" s="20">
        <f t="shared" si="119"/>
        <v>23.872106777892203</v>
      </c>
      <c r="AE134" s="44">
        <f t="shared" si="120"/>
        <v>-87.399447624209046</v>
      </c>
      <c r="AF134" t="str">
        <f t="shared" si="104"/>
        <v>-20791,6666666667</v>
      </c>
      <c r="AG134" t="str">
        <f t="shared" si="121"/>
        <v>908,196592996385i</v>
      </c>
      <c r="AH134">
        <f t="shared" si="122"/>
        <v>908.19659299638499</v>
      </c>
      <c r="AI134">
        <f t="shared" si="123"/>
        <v>1.5707963267948966</v>
      </c>
      <c r="AJ134" t="str">
        <f t="shared" si="105"/>
        <v>0,984613938552115+1,06551349863863i</v>
      </c>
      <c r="AK134">
        <f t="shared" si="124"/>
        <v>1.4507872427658861</v>
      </c>
      <c r="AL134">
        <f t="shared" si="125"/>
        <v>0.82483844738968937</v>
      </c>
      <c r="AM134" t="str">
        <f t="shared" si="106"/>
        <v>1+1,46473946518457i</v>
      </c>
      <c r="AN134">
        <f t="shared" si="126"/>
        <v>1.7735449531571452</v>
      </c>
      <c r="AO134">
        <f t="shared" si="127"/>
        <v>0.97176529003279655</v>
      </c>
      <c r="AP134" t="str">
        <f t="shared" si="107"/>
        <v>1+1,0288051005463i</v>
      </c>
      <c r="AQ134">
        <f t="shared" si="128"/>
        <v>1.434726432080375</v>
      </c>
      <c r="AR134">
        <f t="shared" si="129"/>
        <v>0.79959527144604048</v>
      </c>
      <c r="AS134" s="42" t="str">
        <f t="shared" si="130"/>
        <v>-32,5795704314533+23,4697175334725i</v>
      </c>
      <c r="AT134">
        <f t="shared" si="131"/>
        <v>32.074340154663076</v>
      </c>
      <c r="AU134" s="44">
        <f t="shared" si="132"/>
        <v>144.23172235310832</v>
      </c>
      <c r="AV134" s="42" t="str">
        <f t="shared" si="108"/>
        <v>343,069841463036+524,910771691789i</v>
      </c>
      <c r="AW134" s="20">
        <f t="shared" si="133"/>
        <v>55.946446932555283</v>
      </c>
      <c r="AX134" s="44">
        <f t="shared" si="134"/>
        <v>56.832274728899243</v>
      </c>
    </row>
    <row r="135" spans="14:50" x14ac:dyDescent="0.3">
      <c r="N135" s="8">
        <v>17</v>
      </c>
      <c r="O135" s="35">
        <f t="shared" si="135"/>
        <v>147.91083881682084</v>
      </c>
      <c r="P135" s="34" t="str">
        <f t="shared" si="99"/>
        <v>324,571428571429</v>
      </c>
      <c r="Q135" s="4" t="str">
        <f t="shared" si="100"/>
        <v>1+21,2423133537476i</v>
      </c>
      <c r="R135" s="4">
        <f t="shared" si="110"/>
        <v>21.265838253377261</v>
      </c>
      <c r="S135" s="4">
        <f t="shared" si="111"/>
        <v>1.5237552041021396</v>
      </c>
      <c r="T135" s="4" t="str">
        <f t="shared" si="101"/>
        <v>1+0,000185870241845291i</v>
      </c>
      <c r="U135" s="4">
        <f t="shared" si="112"/>
        <v>1.0000000172738732</v>
      </c>
      <c r="V135" s="4">
        <f t="shared" si="113"/>
        <v>1.8587023970482503E-4</v>
      </c>
      <c r="W135" t="str">
        <f t="shared" si="102"/>
        <v>1-0,0016134569604626i</v>
      </c>
      <c r="X135" s="4">
        <f t="shared" si="114"/>
        <v>1.0000013016208344</v>
      </c>
      <c r="Y135" s="4">
        <f t="shared" si="115"/>
        <v>-1.6134555603910788E-3</v>
      </c>
      <c r="Z135" t="str">
        <f t="shared" si="103"/>
        <v>0,999999912489535+0,00138337799790063i</v>
      </c>
      <c r="AA135" s="4">
        <f t="shared" si="116"/>
        <v>1.0000008693565035</v>
      </c>
      <c r="AB135" s="4">
        <f t="shared" si="117"/>
        <v>1.3833772364886549E-3</v>
      </c>
      <c r="AC135" s="48" t="str">
        <f t="shared" si="118"/>
        <v>0,674846307904649-15,2476540796115i</v>
      </c>
      <c r="AD135" s="20">
        <f t="shared" si="119"/>
        <v>23.672559518385988</v>
      </c>
      <c r="AE135" s="44">
        <f t="shared" si="120"/>
        <v>-87.46579849704338</v>
      </c>
      <c r="AF135" t="str">
        <f t="shared" si="104"/>
        <v>-20791,6666666667</v>
      </c>
      <c r="AG135" t="str">
        <f t="shared" si="121"/>
        <v>929,351209226457i</v>
      </c>
      <c r="AH135">
        <f t="shared" si="122"/>
        <v>929.35120922645694</v>
      </c>
      <c r="AI135">
        <f t="shared" si="123"/>
        <v>1.5707963267948966</v>
      </c>
      <c r="AJ135" t="str">
        <f t="shared" si="105"/>
        <v>0,983888815815854+1,09033249633745i</v>
      </c>
      <c r="AK135">
        <f t="shared" si="124"/>
        <v>1.4686259409587519</v>
      </c>
      <c r="AL135">
        <f t="shared" si="125"/>
        <v>0.83667060393073389</v>
      </c>
      <c r="AM135" t="str">
        <f t="shared" si="106"/>
        <v>1+1,49885763024043i</v>
      </c>
      <c r="AN135">
        <f t="shared" si="126"/>
        <v>1.8018252400635186</v>
      </c>
      <c r="AO135">
        <f t="shared" si="127"/>
        <v>0.98244203944982866</v>
      </c>
      <c r="AP135" t="str">
        <f t="shared" si="107"/>
        <v>1+1,05276904981173i</v>
      </c>
      <c r="AQ135">
        <f t="shared" si="128"/>
        <v>1.4520064298209883</v>
      </c>
      <c r="AR135">
        <f t="shared" si="129"/>
        <v>0.81109878029698168</v>
      </c>
      <c r="AS135" s="42" t="str">
        <f t="shared" si="130"/>
        <v>-32,57692810843+22,9595328622866i</v>
      </c>
      <c r="AT135">
        <f t="shared" si="131"/>
        <v>32.009588925160685</v>
      </c>
      <c r="AU135" s="44">
        <f t="shared" si="132"/>
        <v>144.82462490803351</v>
      </c>
      <c r="AV135" s="42" t="str">
        <f t="shared" si="108"/>
        <v>328,094595256769+512,215886757043i</v>
      </c>
      <c r="AW135" s="20">
        <f t="shared" si="133"/>
        <v>55.682148443546673</v>
      </c>
      <c r="AX135" s="44">
        <f t="shared" si="134"/>
        <v>57.358826410990204</v>
      </c>
    </row>
    <row r="136" spans="14:50" x14ac:dyDescent="0.3">
      <c r="N136" s="8">
        <v>18</v>
      </c>
      <c r="O136" s="35">
        <f t="shared" si="135"/>
        <v>151.3561248436209</v>
      </c>
      <c r="P136" s="34" t="str">
        <f t="shared" si="99"/>
        <v>324,571428571429</v>
      </c>
      <c r="Q136" s="4" t="str">
        <f t="shared" si="100"/>
        <v>1+21,7371103947218i</v>
      </c>
      <c r="R136" s="4">
        <f t="shared" si="110"/>
        <v>21.760100374592085</v>
      </c>
      <c r="S136" s="4">
        <f t="shared" si="111"/>
        <v>1.5248244652230192</v>
      </c>
      <c r="T136" s="4" t="str">
        <f t="shared" si="101"/>
        <v>1+0,000190199715953816i</v>
      </c>
      <c r="U136" s="4">
        <f t="shared" si="112"/>
        <v>1.0000000180879658</v>
      </c>
      <c r="V136" s="4">
        <f t="shared" si="113"/>
        <v>1.901997136602654E-4</v>
      </c>
      <c r="W136" t="str">
        <f t="shared" si="102"/>
        <v>1-0,00165103920098798i</v>
      </c>
      <c r="X136" s="4">
        <f t="shared" si="114"/>
        <v>1.0000013629642928</v>
      </c>
      <c r="Y136" s="4">
        <f t="shared" si="115"/>
        <v>-1.6510377007844265E-3</v>
      </c>
      <c r="Z136" t="str">
        <f t="shared" si="103"/>
        <v>0,999999908365294+0,0014156010109271i</v>
      </c>
      <c r="AA136" s="4">
        <f t="shared" si="116"/>
        <v>1.000000910327995</v>
      </c>
      <c r="AB136" s="4">
        <f t="shared" si="117"/>
        <v>1.4156001950595093E-3</v>
      </c>
      <c r="AC136" s="48" t="str">
        <f t="shared" si="118"/>
        <v>0,642608270688578-14,9020557225483i</v>
      </c>
      <c r="AD136" s="20">
        <f t="shared" si="119"/>
        <v>23.472991942421309</v>
      </c>
      <c r="AE136" s="44">
        <f t="shared" si="120"/>
        <v>-87.530814123441189</v>
      </c>
      <c r="AF136" t="str">
        <f t="shared" si="104"/>
        <v>-20791,6666666667</v>
      </c>
      <c r="AG136" t="str">
        <f t="shared" si="121"/>
        <v>950,998579769078i</v>
      </c>
      <c r="AH136">
        <f t="shared" si="122"/>
        <v>950.99857976907799</v>
      </c>
      <c r="AI136">
        <f t="shared" si="123"/>
        <v>1.5707963267948966</v>
      </c>
      <c r="AJ136" t="str">
        <f t="shared" si="105"/>
        <v>0,983129519097874+1,1157296027581i</v>
      </c>
      <c r="AK136">
        <f t="shared" si="124"/>
        <v>1.4870763927224333</v>
      </c>
      <c r="AL136">
        <f t="shared" si="125"/>
        <v>0.84849152935945382</v>
      </c>
      <c r="AM136" t="str">
        <f t="shared" si="106"/>
        <v>1+1,53377050945157i</v>
      </c>
      <c r="AN136">
        <f t="shared" si="126"/>
        <v>1.8309702279565685</v>
      </c>
      <c r="AO136">
        <f t="shared" si="127"/>
        <v>0.99302482080572085</v>
      </c>
      <c r="AP136" t="str">
        <f t="shared" si="107"/>
        <v>1+1,07729119116241i</v>
      </c>
      <c r="AQ136">
        <f t="shared" si="128"/>
        <v>1.4698830941799841</v>
      </c>
      <c r="AR136">
        <f t="shared" si="129"/>
        <v>0.82258868992583856</v>
      </c>
      <c r="AS136" s="42" t="str">
        <f t="shared" si="130"/>
        <v>-32,5742780439807+22,4614150504836i</v>
      </c>
      <c r="AT136">
        <f t="shared" si="131"/>
        <v>31.946804676100136</v>
      </c>
      <c r="AU136" s="44">
        <f t="shared" si="132"/>
        <v>145.41200780695155</v>
      </c>
      <c r="AV136" s="42" t="str">
        <f t="shared" si="108"/>
        <v>313,78875820682+499,857597615992i</v>
      </c>
      <c r="AW136" s="20">
        <f t="shared" si="133"/>
        <v>55.419796618521453</v>
      </c>
      <c r="AX136" s="44">
        <f t="shared" si="134"/>
        <v>57.881193683510425</v>
      </c>
    </row>
    <row r="137" spans="14:50" x14ac:dyDescent="0.3">
      <c r="N137" s="8">
        <v>19</v>
      </c>
      <c r="O137" s="35">
        <f t="shared" si="135"/>
        <v>154.8816618912482</v>
      </c>
      <c r="P137" s="34" t="str">
        <f t="shared" si="99"/>
        <v>324,571428571429</v>
      </c>
      <c r="Q137" s="4" t="str">
        <f t="shared" si="100"/>
        <v>1+22,2434327393519i</v>
      </c>
      <c r="R137" s="4">
        <f t="shared" si="110"/>
        <v>22.265899937574314</v>
      </c>
      <c r="S137" s="4">
        <f t="shared" si="111"/>
        <v>1.5258694886476458</v>
      </c>
      <c r="T137" s="4" t="str">
        <f t="shared" si="101"/>
        <v>1+0,000194630036469329i</v>
      </c>
      <c r="U137" s="4">
        <f t="shared" si="112"/>
        <v>1.0000000189404255</v>
      </c>
      <c r="V137" s="4">
        <f t="shared" si="113"/>
        <v>1.9463003401174524E-4</v>
      </c>
      <c r="W137" t="str">
        <f t="shared" si="102"/>
        <v>1-0,00168949684435182i</v>
      </c>
      <c r="X137" s="4">
        <f t="shared" si="114"/>
        <v>1.0000014271987752</v>
      </c>
      <c r="Y137" s="4">
        <f t="shared" si="115"/>
        <v>-1.6894952368548747E-3</v>
      </c>
      <c r="Z137" t="str">
        <f t="shared" si="103"/>
        <v>0,999999904046683+0,00144857459434725i</v>
      </c>
      <c r="AA137" s="4">
        <f t="shared" si="116"/>
        <v>1.000000953230411</v>
      </c>
      <c r="AB137" s="4">
        <f t="shared" si="117"/>
        <v>1.4485737201294215E-3</v>
      </c>
      <c r="AC137" s="48" t="str">
        <f t="shared" si="118"/>
        <v>0,611815193216278-14,5642253667571i</v>
      </c>
      <c r="AD137" s="20">
        <f t="shared" si="119"/>
        <v>23.273404961286523</v>
      </c>
      <c r="AE137" s="44">
        <f t="shared" si="120"/>
        <v>-87.594528414836049</v>
      </c>
      <c r="AF137" t="str">
        <f t="shared" si="104"/>
        <v>-20791,6666666667</v>
      </c>
      <c r="AG137" t="str">
        <f t="shared" si="121"/>
        <v>973,150182346647i</v>
      </c>
      <c r="AH137">
        <f t="shared" si="122"/>
        <v>973.15018234664694</v>
      </c>
      <c r="AI137">
        <f t="shared" si="123"/>
        <v>1.5707963267948966</v>
      </c>
      <c r="AJ137" t="str">
        <f t="shared" si="105"/>
        <v>0,982334437828037+1,14171828378255i</v>
      </c>
      <c r="AK137">
        <f t="shared" si="124"/>
        <v>1.5061545695134668</v>
      </c>
      <c r="AL137">
        <f t="shared" si="125"/>
        <v>0.86029541353807926</v>
      </c>
      <c r="AM137" t="str">
        <f t="shared" si="106"/>
        <v>1+1,56949661408867i</v>
      </c>
      <c r="AN137">
        <f t="shared" si="126"/>
        <v>1.8609996296710536</v>
      </c>
      <c r="AO137">
        <f t="shared" si="127"/>
        <v>1.0035097633241272</v>
      </c>
      <c r="AP137" t="str">
        <f t="shared" si="107"/>
        <v>1+1,10238452656228i</v>
      </c>
      <c r="AQ137">
        <f t="shared" si="128"/>
        <v>1.4883721458035764</v>
      </c>
      <c r="AR137">
        <f t="shared" si="129"/>
        <v>0.83405895847350031</v>
      </c>
      <c r="AS137" s="42" t="str">
        <f t="shared" si="130"/>
        <v>-32,5716219033073+21,9751005697705i</v>
      </c>
      <c r="AT137">
        <f t="shared" si="131"/>
        <v>31.885954246574805</v>
      </c>
      <c r="AU137" s="44">
        <f t="shared" si="132"/>
        <v>145.99363599405964</v>
      </c>
      <c r="AV137" s="42" t="str">
        <f t="shared" si="108"/>
        <v>300,12250400715+487,825142361611i</v>
      </c>
      <c r="AW137" s="20">
        <f t="shared" si="133"/>
        <v>55.159359207861336</v>
      </c>
      <c r="AX137" s="44">
        <f t="shared" si="134"/>
        <v>58.399107579223646</v>
      </c>
    </row>
    <row r="138" spans="14:50" x14ac:dyDescent="0.3">
      <c r="N138" s="8">
        <v>20</v>
      </c>
      <c r="O138" s="35">
        <f t="shared" si="135"/>
        <v>158.48931924611153</v>
      </c>
      <c r="P138" s="34" t="str">
        <f t="shared" si="99"/>
        <v>324,571428571429</v>
      </c>
      <c r="Q138" s="4" t="str">
        <f t="shared" si="100"/>
        <v>1+22,7615488464472i</v>
      </c>
      <c r="R138" s="4">
        <f t="shared" si="110"/>
        <v>22.783505127376735</v>
      </c>
      <c r="S138" s="4">
        <f t="shared" si="111"/>
        <v>1.5268908193261335</v>
      </c>
      <c r="T138" s="4" t="str">
        <f t="shared" si="101"/>
        <v>1+0,000199163552406413i</v>
      </c>
      <c r="U138" s="4">
        <f t="shared" si="112"/>
        <v>1.0000000198330601</v>
      </c>
      <c r="V138" s="4">
        <f t="shared" si="113"/>
        <v>1.9916354977306456E-4</v>
      </c>
      <c r="W138" t="str">
        <f t="shared" si="102"/>
        <v>1-0,00172885028130566i</v>
      </c>
      <c r="X138" s="4">
        <f t="shared" si="114"/>
        <v>1.0000014944605309</v>
      </c>
      <c r="Y138" s="4">
        <f t="shared" si="115"/>
        <v>-1.7288485588417891E-3</v>
      </c>
      <c r="Z138" t="str">
        <f t="shared" si="103"/>
        <v>0,999999899524543+0,00148231623119148i</v>
      </c>
      <c r="AA138" s="4">
        <f t="shared" si="116"/>
        <v>1.0000009981547544</v>
      </c>
      <c r="AB138" s="4">
        <f t="shared" si="117"/>
        <v>1.4823152944502494E-3</v>
      </c>
      <c r="AC138" s="48" t="str">
        <f t="shared" si="118"/>
        <v>0,582402567206127-14,2339927495418i</v>
      </c>
      <c r="AD138" s="20">
        <f t="shared" si="119"/>
        <v>23.073799445630172</v>
      </c>
      <c r="AE138" s="44">
        <f t="shared" si="120"/>
        <v>-87.656974629943505</v>
      </c>
      <c r="AF138" t="str">
        <f t="shared" si="104"/>
        <v>-20791,6666666667</v>
      </c>
      <c r="AG138" t="str">
        <f t="shared" si="121"/>
        <v>995,817762032063i</v>
      </c>
      <c r="AH138">
        <f t="shared" si="122"/>
        <v>995.817762032063</v>
      </c>
      <c r="AI138">
        <f t="shared" si="123"/>
        <v>1.5707963267948966</v>
      </c>
      <c r="AJ138" t="str">
        <f t="shared" si="105"/>
        <v>0,981501885532369+1,16831231895349i</v>
      </c>
      <c r="AK138">
        <f t="shared" si="124"/>
        <v>1.5258766745455141</v>
      </c>
      <c r="AL138">
        <f t="shared" si="125"/>
        <v>0.87207651653712848</v>
      </c>
      <c r="AM138" t="str">
        <f t="shared" si="106"/>
        <v>1+1,60605488660531i</v>
      </c>
      <c r="AN138">
        <f t="shared" si="126"/>
        <v>1.8919334815972775</v>
      </c>
      <c r="AO138">
        <f t="shared" si="127"/>
        <v>1.013893204817889</v>
      </c>
      <c r="AP138" t="str">
        <f t="shared" si="107"/>
        <v>1+1,12806236082992i</v>
      </c>
      <c r="AQ138">
        <f t="shared" si="128"/>
        <v>1.5074895322758206</v>
      </c>
      <c r="AR138">
        <f t="shared" si="129"/>
        <v>0.84550359575948508</v>
      </c>
      <c r="AS138" s="42" t="str">
        <f t="shared" si="130"/>
        <v>-32,5689612751426+21,5003323093583i</v>
      </c>
      <c r="AT138">
        <f t="shared" si="131"/>
        <v>31.827003390431386</v>
      </c>
      <c r="AU138" s="44">
        <f t="shared" si="132"/>
        <v>146.56928530316378</v>
      </c>
      <c r="AV138" s="42" t="str">
        <f t="shared" si="108"/>
        <v>287,067327546265+476,108207383243i</v>
      </c>
      <c r="AW138" s="20">
        <f t="shared" si="133"/>
        <v>54.900802836061558</v>
      </c>
      <c r="AX138" s="44">
        <f t="shared" si="134"/>
        <v>58.912310673220347</v>
      </c>
    </row>
    <row r="139" spans="14:50" x14ac:dyDescent="0.3">
      <c r="N139" s="8">
        <v>21</v>
      </c>
      <c r="O139" s="35">
        <f t="shared" si="135"/>
        <v>162.18100973589304</v>
      </c>
      <c r="P139" s="34" t="str">
        <f t="shared" si="99"/>
        <v>324,571428571429</v>
      </c>
      <c r="Q139" s="4" t="str">
        <f t="shared" si="100"/>
        <v>1+23,2917334280254i</v>
      </c>
      <c r="R139" s="4">
        <f t="shared" si="110"/>
        <v>23.313190388322997</v>
      </c>
      <c r="S139" s="4">
        <f t="shared" si="111"/>
        <v>1.5278889902537405</v>
      </c>
      <c r="T139" s="4" t="str">
        <f t="shared" si="101"/>
        <v>1+0,000203802667495222i</v>
      </c>
      <c r="U139" s="4">
        <f t="shared" si="112"/>
        <v>1.0000000207677635</v>
      </c>
      <c r="V139" s="4">
        <f t="shared" si="113"/>
        <v>2.0380266467353832E-4</v>
      </c>
      <c r="W139" t="str">
        <f t="shared" si="102"/>
        <v>1-0,00176912037756269i</v>
      </c>
      <c r="X139" s="4">
        <f t="shared" si="114"/>
        <v>1.0000015648922307</v>
      </c>
      <c r="Y139" s="4">
        <f t="shared" si="115"/>
        <v>-1.7691185319095558E-3</v>
      </c>
      <c r="Z139" t="str">
        <f t="shared" si="103"/>
        <v>0,99999989478928+0,00151684381172225i</v>
      </c>
      <c r="AA139" s="4">
        <f t="shared" si="116"/>
        <v>1.0000010451963137</v>
      </c>
      <c r="AB139" s="4">
        <f t="shared" si="117"/>
        <v>1.516842807985995E-3</v>
      </c>
      <c r="AC139" s="48" t="str">
        <f t="shared" si="118"/>
        <v>0,554308741681299-13,9111910491481i</v>
      </c>
      <c r="AD139" s="20">
        <f t="shared" si="119"/>
        <v>22.874176227262623</v>
      </c>
      <c r="AE139" s="44">
        <f t="shared" si="120"/>
        <v>-87.718185389924159</v>
      </c>
      <c r="AF139" t="str">
        <f t="shared" si="104"/>
        <v>-20791,6666666667</v>
      </c>
      <c r="AG139" t="str">
        <f t="shared" si="121"/>
        <v>1019,01333747611i</v>
      </c>
      <c r="AH139">
        <f t="shared" si="122"/>
        <v>1019.01333747611</v>
      </c>
      <c r="AI139">
        <f t="shared" si="123"/>
        <v>1.5707963267948966</v>
      </c>
      <c r="AJ139" t="str">
        <f t="shared" si="105"/>
        <v>0,980630096255831+1,19552580878039i</v>
      </c>
      <c r="AK139">
        <f t="shared" si="124"/>
        <v>1.5462591455324446</v>
      </c>
      <c r="AL139">
        <f t="shared" si="125"/>
        <v>0.88382918378657216</v>
      </c>
      <c r="AM139" t="str">
        <f t="shared" si="106"/>
        <v>1+1,64346471068147i</v>
      </c>
      <c r="AN139">
        <f t="shared" si="126"/>
        <v>1.9237921549001407</v>
      </c>
      <c r="AO139">
        <f t="shared" si="127"/>
        <v>1.024171694412221</v>
      </c>
      <c r="AP139" t="str">
        <f t="shared" si="107"/>
        <v>1+1,15433830869294i</v>
      </c>
      <c r="AQ139">
        <f t="shared" si="128"/>
        <v>1.5272514301568283</v>
      </c>
      <c r="AR139">
        <f t="shared" si="129"/>
        <v>0.85691667872413535</v>
      </c>
      <c r="AS139" s="42" t="str">
        <f t="shared" si="130"/>
        <v>-32,5662976607044+21,0368594350501i</v>
      </c>
      <c r="AT139">
        <f t="shared" si="131"/>
        <v>31.769916881778755</v>
      </c>
      <c r="AU139" s="44">
        <f t="shared" si="132"/>
        <v>147.13874263038048</v>
      </c>
      <c r="AV139" s="42" t="str">
        <f t="shared" si="108"/>
        <v>274,595987197532+464,696903603853i</v>
      </c>
      <c r="AW139" s="20">
        <f t="shared" si="133"/>
        <v>54.644093109041378</v>
      </c>
      <c r="AX139" s="44">
        <f t="shared" si="134"/>
        <v>59.42055724045634</v>
      </c>
    </row>
    <row r="140" spans="14:50" x14ac:dyDescent="0.3">
      <c r="N140" s="8">
        <v>22</v>
      </c>
      <c r="O140" s="35">
        <f t="shared" si="135"/>
        <v>165.95869074375622</v>
      </c>
      <c r="P140" s="34" t="str">
        <f t="shared" si="99"/>
        <v>324,571428571429</v>
      </c>
      <c r="Q140" s="4" t="str">
        <f t="shared" si="100"/>
        <v>1+23,8342675949698i</v>
      </c>
      <c r="R140" s="4">
        <f t="shared" si="110"/>
        <v>23.855236569538093</v>
      </c>
      <c r="S140" s="4">
        <f t="shared" si="111"/>
        <v>1.5288645227131918</v>
      </c>
      <c r="T140" s="4" t="str">
        <f t="shared" si="101"/>
        <v>1+0,000208549841455986i</v>
      </c>
      <c r="U140" s="4">
        <f t="shared" si="112"/>
        <v>1.0000000217465179</v>
      </c>
      <c r="V140" s="4">
        <f t="shared" si="113"/>
        <v>2.0854983843249749E-4</v>
      </c>
      <c r="W140" t="str">
        <f t="shared" si="102"/>
        <v>1-0,00181032848486099i</v>
      </c>
      <c r="X140" s="4">
        <f t="shared" si="114"/>
        <v>1.0000016386432691</v>
      </c>
      <c r="Y140" s="4">
        <f t="shared" si="115"/>
        <v>-1.8103265072082009E-3</v>
      </c>
      <c r="Z140" t="str">
        <f t="shared" si="103"/>
        <v>0,999999889830852+0,00155217564291981i</v>
      </c>
      <c r="AA140" s="4">
        <f t="shared" si="116"/>
        <v>1.0000010944548723</v>
      </c>
      <c r="AB140" s="4">
        <f t="shared" si="117"/>
        <v>1.552174567397098E-3</v>
      </c>
      <c r="AC140" s="48" t="str">
        <f t="shared" si="118"/>
        <v>0,527474798395635-13,5956568351059i</v>
      </c>
      <c r="AD140" s="20">
        <f t="shared" si="119"/>
        <v>22.674536100877841</v>
      </c>
      <c r="AE140" s="44">
        <f t="shared" si="120"/>
        <v>-87.778192693371651</v>
      </c>
      <c r="AF140" t="str">
        <f t="shared" si="104"/>
        <v>-20791,6666666667</v>
      </c>
      <c r="AG140" t="str">
        <f t="shared" si="121"/>
        <v>1042,74920727993i</v>
      </c>
      <c r="AH140">
        <f t="shared" si="122"/>
        <v>1042.74920727993</v>
      </c>
      <c r="AI140">
        <f t="shared" si="123"/>
        <v>1.5707963267948966</v>
      </c>
      <c r="AJ140" t="str">
        <f t="shared" si="105"/>
        <v>0,979717220816482+1,22337318221575i</v>
      </c>
      <c r="AK140">
        <f t="shared" si="124"/>
        <v>1.5673186580045111</v>
      </c>
      <c r="AL140">
        <f t="shared" si="125"/>
        <v>0.89554786071918291</v>
      </c>
      <c r="AM140" t="str">
        <f t="shared" si="106"/>
        <v>1+1,68174592150107i</v>
      </c>
      <c r="AN140">
        <f t="shared" si="126"/>
        <v>1.9565963672882261</v>
      </c>
      <c r="AO140">
        <f t="shared" si="127"/>
        <v>1.0343419943365793</v>
      </c>
      <c r="AP140" t="str">
        <f t="shared" si="107"/>
        <v>1+1,1812263020067i</v>
      </c>
      <c r="AQ140">
        <f t="shared" si="128"/>
        <v>1.5476742475574192</v>
      </c>
      <c r="AR140">
        <f t="shared" si="129"/>
        <v>0.86829236644464669</v>
      </c>
      <c r="AS140" s="42" t="str">
        <f t="shared" si="130"/>
        <v>-32,5636324630278+20,5844372508011i</v>
      </c>
      <c r="AT140">
        <f t="shared" si="131"/>
        <v>31.714658620027443</v>
      </c>
      <c r="AU140" s="44">
        <f t="shared" si="132"/>
        <v>147.70180605815656</v>
      </c>
      <c r="AV140" s="42" t="str">
        <f t="shared" si="108"/>
        <v>262,682449537197+453,581744160794i</v>
      </c>
      <c r="AW140" s="20">
        <f t="shared" si="133"/>
        <v>54.38919472090528</v>
      </c>
      <c r="AX140" s="44">
        <f t="shared" si="134"/>
        <v>59.923613364784927</v>
      </c>
    </row>
    <row r="141" spans="14:50" x14ac:dyDescent="0.3">
      <c r="N141" s="8">
        <v>23</v>
      </c>
      <c r="O141" s="35">
        <f t="shared" si="135"/>
        <v>169.82436524617444</v>
      </c>
      <c r="P141" s="34" t="str">
        <f t="shared" si="99"/>
        <v>324,571428571429</v>
      </c>
      <c r="Q141" s="4" t="str">
        <f t="shared" si="100"/>
        <v>1+24,3894390060768i</v>
      </c>
      <c r="R141" s="4">
        <f t="shared" si="110"/>
        <v>24.409931073871153</v>
      </c>
      <c r="S141" s="4">
        <f t="shared" si="111"/>
        <v>1.5298179265134491</v>
      </c>
      <c r="T141" s="4" t="str">
        <f t="shared" si="101"/>
        <v>1+0,000213407591303172i</v>
      </c>
      <c r="U141" s="4">
        <f t="shared" si="112"/>
        <v>1.0000000227713997</v>
      </c>
      <c r="V141" s="4">
        <f t="shared" si="113"/>
        <v>2.1340758806344566E-4</v>
      </c>
      <c r="W141" t="str">
        <f t="shared" si="102"/>
        <v>1-0,00185249645228448i</v>
      </c>
      <c r="X141" s="4">
        <f t="shared" si="114"/>
        <v>1.0000017158700807</v>
      </c>
      <c r="Y141" s="4">
        <f t="shared" si="115"/>
        <v>-1.8524943331915337E-3</v>
      </c>
      <c r="Z141" t="str">
        <f t="shared" si="103"/>
        <v>0,99999988463874+0,00158833045818871i</v>
      </c>
      <c r="AA141" s="4">
        <f t="shared" si="116"/>
        <v>1.0000011460349121</v>
      </c>
      <c r="AB141" s="4">
        <f t="shared" si="117"/>
        <v>1.5883293057454319E-3</v>
      </c>
      <c r="AC141" s="48" t="str">
        <f t="shared" si="118"/>
        <v>0,501844432515498-13,2872300178286i</v>
      </c>
      <c r="AD141" s="20">
        <f t="shared" si="119"/>
        <v>22.474879825701976</v>
      </c>
      <c r="AE141" s="44">
        <f t="shared" si="120"/>
        <v>-87.837027931123174</v>
      </c>
      <c r="AF141" t="str">
        <f t="shared" si="104"/>
        <v>-20791,6666666667</v>
      </c>
      <c r="AG141" t="str">
        <f t="shared" si="121"/>
        <v>1067,03795651586i</v>
      </c>
      <c r="AH141">
        <f t="shared" si="122"/>
        <v>1067.0379565158601</v>
      </c>
      <c r="AI141">
        <f t="shared" si="123"/>
        <v>1.5707963267948966</v>
      </c>
      <c r="AJ141" t="str">
        <f t="shared" si="105"/>
        <v>0,978761322883126+1,25186920430558i</v>
      </c>
      <c r="AK141">
        <f t="shared" si="124"/>
        <v>1.589072129219002</v>
      </c>
      <c r="AL141">
        <f t="shared" si="125"/>
        <v>0.90722710682085528</v>
      </c>
      <c r="AM141" t="str">
        <f t="shared" si="106"/>
        <v>1+1,72091881626878i</v>
      </c>
      <c r="AN141">
        <f t="shared" si="126"/>
        <v>1.9903671953154622</v>
      </c>
      <c r="AO141">
        <f t="shared" si="127"/>
        <v>1.0444010808177995</v>
      </c>
      <c r="AP141" t="str">
        <f t="shared" si="107"/>
        <v>1+1,20874059714117i</v>
      </c>
      <c r="AQ141">
        <f t="shared" si="128"/>
        <v>1.5687746272735266</v>
      </c>
      <c r="AR141">
        <f t="shared" si="129"/>
        <v>0.8796249146341576</v>
      </c>
      <c r="AS141" s="42" t="str">
        <f t="shared" si="130"/>
        <v>-32,560966976739+20,142827062737i</v>
      </c>
      <c r="AT141">
        <f t="shared" si="131"/>
        <v>31.661191733910812</v>
      </c>
      <c r="AU141" s="44">
        <f t="shared" si="132"/>
        <v>148.25828493215474</v>
      </c>
      <c r="AV141" s="42" t="str">
        <f t="shared" si="108"/>
        <v>251,301836397332+442,753623439409i</v>
      </c>
      <c r="AW141" s="20">
        <f t="shared" si="133"/>
        <v>54.136071559612787</v>
      </c>
      <c r="AX141" s="44">
        <f t="shared" si="134"/>
        <v>60.421257001031535</v>
      </c>
    </row>
    <row r="142" spans="14:50" x14ac:dyDescent="0.3">
      <c r="N142" s="8">
        <v>24</v>
      </c>
      <c r="O142" s="35">
        <f t="shared" si="135"/>
        <v>173.78008287493768</v>
      </c>
      <c r="P142" s="34" t="str">
        <f t="shared" si="99"/>
        <v>324,571428571429</v>
      </c>
      <c r="Q142" s="4" t="str">
        <f t="shared" si="100"/>
        <v>1+24,9575420205774i</v>
      </c>
      <c r="R142" s="4">
        <f t="shared" si="110"/>
        <v>24.97756801029449</v>
      </c>
      <c r="S142" s="4">
        <f t="shared" si="111"/>
        <v>1.5307497002248844</v>
      </c>
      <c r="T142" s="4" t="str">
        <f t="shared" si="101"/>
        <v>1+0,000218378492680052i</v>
      </c>
      <c r="U142" s="4">
        <f t="shared" si="112"/>
        <v>1.0000000238445828</v>
      </c>
      <c r="V142" s="4">
        <f t="shared" si="113"/>
        <v>2.183784892086227E-4</v>
      </c>
      <c r="W142" t="str">
        <f t="shared" si="102"/>
        <v>1-0,00189564663784767i</v>
      </c>
      <c r="X142" s="4">
        <f t="shared" si="114"/>
        <v>1.0000017967364736</v>
      </c>
      <c r="Y142" s="4">
        <f t="shared" si="115"/>
        <v>-1.8956443671988888E-3</v>
      </c>
      <c r="Z142" t="str">
        <f t="shared" si="103"/>
        <v>0,999999879201931+0,00162532742729059i</v>
      </c>
      <c r="AA142" s="4">
        <f t="shared" si="116"/>
        <v>1.0000012000458411</v>
      </c>
      <c r="AB142" s="4">
        <f t="shared" si="117"/>
        <v>1.6253261924254498E-3</v>
      </c>
      <c r="AC142" s="48" t="str">
        <f t="shared" si="118"/>
        <v>0,477363838351256-12,9857537976016i</v>
      </c>
      <c r="AD142" s="20">
        <f t="shared" si="119"/>
        <v>22.275208127068346</v>
      </c>
      <c r="AE142" s="44">
        <f t="shared" si="120"/>
        <v>-87.894721900890048</v>
      </c>
      <c r="AF142" t="str">
        <f t="shared" si="104"/>
        <v>-20791,6666666667</v>
      </c>
      <c r="AG142" t="str">
        <f t="shared" si="121"/>
        <v>1091,89246340026i</v>
      </c>
      <c r="AH142">
        <f t="shared" si="122"/>
        <v>1091.8924634002601</v>
      </c>
      <c r="AI142">
        <f t="shared" si="123"/>
        <v>1.5707963267948966</v>
      </c>
      <c r="AJ142" t="str">
        <f t="shared" si="105"/>
        <v>0,977760374868086+1,28102898401799i</v>
      </c>
      <c r="AK142">
        <f t="shared" si="124"/>
        <v>1.6115367226831487</v>
      </c>
      <c r="AL142">
        <f t="shared" si="125"/>
        <v>0.91886160900943725</v>
      </c>
      <c r="AM142" t="str">
        <f t="shared" si="106"/>
        <v>1+1,76100416497194i</v>
      </c>
      <c r="AN142">
        <f t="shared" si="126"/>
        <v>2.025126087197664</v>
      </c>
      <c r="AO142">
        <f t="shared" si="127"/>
        <v>1.0543461441126518</v>
      </c>
      <c r="AP142" t="str">
        <f t="shared" si="107"/>
        <v>1+1,23689578253981i</v>
      </c>
      <c r="AQ142">
        <f t="shared" si="128"/>
        <v>1.5905694505002819</v>
      </c>
      <c r="AR142">
        <f t="shared" si="129"/>
        <v>0.89090868953912572</v>
      </c>
      <c r="AS142" s="42" t="str">
        <f t="shared" si="130"/>
        <v>-32,558302378335+19,7117960456201i</v>
      </c>
      <c r="AT142">
        <f t="shared" si="131"/>
        <v>31.609478683978843</v>
      </c>
      <c r="AU142" s="44">
        <f t="shared" si="132"/>
        <v>148.80799989282912</v>
      </c>
      <c r="AV142" s="42" t="str">
        <f t="shared" si="108"/>
        <v>240,430374163437+432,203797374059i</v>
      </c>
      <c r="AW142" s="20">
        <f t="shared" si="133"/>
        <v>53.884686811047189</v>
      </c>
      <c r="AX142" s="44">
        <f t="shared" si="134"/>
        <v>60.913277991939026</v>
      </c>
    </row>
    <row r="143" spans="14:50" x14ac:dyDescent="0.3">
      <c r="N143" s="8">
        <v>25</v>
      </c>
      <c r="O143" s="35">
        <f t="shared" si="135"/>
        <v>177.82794100389242</v>
      </c>
      <c r="P143" s="34" t="str">
        <f t="shared" si="99"/>
        <v>324,571428571429</v>
      </c>
      <c r="Q143" s="4" t="str">
        <f t="shared" si="100"/>
        <v>1+25,5388778542094i</v>
      </c>
      <c r="R143" s="4">
        <f t="shared" si="110"/>
        <v>25.558448349855421</v>
      </c>
      <c r="S143" s="4">
        <f t="shared" si="111"/>
        <v>1.531660331410819</v>
      </c>
      <c r="T143" s="4" t="str">
        <f t="shared" si="101"/>
        <v>1+0,000223465181224332i</v>
      </c>
      <c r="U143" s="4">
        <f t="shared" si="112"/>
        <v>1.0000000249683434</v>
      </c>
      <c r="V143" s="4">
        <f t="shared" si="113"/>
        <v>2.2346517750462851E-4</v>
      </c>
      <c r="W143" t="str">
        <f t="shared" si="102"/>
        <v>1-0,0019398019203501i</v>
      </c>
      <c r="X143" s="4">
        <f t="shared" si="114"/>
        <v>1.0000018814139753</v>
      </c>
      <c r="Y143" s="4">
        <f t="shared" si="115"/>
        <v>-1.9397994873063429E-3</v>
      </c>
      <c r="Z143" t="str">
        <f t="shared" si="103"/>
        <v>0,999999873508894+0,00166318616650818i</v>
      </c>
      <c r="AA143" s="4">
        <f t="shared" si="116"/>
        <v>1.0000012566022247</v>
      </c>
      <c r="AB143" s="4">
        <f t="shared" si="117"/>
        <v>1.6631848433264315E-3</v>
      </c>
      <c r="AC143" s="48" t="str">
        <f t="shared" si="118"/>
        <v>0,453981599939156-12,691074613092i</v>
      </c>
      <c r="AD143" s="20">
        <f t="shared" si="119"/>
        <v>22.075521697924625</v>
      </c>
      <c r="AE143" s="44">
        <f t="shared" si="120"/>
        <v>-87.951304821706756</v>
      </c>
      <c r="AF143" t="str">
        <f t="shared" si="104"/>
        <v>-20791,6666666667</v>
      </c>
      <c r="AG143" t="str">
        <f t="shared" si="121"/>
        <v>1117,32590612166i</v>
      </c>
      <c r="AH143">
        <f t="shared" si="122"/>
        <v>1117.32590612166</v>
      </c>
      <c r="AI143">
        <f t="shared" si="123"/>
        <v>1.5707963267948966</v>
      </c>
      <c r="AJ143" t="str">
        <f t="shared" si="105"/>
        <v>0,976712253626422+1,31086798225414i</v>
      </c>
      <c r="AK143">
        <f t="shared" si="124"/>
        <v>1.6347298533039165</v>
      </c>
      <c r="AL143">
        <f t="shared" si="125"/>
        <v>0.93044619427128183</v>
      </c>
      <c r="AM143" t="str">
        <f t="shared" si="106"/>
        <v>1+1,80202322139301i</v>
      </c>
      <c r="AN143">
        <f t="shared" si="126"/>
        <v>2.0608948761253303</v>
      </c>
      <c r="AO143">
        <f t="shared" si="127"/>
        <v>1.0641745877224851</v>
      </c>
      <c r="AP143" t="str">
        <f t="shared" si="107"/>
        <v>1+1,26570678645462i</v>
      </c>
      <c r="AQ143">
        <f t="shared" si="128"/>
        <v>1.6130758411424062</v>
      </c>
      <c r="AR143">
        <f t="shared" si="129"/>
        <v>0.90213818115716438</v>
      </c>
      <c r="AS143" s="42" t="str">
        <f t="shared" si="130"/>
        <v>-32,5556397170263+19,2911171117694i</v>
      </c>
      <c r="AT143">
        <f t="shared" si="131"/>
        <v>31.559481363098367</v>
      </c>
      <c r="AU143" s="44">
        <f t="shared" si="132"/>
        <v>149.35078286373277</v>
      </c>
      <c r="AV143" s="42" t="str">
        <f t="shared" si="108"/>
        <v>230,045345229583+421,923864936737i</v>
      </c>
      <c r="AW143" s="20">
        <f t="shared" si="133"/>
        <v>53.635003061022992</v>
      </c>
      <c r="AX143" s="44">
        <f t="shared" si="134"/>
        <v>61.399478042026011</v>
      </c>
    </row>
    <row r="144" spans="14:50" x14ac:dyDescent="0.3">
      <c r="N144" s="8">
        <v>26</v>
      </c>
      <c r="O144" s="35">
        <f t="shared" si="135"/>
        <v>181.9700858609983</v>
      </c>
      <c r="P144" s="34" t="str">
        <f t="shared" si="99"/>
        <v>324,571428571429</v>
      </c>
      <c r="Q144" s="4" t="str">
        <f t="shared" si="100"/>
        <v>1+26,1337547389264i</v>
      </c>
      <c r="R144" s="4">
        <f t="shared" si="110"/>
        <v>26.152880085267054</v>
      </c>
      <c r="S144" s="4">
        <f t="shared" si="111"/>
        <v>1.5325502968553943</v>
      </c>
      <c r="T144" s="4" t="str">
        <f t="shared" si="101"/>
        <v>1+0,000228670353965606i</v>
      </c>
      <c r="U144" s="4">
        <f t="shared" si="112"/>
        <v>1.000000026145065</v>
      </c>
      <c r="V144" s="4">
        <f t="shared" si="113"/>
        <v>2.286703499798719E-4</v>
      </c>
      <c r="W144" t="str">
        <f t="shared" si="102"/>
        <v>1-0,001984985711507i</v>
      </c>
      <c r="X144" s="4">
        <f t="shared" si="114"/>
        <v>1.0000019700821969</v>
      </c>
      <c r="Y144" s="4">
        <f t="shared" si="115"/>
        <v>-1.9849831044539208E-3</v>
      </c>
      <c r="Z144" t="str">
        <f t="shared" si="103"/>
        <v>0,999999867547551+0,0017019267490461i</v>
      </c>
      <c r="AA144" s="4">
        <f t="shared" si="116"/>
        <v>1.0000013158240235</v>
      </c>
      <c r="AB144" s="4">
        <f t="shared" si="117"/>
        <v>1.7019253312314138E-3</v>
      </c>
      <c r="AC144" s="48" t="str">
        <f t="shared" si="118"/>
        <v>0,431648586280555-12,4030420894948i</v>
      </c>
      <c r="AD144" s="20">
        <f t="shared" si="119"/>
        <v>21.875821200274022</v>
      </c>
      <c r="AE144" s="44">
        <f t="shared" si="120"/>
        <v>-88.006806348197856</v>
      </c>
      <c r="AF144" t="str">
        <f t="shared" si="104"/>
        <v>-20791,6666666667</v>
      </c>
      <c r="AG144" t="str">
        <f t="shared" si="121"/>
        <v>1143,35176982803i</v>
      </c>
      <c r="AH144">
        <f t="shared" si="122"/>
        <v>1143.35176982803</v>
      </c>
      <c r="AI144">
        <f t="shared" si="123"/>
        <v>1.5707963267948966</v>
      </c>
      <c r="AJ144" t="str">
        <f t="shared" si="105"/>
        <v>0,975614735952458+1,34140202004587i</v>
      </c>
      <c r="AK144">
        <f t="shared" si="124"/>
        <v>1.6586691931758801</v>
      </c>
      <c r="AL144">
        <f t="shared" si="125"/>
        <v>0.94197584149295066</v>
      </c>
      <c r="AM144" t="str">
        <f t="shared" si="106"/>
        <v>1+1,84399773437865i</v>
      </c>
      <c r="AN144">
        <f t="shared" si="126"/>
        <v>2.0976957940544176</v>
      </c>
      <c r="AO144">
        <f t="shared" si="127"/>
        <v>1.0738840268366847</v>
      </c>
      <c r="AP144" t="str">
        <f t="shared" si="107"/>
        <v>1+1,29518888486119i</v>
      </c>
      <c r="AQ144">
        <f t="shared" si="128"/>
        <v>1.6363111707337248</v>
      </c>
      <c r="AR144">
        <f t="shared" si="129"/>
        <v>0.91330801570498554</v>
      </c>
      <c r="AS144" s="42" t="str">
        <f t="shared" si="130"/>
        <v>-32,5529799061714+18,8805687824362i</v>
      </c>
      <c r="AT144">
        <f t="shared" si="131"/>
        <v>31.511161194531439</v>
      </c>
      <c r="AU144" s="44">
        <f t="shared" si="132"/>
        <v>149.88647699878902</v>
      </c>
      <c r="AV144" s="42" t="str">
        <f t="shared" si="108"/>
        <v>220,12504152644+411,905750737834i</v>
      </c>
      <c r="AW144" s="20">
        <f t="shared" si="133"/>
        <v>53.386982394805472</v>
      </c>
      <c r="AX144" s="44">
        <f t="shared" si="134"/>
        <v>61.879670650591144</v>
      </c>
    </row>
    <row r="145" spans="14:50" x14ac:dyDescent="0.3">
      <c r="N145" s="8">
        <v>27</v>
      </c>
      <c r="O145" s="35">
        <f t="shared" si="135"/>
        <v>186.20871366628685</v>
      </c>
      <c r="P145" s="34" t="str">
        <f t="shared" si="99"/>
        <v>324,571428571429</v>
      </c>
      <c r="Q145" s="4" t="str">
        <f t="shared" si="100"/>
        <v>1+26,7424880863273i</v>
      </c>
      <c r="R145" s="4">
        <f t="shared" si="110"/>
        <v>26.761178394221687</v>
      </c>
      <c r="S145" s="4">
        <f t="shared" si="111"/>
        <v>1.533420062787757</v>
      </c>
      <c r="T145" s="4" t="str">
        <f t="shared" si="101"/>
        <v>1+0,000233996770755364i</v>
      </c>
      <c r="U145" s="4">
        <f t="shared" si="112"/>
        <v>1.000000027377244</v>
      </c>
      <c r="V145" s="4">
        <f t="shared" si="113"/>
        <v>2.3399676648457296E-4</v>
      </c>
      <c r="W145" t="str">
        <f t="shared" si="102"/>
        <v>1-0,00203122196836253i</v>
      </c>
      <c r="X145" s="4">
        <f t="shared" si="114"/>
        <v>1.0000020629292146</v>
      </c>
      <c r="Y145" s="4">
        <f t="shared" si="115"/>
        <v>-2.0312191748551377E-3</v>
      </c>
      <c r="Z145" t="str">
        <f t="shared" si="103"/>
        <v>0,99999986130526+0,00174156971567404i</v>
      </c>
      <c r="AA145" s="4">
        <f t="shared" si="116"/>
        <v>1.0000013778368577</v>
      </c>
      <c r="AB145" s="4">
        <f t="shared" si="117"/>
        <v>1.7415681964583444E-3</v>
      </c>
      <c r="AC145" s="48" t="str">
        <f t="shared" si="118"/>
        <v>0,410317851052176-12,1215089864222i</v>
      </c>
      <c r="AD145" s="20">
        <f t="shared" si="119"/>
        <v>21.676107266552243</v>
      </c>
      <c r="AE145" s="44">
        <f t="shared" si="120"/>
        <v>-88.06125558466141</v>
      </c>
      <c r="AF145" t="str">
        <f t="shared" si="104"/>
        <v>-20791,6666666667</v>
      </c>
      <c r="AG145" t="str">
        <f t="shared" si="121"/>
        <v>1169,98385377682i</v>
      </c>
      <c r="AH145">
        <f t="shared" si="122"/>
        <v>1169.9838537768201</v>
      </c>
      <c r="AI145">
        <f t="shared" si="123"/>
        <v>1.5707963267948966</v>
      </c>
      <c r="AJ145" t="str">
        <f t="shared" si="105"/>
        <v>0,97446549386406+1,37264728694419i</v>
      </c>
      <c r="AK145">
        <f t="shared" si="124"/>
        <v>1.683372678014875</v>
      </c>
      <c r="AL145">
        <f t="shared" si="125"/>
        <v>0.95344569243412225</v>
      </c>
      <c r="AM145" t="str">
        <f t="shared" si="106"/>
        <v>1+1,88694995937125i</v>
      </c>
      <c r="AN145">
        <f t="shared" si="126"/>
        <v>2.1355514859565345</v>
      </c>
      <c r="AO145">
        <f t="shared" si="127"/>
        <v>1.0834722860547337</v>
      </c>
      <c r="AP145" t="str">
        <f t="shared" si="107"/>
        <v>1+1,32535770955838i</v>
      </c>
      <c r="AQ145">
        <f t="shared" si="128"/>
        <v>1.6602930639757054</v>
      </c>
      <c r="AR145">
        <f t="shared" si="129"/>
        <v>0.92441296727464439</v>
      </c>
      <c r="AS145" s="42" t="str">
        <f t="shared" si="130"/>
        <v>-32,5503237153542+18,4799350616525i</v>
      </c>
      <c r="AT145">
        <f t="shared" si="131"/>
        <v>31.464479227215065</v>
      </c>
      <c r="AU145" s="44">
        <f t="shared" si="132"/>
        <v>150.41493659092609</v>
      </c>
      <c r="AV145" s="42" t="str">
        <f t="shared" si="108"/>
        <v>210,648720040383+402,141688668699i</v>
      </c>
      <c r="AW145" s="20">
        <f t="shared" si="133"/>
        <v>53.140586493767323</v>
      </c>
      <c r="AX145" s="44">
        <f t="shared" si="134"/>
        <v>62.353681006264665</v>
      </c>
    </row>
    <row r="146" spans="14:50" x14ac:dyDescent="0.3">
      <c r="N146" s="8">
        <v>28</v>
      </c>
      <c r="O146" s="35">
        <f t="shared" si="135"/>
        <v>190.54607179632498</v>
      </c>
      <c r="P146" s="34" t="str">
        <f t="shared" si="99"/>
        <v>324,571428571429</v>
      </c>
      <c r="Q146" s="4" t="str">
        <f t="shared" si="100"/>
        <v>1+27,3654006548905i</v>
      </c>
      <c r="R146" s="4">
        <f t="shared" si="110"/>
        <v>27.383665806511029</v>
      </c>
      <c r="S146" s="4">
        <f t="shared" si="111"/>
        <v>1.5342700851025401</v>
      </c>
      <c r="T146" s="4" t="str">
        <f t="shared" si="101"/>
        <v>1+0,000239447255730292i</v>
      </c>
      <c r="U146" s="4">
        <f t="shared" si="112"/>
        <v>1.0000000286674937</v>
      </c>
      <c r="V146" s="4">
        <f t="shared" si="113"/>
        <v>2.3944725115405697E-4</v>
      </c>
      <c r="W146" t="str">
        <f t="shared" si="102"/>
        <v>1-0,00207853520599212i</v>
      </c>
      <c r="X146" s="4">
        <f t="shared" si="114"/>
        <v>1.0000021601519682</v>
      </c>
      <c r="Y146" s="4">
        <f t="shared" si="115"/>
        <v>-2.0785322126953688E-3</v>
      </c>
      <c r="Z146" t="str">
        <f t="shared" si="103"/>
        <v>0,999999854768778+0,00178213608561764i</v>
      </c>
      <c r="AA146" s="4">
        <f t="shared" si="116"/>
        <v>1.0000014427722617</v>
      </c>
      <c r="AB146" s="4">
        <f t="shared" si="117"/>
        <v>1.7821344577488203E-3</v>
      </c>
      <c r="AC146" s="48" t="str">
        <f t="shared" si="118"/>
        <v>0,389944536607464-11,8463311456392i</v>
      </c>
      <c r="AD146" s="20">
        <f t="shared" si="119"/>
        <v>21.476380500945798</v>
      </c>
      <c r="AE146" s="44">
        <f t="shared" si="120"/>
        <v>-88.114681098969314</v>
      </c>
      <c r="AF146" t="str">
        <f t="shared" si="104"/>
        <v>-20791,6666666667</v>
      </c>
      <c r="AG146" t="str">
        <f t="shared" si="121"/>
        <v>1197,23627865146i</v>
      </c>
      <c r="AH146">
        <f t="shared" si="122"/>
        <v>1197.23627865146</v>
      </c>
      <c r="AI146">
        <f t="shared" si="123"/>
        <v>1.5707963267948966</v>
      </c>
      <c r="AJ146" t="str">
        <f t="shared" si="105"/>
        <v>0,973262089664676+1,40462034960318i</v>
      </c>
      <c r="AK146">
        <f t="shared" si="124"/>
        <v>1.7088585142421273</v>
      </c>
      <c r="AL146">
        <f t="shared" si="125"/>
        <v>0.96485106179691349</v>
      </c>
      <c r="AM146" t="str">
        <f t="shared" si="106"/>
        <v>1+1,93090267020907i</v>
      </c>
      <c r="AN146">
        <f t="shared" si="126"/>
        <v>2.1744850245105201</v>
      </c>
      <c r="AO146">
        <f t="shared" si="127"/>
        <v>1.0929373964391298</v>
      </c>
      <c r="AP146" t="str">
        <f t="shared" si="107"/>
        <v>1+1,35622925645637i</v>
      </c>
      <c r="AQ146">
        <f t="shared" si="128"/>
        <v>1.6850394049007276</v>
      </c>
      <c r="AR146">
        <f t="shared" si="129"/>
        <v>0.93544796862463309</v>
      </c>
      <c r="AS146" s="42" t="str">
        <f t="shared" si="130"/>
        <v>-32,5476717631138+18,0890053125672i</v>
      </c>
      <c r="AT146">
        <f t="shared" si="131"/>
        <v>31.419396227902773</v>
      </c>
      <c r="AU146" s="44">
        <f t="shared" si="132"/>
        <v>150.93602694457712</v>
      </c>
      <c r="AV146" s="42" t="str">
        <f t="shared" si="108"/>
        <v>201,596560244578+392,624206519715i</v>
      </c>
      <c r="AW146" s="20">
        <f t="shared" si="133"/>
        <v>52.89577672884856</v>
      </c>
      <c r="AX146" s="44">
        <f t="shared" si="134"/>
        <v>62.821345845607823</v>
      </c>
    </row>
    <row r="147" spans="14:50" x14ac:dyDescent="0.3">
      <c r="N147" s="8">
        <v>29</v>
      </c>
      <c r="O147" s="35">
        <f t="shared" si="135"/>
        <v>194.98445997580458</v>
      </c>
      <c r="P147" s="34" t="str">
        <f t="shared" ref="P147:P210" si="136">COMPLEX(Adc,0)</f>
        <v>324,571428571429</v>
      </c>
      <c r="Q147" s="4" t="str">
        <f t="shared" ref="Q147:Q210" si="137">IMSUM(COMPLEX(1,0),IMDIV(COMPLEX(0,2*PI()*O147),COMPLEX(wp_lf,0)))</f>
        <v>1+28,0028227211045i</v>
      </c>
      <c r="R147" s="4">
        <f t="shared" si="110"/>
        <v>28.020672375044935</v>
      </c>
      <c r="S147" s="4">
        <f t="shared" si="111"/>
        <v>1.5351008095766336</v>
      </c>
      <c r="T147" s="4" t="str">
        <f t="shared" ref="T147:T210" si="138">IMSUM(COMPLEX(1,0),IMDIV(COMPLEX(0,2*PI()*O147),COMPLEX(wz_esr,0)))</f>
        <v>1+0,000245024698809664i</v>
      </c>
      <c r="U147" s="4">
        <f t="shared" si="112"/>
        <v>1.000000030018551</v>
      </c>
      <c r="V147" s="4">
        <f t="shared" si="113"/>
        <v>2.4502469390613979E-4</v>
      </c>
      <c r="W147" t="str">
        <f t="shared" ref="W147:W210" si="139">IMSUB(COMPLEX(1,0),IMDIV(COMPLEX(0,2*PI()*O147),COMPLEX(wz_rhp,0)))</f>
        <v>1-0,00212695051050056i</v>
      </c>
      <c r="X147" s="4">
        <f t="shared" si="114"/>
        <v>1.0000022619566789</v>
      </c>
      <c r="Y147" s="4">
        <f t="shared" si="115"/>
        <v>-2.1269473031256965E-3</v>
      </c>
      <c r="Z147" t="str">
        <f t="shared" ref="Z147:Z210" si="140">IMSUM(COMPLEX(1,0),IMDIV(COMPLEX(0,2*PI()*O147),COMPLEX(Q*(wsl/2),0)),IMDIV(IMPOWER(COMPLEX(0,2*PI()*O147),2),IMPOWER(COMPLEX(wsl/2,0),2)))</f>
        <v>0,999999847924241+0,00182364736770317i</v>
      </c>
      <c r="AA147" s="4">
        <f t="shared" si="116"/>
        <v>1.0000015107679723</v>
      </c>
      <c r="AB147" s="4">
        <f t="shared" si="117"/>
        <v>1.8236456234104459E-3</v>
      </c>
      <c r="AC147" s="48" t="str">
        <f t="shared" si="118"/>
        <v>0,370485782095177-11,5773674387322i</v>
      </c>
      <c r="AD147" s="20">
        <f t="shared" si="119"/>
        <v>21.276641480651364</v>
      </c>
      <c r="AE147" s="44">
        <f t="shared" si="120"/>
        <v>-88.167110936284416</v>
      </c>
      <c r="AF147" t="str">
        <f t="shared" ref="AF147:AF210" si="141">COMPLEX(Adc_ea_iso,0)</f>
        <v>-20791,6666666667</v>
      </c>
      <c r="AG147" t="str">
        <f t="shared" si="121"/>
        <v>1225,12349404832i</v>
      </c>
      <c r="AH147">
        <f t="shared" si="122"/>
        <v>1225.12349404832</v>
      </c>
      <c r="AI147">
        <f t="shared" si="123"/>
        <v>1.5707963267948966</v>
      </c>
      <c r="AJ147" t="str">
        <f t="shared" ref="AJ147:AJ210" si="142">IMSUM(IMPRODUCT(COMPLEX(wpA_ea_iso,0),IMPOWER(COMPLEX(0,2*PI()*O147),2)),COMPLEX(0,wpB_ea_iso*2*PI()*O147),COMPLEX(1,0))</f>
        <v>0,972001970772657+1,43733816056388i</v>
      </c>
      <c r="AK147">
        <f t="shared" si="124"/>
        <v>1.7351451867204333</v>
      </c>
      <c r="AL147">
        <f t="shared" si="125"/>
        <v>0.97618744635605725</v>
      </c>
      <c r="AM147" t="str">
        <f t="shared" ref="AM147:AM210" si="143">IMSUM(COMPLEX(1,0),IMDIV(COMPLEX(0,2*PI()*O147),COMPLEX(wz1_ea_iso,0)))</f>
        <v>1+1,97587917120113i</v>
      </c>
      <c r="AN147">
        <f t="shared" si="126"/>
        <v>2.2145199252177576</v>
      </c>
      <c r="AO147">
        <f t="shared" si="127"/>
        <v>1.1022775919531107</v>
      </c>
      <c r="AP147" t="str">
        <f t="shared" ref="AP147:AP210" si="144">IMSUM(COMPLEX(1,0),IMDIV(COMPLEX(0,2*PI()*O147),COMPLEX(wz2_ea_iso,0)))</f>
        <v>1+1,38781989405794i</v>
      </c>
      <c r="AQ147">
        <f t="shared" si="128"/>
        <v>1.7105683436632961</v>
      </c>
      <c r="AR147">
        <f t="shared" si="129"/>
        <v>0.94640812106185146</v>
      </c>
      <c r="AS147" s="42" t="str">
        <f t="shared" si="130"/>
        <v>-32,5450245103447+17,7075741362879i</v>
      </c>
      <c r="AT147">
        <f t="shared" si="131"/>
        <v>31.375872769876203</v>
      </c>
      <c r="AU147" s="44">
        <f t="shared" si="132"/>
        <v>151.44962421465144</v>
      </c>
      <c r="AV147" s="42" t="str">
        <f t="shared" ref="AV147:AV210" si="145">IMPRODUCT(AC147,AS147)</f>
        <v>192,949623365374+383,346111511697i</v>
      </c>
      <c r="AW147" s="20">
        <f t="shared" si="133"/>
        <v>52.652514250527567</v>
      </c>
      <c r="AX147" s="44">
        <f t="shared" si="134"/>
        <v>63.282513278367055</v>
      </c>
    </row>
    <row r="148" spans="14:50" x14ac:dyDescent="0.3">
      <c r="N148" s="8">
        <v>30</v>
      </c>
      <c r="O148" s="35">
        <f t="shared" si="135"/>
        <v>199.52623149688802</v>
      </c>
      <c r="P148" s="34" t="str">
        <f t="shared" si="136"/>
        <v>324,571428571429</v>
      </c>
      <c r="Q148" s="4" t="str">
        <f t="shared" si="137"/>
        <v>1+28,6550922545865i</v>
      </c>
      <c r="R148" s="4">
        <f t="shared" ref="R148:R211" si="146">IMABS(Q148)</f>
        <v>28.672535850860196</v>
      </c>
      <c r="S148" s="4">
        <f t="shared" ref="S148:S211" si="147">IMARGUMENT(Q148)</f>
        <v>1.5359126720822467</v>
      </c>
      <c r="T148" s="4" t="str">
        <f t="shared" si="138"/>
        <v>1+0,000250732057227632i</v>
      </c>
      <c r="U148" s="4">
        <f t="shared" ref="U148:U211" si="148">IMABS(T148)</f>
        <v>1.0000000314332818</v>
      </c>
      <c r="V148" s="4">
        <f t="shared" ref="V148:V211" si="149">IMARGUMENT(T148)</f>
        <v>2.5073205197341118E-4</v>
      </c>
      <c r="W148" t="str">
        <f t="shared" si="139"/>
        <v>1-0,00217649355232319i</v>
      </c>
      <c r="X148" s="4">
        <f t="shared" ref="X148:X211" si="150">IMABS(W148)</f>
        <v>1.0000023685592867</v>
      </c>
      <c r="Y148" s="4">
        <f t="shared" ref="Y148:Y211" si="151">IMARGUMENT(W148)</f>
        <v>-2.1764901155595442E-3</v>
      </c>
      <c r="Z148" t="str">
        <f t="shared" si="140"/>
        <v>0,999999840757132+0,00186612557176191i</v>
      </c>
      <c r="AA148" s="4">
        <f t="shared" ref="AA148:AA211" si="152">IMABS(Z148)</f>
        <v>1.000001581968218</v>
      </c>
      <c r="AB148" s="4">
        <f t="shared" ref="AB148:AB211" si="153">IMARGUMENT(Z148)</f>
        <v>1.8661237027187399E-3</v>
      </c>
      <c r="AC148" s="48" t="str">
        <f t="shared" ref="AC148:AC211" si="154">(IMDIV(IMPRODUCT(P148,T148,W148),IMPRODUCT(Q148,Z148)))</f>
        <v>0,351900635527619-11,3144797147955i</v>
      </c>
      <c r="AD148" s="20">
        <f t="shared" ref="AD148:AD211" si="155">20*LOG(IMABS(AC148))</f>
        <v>21.076890757079823</v>
      </c>
      <c r="AE148" s="44">
        <f t="shared" ref="AE148:AE211" si="156">(180/PI())*IMARGUMENT(AC148)</f>
        <v>-88.218572632595411</v>
      </c>
      <c r="AF148" t="str">
        <f t="shared" si="141"/>
        <v>-20791,6666666667</v>
      </c>
      <c r="AG148" t="str">
        <f t="shared" ref="AG148:AG211" si="157">COMPLEX(0,1*2*PI()*O148)</f>
        <v>1253,66028613816i</v>
      </c>
      <c r="AH148">
        <f t="shared" ref="AH148:AH211" si="158">IMABS(AG148)</f>
        <v>1253.66028613816</v>
      </c>
      <c r="AI148">
        <f t="shared" ref="AI148:AI211" si="159">IMARGUMENT(AG148)</f>
        <v>1.5707963267948966</v>
      </c>
      <c r="AJ148" t="str">
        <f t="shared" si="142"/>
        <v>0,970682464306886+1,47081806724273i</v>
      </c>
      <c r="AK148">
        <f t="shared" ref="AK148:AK211" si="160">IMABS(AJ148)</f>
        <v>1.7622514671409779</v>
      </c>
      <c r="AL148">
        <f t="shared" ref="AL148:AL211" si="161">IMARGUMENT(AJ148)</f>
        <v>0.98745053312365161</v>
      </c>
      <c r="AM148" t="str">
        <f t="shared" si="143"/>
        <v>1+2,02190330948362i</v>
      </c>
      <c r="AN148">
        <f t="shared" ref="AN148:AN211" si="162">IMABS(AM148)</f>
        <v>2.2556801619247384</v>
      </c>
      <c r="AO148">
        <f t="shared" ref="AO148:AO211" si="163">IMARGUMENT(AM148)</f>
        <v>1.111491305338266</v>
      </c>
      <c r="AP148" t="str">
        <f t="shared" si="144"/>
        <v>1+1,42014637213731i</v>
      </c>
      <c r="AQ148">
        <f t="shared" ref="AQ148:AQ211" si="164">IMABS(AP148)</f>
        <v>1.7368983039587444</v>
      </c>
      <c r="AR148">
        <f t="shared" ref="AR148:AR211" si="165">IMARGUMENT(AP148)</f>
        <v>0.95728870337950334</v>
      </c>
      <c r="AS148" s="42" t="str">
        <f t="shared" ref="AS148:AS211" si="166">IMDIV(IMPRODUCT(AF148,AM148,AP148),IMPRODUCT(AG148,AJ148))</f>
        <v>-32,5423822543773+17,3354412532496i</v>
      </c>
      <c r="AT148">
        <f t="shared" ref="AT148:AT211" si="167">20*LOG(IMABS(AS148))</f>
        <v>31.333869317978671</v>
      </c>
      <c r="AU148" s="44">
        <f t="shared" ref="AU148:AU211" si="168">(180/PI())*IMARGUMENT(AS148)</f>
        <v>151.95561521463739</v>
      </c>
      <c r="AV148" s="42" t="str">
        <f t="shared" si="145"/>
        <v>184,689813410024+374,300476682443i</v>
      </c>
      <c r="AW148" s="20">
        <f t="shared" ref="AW148:AW211" si="169">20*LOG(IMABS(AV148))</f>
        <v>52.410760075058491</v>
      </c>
      <c r="AX148" s="44">
        <f t="shared" ref="AX148:AX211" si="170">(180/PI())*IMARGUMENT(AV148)</f>
        <v>63.73704258204193</v>
      </c>
    </row>
    <row r="149" spans="14:50" x14ac:dyDescent="0.3">
      <c r="N149" s="8">
        <v>31</v>
      </c>
      <c r="O149" s="35">
        <f t="shared" si="135"/>
        <v>204.17379446695315</v>
      </c>
      <c r="P149" s="34" t="str">
        <f t="shared" si="136"/>
        <v>324,571428571429</v>
      </c>
      <c r="Q149" s="4" t="str">
        <f t="shared" si="137"/>
        <v>1+29,3225550972768i</v>
      </c>
      <c r="R149" s="4">
        <f t="shared" si="146"/>
        <v>29.339601862207225</v>
      </c>
      <c r="S149" s="4">
        <f t="shared" si="147"/>
        <v>1.5367060987962571</v>
      </c>
      <c r="T149" s="4" t="str">
        <f t="shared" si="138"/>
        <v>1+0,000256572357101172i</v>
      </c>
      <c r="U149" s="4">
        <f t="shared" si="148"/>
        <v>1.0000000329146868</v>
      </c>
      <c r="V149" s="4">
        <f t="shared" si="149"/>
        <v>2.5657235147117296E-4</v>
      </c>
      <c r="W149" t="str">
        <f t="shared" si="139"/>
        <v>1-0,00222719059983656i</v>
      </c>
      <c r="X149" s="4">
        <f t="shared" si="150"/>
        <v>1.0000024801859082</v>
      </c>
      <c r="Y149" s="4">
        <f t="shared" si="151"/>
        <v>-2.2271869172784597E-3</v>
      </c>
      <c r="Z149" t="str">
        <f t="shared" si="140"/>
        <v>0,999999833252247+0,00190959322029987i</v>
      </c>
      <c r="AA149" s="4">
        <f t="shared" si="152"/>
        <v>1.0000016565240222</v>
      </c>
      <c r="AB149" s="4">
        <f t="shared" si="153"/>
        <v>1.9095912175842093E-3</v>
      </c>
      <c r="AC149" s="48" t="str">
        <f t="shared" si="154"/>
        <v>0,334149969637043-11,0575327482123i</v>
      </c>
      <c r="AD149" s="20">
        <f t="shared" si="155"/>
        <v>20.877128857007705</v>
      </c>
      <c r="AE149" s="44">
        <f t="shared" si="156"/>
        <v>-88.269093228069821</v>
      </c>
      <c r="AF149" t="str">
        <f t="shared" si="141"/>
        <v>-20791,6666666667</v>
      </c>
      <c r="AG149" t="str">
        <f t="shared" si="157"/>
        <v>1282,86178550586i</v>
      </c>
      <c r="AH149">
        <f t="shared" si="158"/>
        <v>1282.8617855058601</v>
      </c>
      <c r="AI149">
        <f t="shared" si="159"/>
        <v>1.5707963267948966</v>
      </c>
      <c r="AJ149" t="str">
        <f t="shared" si="142"/>
        <v>0,969300771417239+1,50507782112941i</v>
      </c>
      <c r="AK149">
        <f t="shared" si="160"/>
        <v>1.7901964230568965</v>
      </c>
      <c r="AL149">
        <f t="shared" si="161"/>
        <v>0.99863620653148344</v>
      </c>
      <c r="AM149" t="str">
        <f t="shared" si="143"/>
        <v>1+2,06899948766385i</v>
      </c>
      <c r="AN149">
        <f t="shared" si="162"/>
        <v>2.2979901827364873</v>
      </c>
      <c r="AO149">
        <f t="shared" si="163"/>
        <v>1.1205771634873576</v>
      </c>
      <c r="AP149" t="str">
        <f t="shared" si="144"/>
        <v>1+1,45322583062104i</v>
      </c>
      <c r="AQ149">
        <f t="shared" si="164"/>
        <v>1.7640479910660627</v>
      </c>
      <c r="AR149">
        <f t="shared" si="165"/>
        <v>0.96808517982530795</v>
      </c>
      <c r="AS149" s="42" t="str">
        <f t="shared" si="166"/>
        <v>-32,5397451237214+16,9724113871319i</v>
      </c>
      <c r="AT149">
        <f t="shared" si="167"/>
        <v>31.293346309761336</v>
      </c>
      <c r="AU149" s="44">
        <f t="shared" si="168"/>
        <v>152.45389719651169</v>
      </c>
      <c r="AV149" s="42" t="str">
        <f t="shared" si="145"/>
        <v>176,799839884254+365,480628073708i</v>
      </c>
      <c r="AW149" s="20">
        <f t="shared" si="169"/>
        <v>52.170475166769037</v>
      </c>
      <c r="AX149" s="44">
        <f t="shared" si="170"/>
        <v>64.184803968441813</v>
      </c>
    </row>
    <row r="150" spans="14:50" x14ac:dyDescent="0.3">
      <c r="N150" s="8">
        <v>32</v>
      </c>
      <c r="O150" s="35">
        <f t="shared" si="135"/>
        <v>208.92961308540396</v>
      </c>
      <c r="P150" s="34" t="str">
        <f t="shared" si="136"/>
        <v>324,571428571429</v>
      </c>
      <c r="Q150" s="4" t="str">
        <f t="shared" si="137"/>
        <v>1+30,0055651468098i</v>
      </c>
      <c r="R150" s="4">
        <f t="shared" si="146"/>
        <v>30.022224097815393</v>
      </c>
      <c r="S150" s="4">
        <f t="shared" si="147"/>
        <v>1.5374815064058664</v>
      </c>
      <c r="T150" s="4" t="str">
        <f t="shared" si="138"/>
        <v>1+0,000262548695034586i</v>
      </c>
      <c r="U150" s="4">
        <f t="shared" si="148"/>
        <v>1.0000000344659081</v>
      </c>
      <c r="V150" s="4">
        <f t="shared" si="149"/>
        <v>2.625486890019334E-4</v>
      </c>
      <c r="W150" t="str">
        <f t="shared" si="139"/>
        <v>1-0,00227906853328634i</v>
      </c>
      <c r="X150" s="4">
        <f t="shared" si="150"/>
        <v>1.0000025970733173</v>
      </c>
      <c r="Y150" s="4">
        <f t="shared" si="151"/>
        <v>-2.2790645873547962E-3</v>
      </c>
      <c r="Z150" t="str">
        <f t="shared" si="140"/>
        <v>0,999999825393667+0,0019540733604397i</v>
      </c>
      <c r="AA150" s="4">
        <f t="shared" si="152"/>
        <v>1.000001734593527</v>
      </c>
      <c r="AB150" s="4">
        <f t="shared" si="153"/>
        <v>1.9540712144914081E-3</v>
      </c>
      <c r="AC150" s="48" t="str">
        <f t="shared" si="154"/>
        <v>0,317196401364364-10,8063941865992i</v>
      </c>
      <c r="AD150" s="20">
        <f t="shared" si="155"/>
        <v>20.67735628367803</v>
      </c>
      <c r="AE150" s="44">
        <f t="shared" si="156"/>
        <v>-88.318699280227207</v>
      </c>
      <c r="AF150" t="str">
        <f t="shared" si="141"/>
        <v>-20791,6666666667</v>
      </c>
      <c r="AG150" t="str">
        <f t="shared" si="157"/>
        <v>1312,74347517293i</v>
      </c>
      <c r="AH150">
        <f t="shared" si="158"/>
        <v>1312.7434751729299</v>
      </c>
      <c r="AI150">
        <f t="shared" si="159"/>
        <v>1.5707963267948966</v>
      </c>
      <c r="AJ150" t="str">
        <f t="shared" si="142"/>
        <v>0,967853961347851+1,54013558719891i</v>
      </c>
      <c r="AK150">
        <f t="shared" si="160"/>
        <v>1.818999427557155</v>
      </c>
      <c r="AL150">
        <f t="shared" si="161"/>
        <v>1.0097405546229044</v>
      </c>
      <c r="AM150" t="str">
        <f t="shared" si="143"/>
        <v>1+2,1171926767589i</v>
      </c>
      <c r="AN150">
        <f t="shared" si="162"/>
        <v>2.3414749263063901</v>
      </c>
      <c r="AO150">
        <f t="shared" si="163"/>
        <v>1.129533982367706</v>
      </c>
      <c r="AP150" t="str">
        <f t="shared" si="144"/>
        <v>1+1,48707580867589i</v>
      </c>
      <c r="AQ150">
        <f t="shared" si="164"/>
        <v>1.792036400508944</v>
      </c>
      <c r="AR150">
        <f t="shared" si="165"/>
        <v>0.97879320708373962</v>
      </c>
      <c r="AS150" s="42" t="str">
        <f t="shared" si="166"/>
        <v>-32,5371130734688+16,6182941513414i</v>
      </c>
      <c r="AT150">
        <f t="shared" si="167"/>
        <v>31.254264232576951</v>
      </c>
      <c r="AU150" s="44">
        <f t="shared" si="168"/>
        <v>152.94437760515504</v>
      </c>
      <c r="AV150" s="42" t="str">
        <f t="shared" si="145"/>
        <v>169,263182130561+356,880132667474i</v>
      </c>
      <c r="AW150" s="20">
        <f t="shared" si="169"/>
        <v>51.931620516254981</v>
      </c>
      <c r="AX150" s="44">
        <f t="shared" si="170"/>
        <v>64.625678324927904</v>
      </c>
    </row>
    <row r="151" spans="14:50" x14ac:dyDescent="0.3">
      <c r="N151" s="8">
        <v>33</v>
      </c>
      <c r="O151" s="35">
        <f t="shared" si="135"/>
        <v>213.79620895022339</v>
      </c>
      <c r="P151" s="34" t="str">
        <f t="shared" si="136"/>
        <v>324,571428571429</v>
      </c>
      <c r="Q151" s="4" t="str">
        <f t="shared" si="137"/>
        <v>1+30,7044845441541i</v>
      </c>
      <c r="R151" s="4">
        <f t="shared" si="146"/>
        <v>30.72076449442946</v>
      </c>
      <c r="S151" s="4">
        <f t="shared" si="147"/>
        <v>1.5382393023105676</v>
      </c>
      <c r="T151" s="4" t="str">
        <f t="shared" si="138"/>
        <v>1+0,000268664239761348i</v>
      </c>
      <c r="U151" s="4">
        <f t="shared" si="148"/>
        <v>1.0000000360902364</v>
      </c>
      <c r="V151" s="4">
        <f t="shared" si="149"/>
        <v>2.6866423329724421E-4</v>
      </c>
      <c r="W151" t="str">
        <f t="shared" si="139"/>
        <v>1-0,00233215485903948i</v>
      </c>
      <c r="X151" s="4">
        <f t="shared" si="150"/>
        <v>1.0000027194694454</v>
      </c>
      <c r="Y151" s="4">
        <f t="shared" si="151"/>
        <v>-2.3321506308982744E-3</v>
      </c>
      <c r="Z151" t="str">
        <f t="shared" si="140"/>
        <v>0,999999817164724+0,00199958957614045i</v>
      </c>
      <c r="AA151" s="4">
        <f t="shared" si="152"/>
        <v>1.0000018163423277</v>
      </c>
      <c r="AB151" s="4">
        <f t="shared" si="153"/>
        <v>1.9995872767156527E-3</v>
      </c>
      <c r="AC151" s="48" t="str">
        <f t="shared" si="154"/>
        <v>0,301004214830302-10,5609344989771i</v>
      </c>
      <c r="AD151" s="20">
        <f t="shared" si="155"/>
        <v>20.477573517852463</v>
      </c>
      <c r="AE151" s="44">
        <f t="shared" si="156"/>
        <v>-88.367416876932936</v>
      </c>
      <c r="AF151" t="str">
        <f t="shared" si="141"/>
        <v>-20791,6666666667</v>
      </c>
      <c r="AG151" t="str">
        <f t="shared" si="157"/>
        <v>1343,32119880674i</v>
      </c>
      <c r="AH151">
        <f t="shared" si="158"/>
        <v>1343.3211988067401</v>
      </c>
      <c r="AI151">
        <f t="shared" si="159"/>
        <v>1.5707963267948966</v>
      </c>
      <c r="AJ151" t="str">
        <f t="shared" si="142"/>
        <v>0,966338965220587+1,57600995354285i</v>
      </c>
      <c r="AK151">
        <f t="shared" si="160"/>
        <v>1.8486801695722632</v>
      </c>
      <c r="AL151">
        <f t="shared" si="161"/>
        <v>1.0207598742549531</v>
      </c>
      <c r="AM151" t="str">
        <f t="shared" si="143"/>
        <v>1+2,16650842943551i</v>
      </c>
      <c r="AN151">
        <f t="shared" si="162"/>
        <v>2.3861598384884277</v>
      </c>
      <c r="AO151">
        <f t="shared" si="163"/>
        <v>1.1383607615496547</v>
      </c>
      <c r="AP151" t="str">
        <f t="shared" si="144"/>
        <v>1+1,52171425400828i</v>
      </c>
      <c r="AQ151">
        <f t="shared" si="164"/>
        <v>1.8208828273263427</v>
      </c>
      <c r="AR151">
        <f t="shared" si="165"/>
        <v>0.98940864026487396</v>
      </c>
      <c r="AS151" s="42" t="str">
        <f t="shared" si="166"/>
        <v>-32,5344858813259+16,272903938077i</v>
      </c>
      <c r="AT151">
        <f t="shared" si="167"/>
        <v>31.216583696491838</v>
      </c>
      <c r="AU151" s="44">
        <f t="shared" si="168"/>
        <v>153.42697380993465</v>
      </c>
      <c r="AV151" s="42" t="str">
        <f t="shared" si="145"/>
        <v>162,064055220562+348,492787023468i</v>
      </c>
      <c r="AW151" s="20">
        <f t="shared" si="169"/>
        <v>51.694157214344301</v>
      </c>
      <c r="AX151" s="44">
        <f t="shared" si="170"/>
        <v>65.059556933001687</v>
      </c>
    </row>
    <row r="152" spans="14:50" x14ac:dyDescent="0.3">
      <c r="N152" s="8">
        <v>34</v>
      </c>
      <c r="O152" s="35">
        <f t="shared" si="135"/>
        <v>218.77616239495524</v>
      </c>
      <c r="P152" s="34" t="str">
        <f t="shared" si="136"/>
        <v>324,571428571429</v>
      </c>
      <c r="Q152" s="4" t="str">
        <f t="shared" si="137"/>
        <v>1+31,4196838656256i</v>
      </c>
      <c r="R152" s="4">
        <f t="shared" si="146"/>
        <v>31.435593428721109</v>
      </c>
      <c r="S152" s="4">
        <f t="shared" si="147"/>
        <v>1.5389798848204475</v>
      </c>
      <c r="T152" s="4" t="str">
        <f t="shared" si="138"/>
        <v>1+0,000274922233824224i</v>
      </c>
      <c r="U152" s="4">
        <f t="shared" si="148"/>
        <v>1.0000000377911167</v>
      </c>
      <c r="V152" s="4">
        <f t="shared" si="149"/>
        <v>2.7492222689781204E-4</v>
      </c>
      <c r="W152" t="str">
        <f t="shared" si="139"/>
        <v>1-0,00238647772416861i</v>
      </c>
      <c r="X152" s="4">
        <f t="shared" si="150"/>
        <v>1.0000028476339096</v>
      </c>
      <c r="Y152" s="4">
        <f t="shared" si="151"/>
        <v>-2.3864731936343799E-3</v>
      </c>
      <c r="Z152" t="str">
        <f t="shared" si="140"/>
        <v>0,999999808547963+0,00204616600070217i</v>
      </c>
      <c r="AA152" s="4">
        <f t="shared" si="152"/>
        <v>1.000001901943824</v>
      </c>
      <c r="AB152" s="4">
        <f t="shared" si="153"/>
        <v>2.0461635368243607E-3</v>
      </c>
      <c r="AC152" s="48" t="str">
        <f t="shared" si="154"/>
        <v>0,285539287644428-10,3210269242265i</v>
      </c>
      <c r="AD152" s="20">
        <f t="shared" si="155"/>
        <v>20.277781018817244</v>
      </c>
      <c r="AE152" s="44">
        <f t="shared" si="156"/>
        <v>-88.415271649215569</v>
      </c>
      <c r="AF152" t="str">
        <f t="shared" si="141"/>
        <v>-20791,6666666667</v>
      </c>
      <c r="AG152" t="str">
        <f t="shared" si="157"/>
        <v>1374,61116912112i</v>
      </c>
      <c r="AH152">
        <f t="shared" si="158"/>
        <v>1374.6111691211199</v>
      </c>
      <c r="AI152">
        <f t="shared" si="159"/>
        <v>1.5707963267948966</v>
      </c>
      <c r="AJ152" t="str">
        <f t="shared" si="142"/>
        <v>0,964752569525542+1,61271994122511i</v>
      </c>
      <c r="AK152">
        <f t="shared" si="160"/>
        <v>1.8792586648014313</v>
      </c>
      <c r="AL152">
        <f t="shared" si="161"/>
        <v>1.0316906753196335</v>
      </c>
      <c r="AM152" t="str">
        <f t="shared" si="143"/>
        <v>1+2,21697289355854i</v>
      </c>
      <c r="AN152">
        <f t="shared" si="162"/>
        <v>2.4320708893396437</v>
      </c>
      <c r="AO152">
        <f t="shared" si="163"/>
        <v>1.1470566783935952</v>
      </c>
      <c r="AP152" t="str">
        <f t="shared" si="144"/>
        <v>1+1,5571595323804i</v>
      </c>
      <c r="AQ152">
        <f t="shared" si="164"/>
        <v>1.8506068759418208</v>
      </c>
      <c r="AR152">
        <f t="shared" si="165"/>
        <v>0.99992753790117561</v>
      </c>
      <c r="AS152" s="42" t="str">
        <f t="shared" si="166"/>
        <v>-32,531863144248+15,9360598099941i</v>
      </c>
      <c r="AT152">
        <f t="shared" si="167"/>
        <v>31.180265502925014</v>
      </c>
      <c r="AU152" s="44">
        <f t="shared" si="168"/>
        <v>153.90161281607632</v>
      </c>
      <c r="AV152" s="42" t="str">
        <f t="shared" si="145"/>
        <v>155,187377337078+340,31260657304i</v>
      </c>
      <c r="AW152" s="20">
        <f t="shared" si="169"/>
        <v>51.458046521742247</v>
      </c>
      <c r="AX152" s="44">
        <f t="shared" si="170"/>
        <v>65.486341166860797</v>
      </c>
    </row>
    <row r="153" spans="14:50" x14ac:dyDescent="0.3">
      <c r="N153" s="8">
        <v>35</v>
      </c>
      <c r="O153" s="35">
        <f t="shared" si="135"/>
        <v>223.87211385683412</v>
      </c>
      <c r="P153" s="34" t="str">
        <f t="shared" si="136"/>
        <v>324,571428571429</v>
      </c>
      <c r="Q153" s="4" t="str">
        <f t="shared" si="137"/>
        <v>1+32,1515423193714i</v>
      </c>
      <c r="R153" s="4">
        <f t="shared" si="146"/>
        <v>32.167089913673102</v>
      </c>
      <c r="S153" s="4">
        <f t="shared" si="147"/>
        <v>1.539703643350844</v>
      </c>
      <c r="T153" s="4" t="str">
        <f t="shared" si="138"/>
        <v>1+0,0002813259952945i</v>
      </c>
      <c r="U153" s="4">
        <f t="shared" si="148"/>
        <v>1.0000000395721569</v>
      </c>
      <c r="V153" s="4">
        <f t="shared" si="149"/>
        <v>2.8132598787271589E-4</v>
      </c>
      <c r="W153" t="str">
        <f t="shared" si="139"/>
        <v>1-0,00244206593137587i</v>
      </c>
      <c r="X153" s="4">
        <f t="shared" si="150"/>
        <v>1.000002981838561</v>
      </c>
      <c r="Y153" s="4">
        <f t="shared" si="151"/>
        <v>-2.4420610768217609E-3</v>
      </c>
      <c r="Z153" t="str">
        <f t="shared" si="140"/>
        <v>0,999999799525107+0,00209382732956167i</v>
      </c>
      <c r="AA153" s="4">
        <f t="shared" si="152"/>
        <v>1.0000019915795868</v>
      </c>
      <c r="AB153" s="4">
        <f t="shared" si="153"/>
        <v>2.0938246894693134E-3</v>
      </c>
      <c r="AC153" s="48" t="str">
        <f t="shared" si="154"/>
        <v>0,270769020413229-10,0865474198788i</v>
      </c>
      <c r="AD153" s="20">
        <f t="shared" si="155"/>
        <v>20.077979225344432</v>
      </c>
      <c r="AE153" s="44">
        <f t="shared" si="156"/>
        <v>-88.462288783908988</v>
      </c>
      <c r="AF153" t="str">
        <f t="shared" si="141"/>
        <v>-20791,6666666667</v>
      </c>
      <c r="AG153" t="str">
        <f t="shared" si="157"/>
        <v>1406,6299764725i</v>
      </c>
      <c r="AH153">
        <f t="shared" si="158"/>
        <v>1406.6299764724999</v>
      </c>
      <c r="AI153">
        <f t="shared" si="159"/>
        <v>1.5707963267948966</v>
      </c>
      <c r="AJ153" t="str">
        <f t="shared" si="142"/>
        <v>0,963091409304756+1,65028501436708i</v>
      </c>
      <c r="AK153">
        <f t="shared" si="160"/>
        <v>1.9107552672493604</v>
      </c>
      <c r="AL153">
        <f t="shared" si="161"/>
        <v>1.042529684001017</v>
      </c>
      <c r="AM153" t="str">
        <f t="shared" si="143"/>
        <v>1+2,26861282605485i</v>
      </c>
      <c r="AN153">
        <f t="shared" si="162"/>
        <v>2.4792345904614534</v>
      </c>
      <c r="AO153">
        <f t="shared" si="163"/>
        <v>1.1556210819473407</v>
      </c>
      <c r="AP153" t="str">
        <f t="shared" si="144"/>
        <v>1+1,59343043734805i</v>
      </c>
      <c r="AQ153">
        <f t="shared" si="164"/>
        <v>1.8812284706189191</v>
      </c>
      <c r="AR153">
        <f t="shared" si="165"/>
        <v>1.0103461659617372</v>
      </c>
      <c r="AS153" s="42" t="str">
        <f t="shared" si="166"/>
        <v>-32,5292442756374+15,6075853944757i</v>
      </c>
      <c r="AT153">
        <f t="shared" si="167"/>
        <v>31.145270708956527</v>
      </c>
      <c r="AU153" s="44">
        <f t="shared" si="168"/>
        <v>154.3682309583906</v>
      </c>
      <c r="AV153" s="42" t="str">
        <f t="shared" si="145"/>
        <v>148,61873858389+332,333815527316i</v>
      </c>
      <c r="AW153" s="20">
        <f t="shared" si="169"/>
        <v>51.223249934300966</v>
      </c>
      <c r="AX153" s="44">
        <f t="shared" si="170"/>
        <v>65.905942174481623</v>
      </c>
    </row>
    <row r="154" spans="14:50" x14ac:dyDescent="0.3">
      <c r="N154" s="8">
        <v>36</v>
      </c>
      <c r="O154" s="35">
        <f t="shared" si="135"/>
        <v>229.08676527677744</v>
      </c>
      <c r="P154" s="34" t="str">
        <f t="shared" si="136"/>
        <v>324,571428571429</v>
      </c>
      <c r="Q154" s="4" t="str">
        <f t="shared" si="137"/>
        <v>1+32,9004479464309i</v>
      </c>
      <c r="R154" s="4">
        <f t="shared" si="146"/>
        <v>32.915641799542797</v>
      </c>
      <c r="S154" s="4">
        <f t="shared" si="147"/>
        <v>1.5404109586133847</v>
      </c>
      <c r="T154" s="4" t="str">
        <f t="shared" si="138"/>
        <v>1+0,00028787891953127i</v>
      </c>
      <c r="U154" s="4">
        <f t="shared" si="148"/>
        <v>1.0000000414371353</v>
      </c>
      <c r="V154" s="4">
        <f t="shared" si="149"/>
        <v>2.8787891157868508E-4</v>
      </c>
      <c r="W154" t="str">
        <f t="shared" si="139"/>
        <v>1-0,0024989489542645i</v>
      </c>
      <c r="X154" s="4">
        <f t="shared" si="150"/>
        <v>1.0000031223680634</v>
      </c>
      <c r="Y154" s="4">
        <f t="shared" si="151"/>
        <v>-2.4989437525169311E-3</v>
      </c>
      <c r="Z154" t="str">
        <f t="shared" si="140"/>
        <v>0,999999790077016+0,00214259883338638i</v>
      </c>
      <c r="AA154" s="4">
        <f t="shared" si="152"/>
        <v>1.0000020854397438</v>
      </c>
      <c r="AB154" s="4">
        <f t="shared" si="153"/>
        <v>2.1425960044767715E-3</v>
      </c>
      <c r="AC154" s="48" t="str">
        <f t="shared" si="154"/>
        <v>0,256662269313442-9,85737461129215i</v>
      </c>
      <c r="AD154" s="20">
        <f t="shared" si="155"/>
        <v>19.878168556611556</v>
      </c>
      <c r="AE154" s="44">
        <f t="shared" si="156"/>
        <v>-88.508493036121919</v>
      </c>
      <c r="AF154" t="str">
        <f t="shared" si="141"/>
        <v>-20791,6666666667</v>
      </c>
      <c r="AG154" t="str">
        <f t="shared" si="157"/>
        <v>1439,39459765635i</v>
      </c>
      <c r="AH154">
        <f t="shared" si="158"/>
        <v>1439.39459765635</v>
      </c>
      <c r="AI154">
        <f t="shared" si="159"/>
        <v>1.5707963267948966</v>
      </c>
      <c r="AJ154" t="str">
        <f t="shared" si="142"/>
        <v>0,961351961014684+1,68872509046778i</v>
      </c>
      <c r="AK154">
        <f t="shared" si="160"/>
        <v>1.9431906813594468</v>
      </c>
      <c r="AL154">
        <f t="shared" si="161"/>
        <v>1.0532738450919026</v>
      </c>
      <c r="AM154" t="str">
        <f t="shared" si="143"/>
        <v>1+2,32145560710016i</v>
      </c>
      <c r="AN154">
        <f t="shared" si="162"/>
        <v>2.5276780126702794</v>
      </c>
      <c r="AO154">
        <f t="shared" si="163"/>
        <v>1.1640534866038255</v>
      </c>
      <c r="AP154" t="str">
        <f t="shared" si="144"/>
        <v>1+1,63054620022511i</v>
      </c>
      <c r="AQ154">
        <f t="shared" si="164"/>
        <v>1.9127678664878665</v>
      </c>
      <c r="AR154">
        <f t="shared" si="165"/>
        <v>1.020661000901069</v>
      </c>
      <c r="AS154" s="42" t="str">
        <f t="shared" si="166"/>
        <v>-32,5266285030601+15,2873087805169i</v>
      </c>
      <c r="AT154">
        <f t="shared" si="167"/>
        <v>31.111560687278768</v>
      </c>
      <c r="AU154" s="44">
        <f t="shared" si="168"/>
        <v>154.82677357983493</v>
      </c>
      <c r="AV154" s="42" t="str">
        <f t="shared" si="145"/>
        <v>142,34437116334+324,550837360299i</v>
      </c>
      <c r="AW154" s="20">
        <f t="shared" si="169"/>
        <v>50.989729243890324</v>
      </c>
      <c r="AX154" s="44">
        <f t="shared" si="170"/>
        <v>66.318280543713058</v>
      </c>
    </row>
    <row r="155" spans="14:50" x14ac:dyDescent="0.3">
      <c r="N155" s="8">
        <v>37</v>
      </c>
      <c r="O155" s="35">
        <f t="shared" si="135"/>
        <v>234.42288153199232</v>
      </c>
      <c r="P155" s="34" t="str">
        <f t="shared" si="136"/>
        <v>324,571428571429</v>
      </c>
      <c r="Q155" s="4" t="str">
        <f t="shared" si="137"/>
        <v>1+33,6667978264802i</v>
      </c>
      <c r="R155" s="4">
        <f t="shared" si="146"/>
        <v>33.681645979510741</v>
      </c>
      <c r="S155" s="4">
        <f t="shared" si="147"/>
        <v>1.5411022028034354</v>
      </c>
      <c r="T155" s="4" t="str">
        <f t="shared" si="138"/>
        <v>1+0,000294584480981702i</v>
      </c>
      <c r="U155" s="4">
        <f t="shared" si="148"/>
        <v>1.0000000433900074</v>
      </c>
      <c r="V155" s="4">
        <f t="shared" si="149"/>
        <v>2.9458447246035374E-4</v>
      </c>
      <c r="W155" t="str">
        <f t="shared" si="139"/>
        <v>1-0,00255715695296616i</v>
      </c>
      <c r="X155" s="4">
        <f t="shared" si="150"/>
        <v>1.0000032695204961</v>
      </c>
      <c r="Y155" s="4">
        <f t="shared" si="151"/>
        <v>-2.5571513791942035E-3</v>
      </c>
      <c r="Z155" t="str">
        <f t="shared" si="140"/>
        <v>0,99999978018365+0,00219250637147319i</v>
      </c>
      <c r="AA155" s="4">
        <f t="shared" si="152"/>
        <v>1.0000021837233843</v>
      </c>
      <c r="AB155" s="4">
        <f t="shared" si="153"/>
        <v>2.1925033402422894E-3</v>
      </c>
      <c r="AC155" s="48" t="str">
        <f t="shared" si="154"/>
        <v>0,243189281602063-9,63338974125247i</v>
      </c>
      <c r="AD155" s="20">
        <f t="shared" si="155"/>
        <v>19.678349413079946</v>
      </c>
      <c r="AE155" s="44">
        <f t="shared" si="156"/>
        <v>-88.553908741537157</v>
      </c>
      <c r="AF155" t="str">
        <f t="shared" si="141"/>
        <v>-20791,6666666667</v>
      </c>
      <c r="AG155" t="str">
        <f t="shared" si="157"/>
        <v>1472,92240490851i</v>
      </c>
      <c r="AH155">
        <f t="shared" si="158"/>
        <v>1472.9224049085101</v>
      </c>
      <c r="AI155">
        <f t="shared" si="159"/>
        <v>1.5707963267948966</v>
      </c>
      <c r="AJ155" t="str">
        <f t="shared" si="142"/>
        <v>0,959530535052292+1,72806055096436i</v>
      </c>
      <c r="AK155">
        <f t="shared" si="160"/>
        <v>1.9765859747294032</v>
      </c>
      <c r="AL155">
        <f t="shared" si="161"/>
        <v>1.0639203234002355</v>
      </c>
      <c r="AM155" t="str">
        <f t="shared" si="143"/>
        <v>1+2,37552925463644i</v>
      </c>
      <c r="AN155">
        <f t="shared" si="162"/>
        <v>2.5774288039892701</v>
      </c>
      <c r="AO155">
        <f t="shared" si="163"/>
        <v>1.1723535655668529</v>
      </c>
      <c r="AP155" t="str">
        <f t="shared" si="144"/>
        <v>1+1,66852650028036i</v>
      </c>
      <c r="AQ155">
        <f t="shared" si="164"/>
        <v>1.9452456611281328</v>
      </c>
      <c r="AR155">
        <f t="shared" si="165"/>
        <v>1.0308687317668004</v>
      </c>
      <c r="AS155" s="42" t="str">
        <f t="shared" si="166"/>
        <v>-32,5240148664364+14,9750624182227i</v>
      </c>
      <c r="AT155">
        <f t="shared" si="167"/>
        <v>31.079097181794729</v>
      </c>
      <c r="AU155" s="44">
        <f t="shared" si="168"/>
        <v>155.2771946973086</v>
      </c>
      <c r="AV155" s="42" t="str">
        <f t="shared" si="145"/>
        <v>136,351120864138+316,958285830105i</v>
      </c>
      <c r="AW155" s="20">
        <f t="shared" si="169"/>
        <v>50.757446594874679</v>
      </c>
      <c r="AX155" s="44">
        <f t="shared" si="170"/>
        <v>66.723285955771544</v>
      </c>
    </row>
    <row r="156" spans="14:50" x14ac:dyDescent="0.3">
      <c r="N156" s="8">
        <v>38</v>
      </c>
      <c r="O156" s="35">
        <f t="shared" si="135"/>
        <v>239.88329190194912</v>
      </c>
      <c r="P156" s="34" t="str">
        <f t="shared" si="136"/>
        <v>324,571428571429</v>
      </c>
      <c r="Q156" s="4" t="str">
        <f t="shared" si="137"/>
        <v>1+34,4509982883703i</v>
      </c>
      <c r="R156" s="4">
        <f t="shared" si="146"/>
        <v>34.465508600125048</v>
      </c>
      <c r="S156" s="4">
        <f t="shared" si="147"/>
        <v>1.5417777397839898</v>
      </c>
      <c r="T156" s="4" t="str">
        <f t="shared" si="138"/>
        <v>1+0,00030144623502324i</v>
      </c>
      <c r="U156" s="4">
        <f t="shared" si="148"/>
        <v>1.0000000454349152</v>
      </c>
      <c r="V156" s="4">
        <f t="shared" si="149"/>
        <v>3.0144622589245088E-4</v>
      </c>
      <c r="W156" t="str">
        <f t="shared" si="139"/>
        <v>1-0,00261672079013229i</v>
      </c>
      <c r="X156" s="4">
        <f t="shared" si="150"/>
        <v>1.0000034236079862</v>
      </c>
      <c r="Y156" s="4">
        <f t="shared" si="151"/>
        <v>-2.6167148177291396E-3</v>
      </c>
      <c r="Z156" t="str">
        <f t="shared" si="140"/>
        <v>0,999999769824025+0,00224357640545942i</v>
      </c>
      <c r="AA156" s="4">
        <f t="shared" si="152"/>
        <v>1.0000022866389808</v>
      </c>
      <c r="AB156" s="4">
        <f t="shared" si="153"/>
        <v>2.2435731574373904E-3</v>
      </c>
      <c r="AC156" s="48" t="str">
        <f t="shared" si="154"/>
        <v>0,230321633939432-9,41447662003893i</v>
      </c>
      <c r="AD156" s="20">
        <f t="shared" si="155"/>
        <v>19.478522177334256</v>
      </c>
      <c r="AE156" s="44">
        <f t="shared" si="156"/>
        <v>-88.59855982854333</v>
      </c>
      <c r="AF156" t="str">
        <f t="shared" si="141"/>
        <v>-20791,6666666667</v>
      </c>
      <c r="AG156" t="str">
        <f t="shared" si="157"/>
        <v>1507,2311751162i</v>
      </c>
      <c r="AH156">
        <f t="shared" si="158"/>
        <v>1507.2311751161999</v>
      </c>
      <c r="AI156">
        <f t="shared" si="159"/>
        <v>1.5707963267948966</v>
      </c>
      <c r="AJ156" t="str">
        <f t="shared" si="142"/>
        <v>0,957623267928909+1,76831225203865i</v>
      </c>
      <c r="AK156">
        <f t="shared" si="160"/>
        <v>2.0109625913946898</v>
      </c>
      <c r="AL156">
        <f t="shared" si="161"/>
        <v>1.0744665042812425</v>
      </c>
      <c r="AM156" t="str">
        <f t="shared" si="143"/>
        <v>1+2,43086243922741i</v>
      </c>
      <c r="AN156">
        <f t="shared" si="162"/>
        <v>2.6285152079542233</v>
      </c>
      <c r="AO156">
        <f t="shared" si="163"/>
        <v>1.1805211441701349</v>
      </c>
      <c r="AP156" t="str">
        <f t="shared" si="144"/>
        <v>1+1,70739147517163i</v>
      </c>
      <c r="AQ156">
        <f t="shared" si="164"/>
        <v>1.9786828066895297</v>
      </c>
      <c r="AR156">
        <f t="shared" si="165"/>
        <v>1.040966261396798</v>
      </c>
      <c r="AS156" s="42" t="str">
        <f t="shared" si="166"/>
        <v>-32,521402216647+14,6706830209177i</v>
      </c>
      <c r="AT156">
        <f t="shared" si="167"/>
        <v>31.047842358892019</v>
      </c>
      <c r="AU156" s="44">
        <f t="shared" si="168"/>
        <v>155.7194566569618</v>
      </c>
      <c r="AV156" s="42" t="str">
        <f t="shared" si="145"/>
        <v>130,626419803892+309,550956503891i</v>
      </c>
      <c r="AW156" s="20">
        <f t="shared" si="169"/>
        <v>50.526364536226282</v>
      </c>
      <c r="AX156" s="44">
        <f t="shared" si="170"/>
        <v>67.120896828418537</v>
      </c>
    </row>
    <row r="157" spans="14:50" x14ac:dyDescent="0.3">
      <c r="N157" s="8">
        <v>39</v>
      </c>
      <c r="O157" s="35">
        <f t="shared" si="135"/>
        <v>245.4708915685033</v>
      </c>
      <c r="P157" s="34" t="str">
        <f t="shared" si="136"/>
        <v>324,571428571429</v>
      </c>
      <c r="Q157" s="4" t="str">
        <f t="shared" si="137"/>
        <v>1+35,2534651255655i</v>
      </c>
      <c r="R157" s="4">
        <f t="shared" si="146"/>
        <v>35.267645276647869</v>
      </c>
      <c r="S157" s="4">
        <f t="shared" si="147"/>
        <v>1.5424379252660334</v>
      </c>
      <c r="T157" s="4" t="str">
        <f t="shared" si="138"/>
        <v>1+0,000308467819848698i</v>
      </c>
      <c r="U157" s="4">
        <f t="shared" si="148"/>
        <v>1.0000000475761968</v>
      </c>
      <c r="V157" s="4">
        <f t="shared" si="149"/>
        <v>3.0846781006488115E-4</v>
      </c>
      <c r="W157" t="str">
        <f t="shared" si="139"/>
        <v>1-0,00267767204729773i</v>
      </c>
      <c r="X157" s="4">
        <f t="shared" si="150"/>
        <v>1.0000035849573705</v>
      </c>
      <c r="Y157" s="4">
        <f t="shared" si="151"/>
        <v>-2.6776656477536949E-3</v>
      </c>
      <c r="Z157" t="str">
        <f t="shared" si="140"/>
        <v>0,999999758976166+0,00229583601335307i</v>
      </c>
      <c r="AA157" s="4">
        <f t="shared" si="152"/>
        <v>1.0000023944048284</v>
      </c>
      <c r="AB157" s="4">
        <f t="shared" si="153"/>
        <v>2.2958325330352087E-3</v>
      </c>
      <c r="AC157" s="48" t="str">
        <f t="shared" si="154"/>
        <v>0,218032173406647-9,2005215759892i</v>
      </c>
      <c r="AD157" s="20">
        <f t="shared" si="155"/>
        <v>19.278687214885931</v>
      </c>
      <c r="AE157" s="44">
        <f t="shared" si="156"/>
        <v>-88.642469830201634</v>
      </c>
      <c r="AF157" t="str">
        <f t="shared" si="141"/>
        <v>-20791,6666666667</v>
      </c>
      <c r="AG157" t="str">
        <f t="shared" si="157"/>
        <v>1542,33909924349i</v>
      </c>
      <c r="AH157">
        <f t="shared" si="158"/>
        <v>1542.33909924349</v>
      </c>
      <c r="AI157">
        <f t="shared" si="159"/>
        <v>1.5707963267948966</v>
      </c>
      <c r="AJ157" t="str">
        <f t="shared" si="142"/>
        <v>0,955626114075257+1,80950153567535i</v>
      </c>
      <c r="AK157">
        <f t="shared" si="160"/>
        <v>2.0463423656646573</v>
      </c>
      <c r="AL157">
        <f t="shared" si="161"/>
        <v>1.084909993336157</v>
      </c>
      <c r="AM157" t="str">
        <f t="shared" si="143"/>
        <v>1+2,4874844992599i</v>
      </c>
      <c r="AN157">
        <f t="shared" si="162"/>
        <v>2.6809660822282466</v>
      </c>
      <c r="AO157">
        <f t="shared" si="163"/>
        <v>1.1885561930922344</v>
      </c>
      <c r="AP157" t="str">
        <f t="shared" si="144"/>
        <v>1+1,74716173162303i</v>
      </c>
      <c r="AQ157">
        <f t="shared" si="164"/>
        <v>2.0131006225342993</v>
      </c>
      <c r="AR157">
        <f t="shared" si="165"/>
        <v>1.050950706742058</v>
      </c>
      <c r="AS157" s="42" t="str">
        <f t="shared" si="166"/>
        <v>-32,5187892145006+14,3740114698532i</v>
      </c>
      <c r="AT157">
        <f t="shared" si="167"/>
        <v>31.017758854446448</v>
      </c>
      <c r="AU157" s="44">
        <f t="shared" si="168"/>
        <v>156.15352978120416</v>
      </c>
      <c r="AV157" s="42" t="str">
        <f t="shared" si="145"/>
        <v>125,15826037291+302,323818754402i</v>
      </c>
      <c r="AW157" s="20">
        <f t="shared" si="169"/>
        <v>50.296446069332383</v>
      </c>
      <c r="AX157" s="44">
        <f t="shared" si="170"/>
        <v>67.511059951002636</v>
      </c>
    </row>
    <row r="158" spans="14:50" x14ac:dyDescent="0.3">
      <c r="N158" s="8">
        <v>40</v>
      </c>
      <c r="O158" s="35">
        <f t="shared" si="135"/>
        <v>251.18864315095806</v>
      </c>
      <c r="P158" s="34" t="str">
        <f t="shared" si="136"/>
        <v>324,571428571429</v>
      </c>
      <c r="Q158" s="4" t="str">
        <f t="shared" si="137"/>
        <v>1+36,0746238166053i</v>
      </c>
      <c r="R158" s="4">
        <f t="shared" si="146"/>
        <v>36.088481313427231</v>
      </c>
      <c r="S158" s="4">
        <f t="shared" si="147"/>
        <v>1.5430831069854227</v>
      </c>
      <c r="T158" s="4" t="str">
        <f t="shared" si="138"/>
        <v>1+0,000315652958395296i</v>
      </c>
      <c r="U158" s="4">
        <f t="shared" si="148"/>
        <v>1.0000000498183939</v>
      </c>
      <c r="V158" s="4">
        <f t="shared" si="149"/>
        <v>3.1565294791174745E-4</v>
      </c>
      <c r="W158" t="str">
        <f t="shared" si="139"/>
        <v>1-0,00274004304162583i</v>
      </c>
      <c r="X158" s="4">
        <f t="shared" si="150"/>
        <v>1.000003753910889</v>
      </c>
      <c r="Y158" s="4">
        <f t="shared" si="151"/>
        <v>-2.7400361843922423E-3</v>
      </c>
      <c r="Z158" t="str">
        <f t="shared" si="140"/>
        <v>0,999999747617062+0,00234931290388999i</v>
      </c>
      <c r="AA158" s="4">
        <f t="shared" si="152"/>
        <v>1.0000025072495109</v>
      </c>
      <c r="AB158" s="4">
        <f t="shared" si="153"/>
        <v>2.3493091746627187E-3</v>
      </c>
      <c r="AC158" s="48" t="str">
        <f t="shared" si="154"/>
        <v>0,206294961103069-8,99141340659229i</v>
      </c>
      <c r="AD158" s="20">
        <f t="shared" si="155"/>
        <v>19.078844874939719</v>
      </c>
      <c r="AE158" s="44">
        <f t="shared" si="156"/>
        <v>-88.685661896050931</v>
      </c>
      <c r="AF158" t="str">
        <f t="shared" si="141"/>
        <v>-20791,6666666667</v>
      </c>
      <c r="AG158" t="str">
        <f t="shared" si="157"/>
        <v>1578,26479197648i</v>
      </c>
      <c r="AH158">
        <f t="shared" si="158"/>
        <v>1578.26479197648</v>
      </c>
      <c r="AI158">
        <f t="shared" si="159"/>
        <v>1.5707963267948966</v>
      </c>
      <c r="AJ158" t="str">
        <f t="shared" si="142"/>
        <v>0,953534837260247+1,85165024097785i</v>
      </c>
      <c r="AK158">
        <f t="shared" si="160"/>
        <v>2.082747536496504</v>
      </c>
      <c r="AL158">
        <f t="shared" si="161"/>
        <v>1.0952486153227348</v>
      </c>
      <c r="AM158" t="str">
        <f t="shared" si="143"/>
        <v>1+2,54542545649967i</v>
      </c>
      <c r="AN158">
        <f t="shared" si="162"/>
        <v>2.7348109175218225</v>
      </c>
      <c r="AO158">
        <f t="shared" si="163"/>
        <v>1.1964588215073286</v>
      </c>
      <c r="AP158" t="str">
        <f t="shared" si="144"/>
        <v>1+1,78785835635096i</v>
      </c>
      <c r="AQ158">
        <f t="shared" si="164"/>
        <v>2.048520808381979</v>
      </c>
      <c r="AR158">
        <f t="shared" si="165"/>
        <v>1.0608193983566163</v>
      </c>
      <c r="AS158" s="42" t="str">
        <f t="shared" si="166"/>
        <v>-32,516174330006+14,0848927214997i</v>
      </c>
      <c r="AT158">
        <f t="shared" si="167"/>
        <v>30.988809816630933</v>
      </c>
      <c r="AU158" s="44">
        <f t="shared" si="168"/>
        <v>156.57939200946731</v>
      </c>
      <c r="AV158" s="42" t="str">
        <f t="shared" si="145"/>
        <v>119,935170327877+295,272008198031i</v>
      </c>
      <c r="AW158" s="20">
        <f t="shared" si="169"/>
        <v>50.067654691570652</v>
      </c>
      <c r="AX158" s="44">
        <f t="shared" si="170"/>
        <v>67.893730113416453</v>
      </c>
    </row>
    <row r="159" spans="14:50" x14ac:dyDescent="0.3">
      <c r="N159" s="8">
        <v>41</v>
      </c>
      <c r="O159" s="35">
        <f t="shared" si="135"/>
        <v>257.03957827688663</v>
      </c>
      <c r="P159" s="34" t="str">
        <f t="shared" si="136"/>
        <v>324,571428571429</v>
      </c>
      <c r="Q159" s="4" t="str">
        <f t="shared" si="137"/>
        <v>1+36,9149097506965i</v>
      </c>
      <c r="R159" s="4">
        <f t="shared" si="146"/>
        <v>36.928451929400822</v>
      </c>
      <c r="S159" s="4">
        <f t="shared" si="147"/>
        <v>1.543713624876311</v>
      </c>
      <c r="T159" s="4" t="str">
        <f t="shared" si="138"/>
        <v>1+0,000323005460318594i</v>
      </c>
      <c r="U159" s="4">
        <f t="shared" si="148"/>
        <v>1.0000000521662624</v>
      </c>
      <c r="V159" s="4">
        <f t="shared" si="149"/>
        <v>3.2300544908526937E-4</v>
      </c>
      <c r="W159" t="str">
        <f t="shared" si="139"/>
        <v>1-0,00280386684304335i</v>
      </c>
      <c r="X159" s="4">
        <f t="shared" si="150"/>
        <v>1.0000039308269111</v>
      </c>
      <c r="Y159" s="4">
        <f t="shared" si="151"/>
        <v>-2.8038594953867396E-3</v>
      </c>
      <c r="Z159" t="str">
        <f t="shared" si="140"/>
        <v>0,999999735722621+0,00240403543122537i</v>
      </c>
      <c r="AA159" s="4">
        <f t="shared" si="152"/>
        <v>1.0000026254123868</v>
      </c>
      <c r="AB159" s="4">
        <f t="shared" si="153"/>
        <v>2.4040314352869194E-3</v>
      </c>
      <c r="AC159" s="48" t="str">
        <f t="shared" si="154"/>
        <v>0,195085218214443-8,78704333013951i</v>
      </c>
      <c r="AD159" s="20">
        <f t="shared" si="155"/>
        <v>18.878995491127792</v>
      </c>
      <c r="AE159" s="44">
        <f t="shared" si="156"/>
        <v>-88.728158803753942</v>
      </c>
      <c r="AF159" t="str">
        <f t="shared" si="141"/>
        <v>-20791,6666666667</v>
      </c>
      <c r="AG159" t="str">
        <f t="shared" si="157"/>
        <v>1615,02730159297i</v>
      </c>
      <c r="AH159">
        <f t="shared" si="158"/>
        <v>1615.0273015929699</v>
      </c>
      <c r="AI159">
        <f t="shared" si="159"/>
        <v>1.5707963267948966</v>
      </c>
      <c r="AJ159" t="str">
        <f t="shared" si="142"/>
        <v>0,951345001605374+1,8947807157476i</v>
      </c>
      <c r="AK159">
        <f t="shared" si="160"/>
        <v>2.1202007623922121</v>
      </c>
      <c r="AL159">
        <f t="shared" si="161"/>
        <v>1.1054804123261526</v>
      </c>
      <c r="AM159" t="str">
        <f t="shared" si="143"/>
        <v>1+2,60471603200914i</v>
      </c>
      <c r="AN159">
        <f t="shared" si="162"/>
        <v>2.7900798568151126</v>
      </c>
      <c r="AO159">
        <f t="shared" si="163"/>
        <v>1.2042292702086559</v>
      </c>
      <c r="AP159" t="str">
        <f t="shared" si="144"/>
        <v>1+1,82950292724452i</v>
      </c>
      <c r="AQ159">
        <f t="shared" si="164"/>
        <v>2.0849654579383965</v>
      </c>
      <c r="AR159">
        <f t="shared" si="165"/>
        <v>1.0705698790998328</v>
      </c>
      <c r="AS159" s="42" t="str">
        <f t="shared" si="166"/>
        <v>-32,5135558418843+13,8031757174006i</v>
      </c>
      <c r="AT159">
        <f t="shared" si="167"/>
        <v>30.960958944622504</v>
      </c>
      <c r="AU159" s="44">
        <f t="shared" si="168"/>
        <v>156.99702853465595</v>
      </c>
      <c r="AV159" s="42" t="str">
        <f t="shared" si="145"/>
        <v>114,946188985987+288,390819546429i</v>
      </c>
      <c r="AW159" s="20">
        <f t="shared" si="169"/>
        <v>49.839954435750286</v>
      </c>
      <c r="AX159" s="44">
        <f t="shared" si="170"/>
        <v>68.268869730902026</v>
      </c>
    </row>
    <row r="160" spans="14:50" x14ac:dyDescent="0.3">
      <c r="N160" s="8">
        <v>42</v>
      </c>
      <c r="O160" s="35">
        <f t="shared" si="135"/>
        <v>263.02679918953817</v>
      </c>
      <c r="P160" s="34" t="str">
        <f t="shared" si="136"/>
        <v>324,571428571429</v>
      </c>
      <c r="Q160" s="4" t="str">
        <f t="shared" si="137"/>
        <v>1+37,7747684585641i</v>
      </c>
      <c r="R160" s="4">
        <f t="shared" si="146"/>
        <v>37.788002488860521</v>
      </c>
      <c r="S160" s="4">
        <f t="shared" si="147"/>
        <v>1.5443298112411692</v>
      </c>
      <c r="T160" s="4" t="str">
        <f t="shared" si="138"/>
        <v>1+0,000330529224012436i</v>
      </c>
      <c r="U160" s="4">
        <f t="shared" si="148"/>
        <v>1.0000000546247825</v>
      </c>
      <c r="V160" s="4">
        <f t="shared" si="149"/>
        <v>3.3052921197571186E-4</v>
      </c>
      <c r="W160" t="str">
        <f t="shared" si="139"/>
        <v>1-0,00286917729177462i</v>
      </c>
      <c r="X160" s="4">
        <f t="shared" si="150"/>
        <v>1.0000041160806947</v>
      </c>
      <c r="Y160" s="4">
        <f t="shared" si="151"/>
        <v>-2.8691694186204642E-3</v>
      </c>
      <c r="Z160" t="str">
        <f t="shared" si="140"/>
        <v>0,999999723267612+0,00246003260996756i</v>
      </c>
      <c r="AA160" s="4">
        <f t="shared" si="152"/>
        <v>1.0000027491440924</v>
      </c>
      <c r="AB160" s="4">
        <f t="shared" si="153"/>
        <v>2.4600283282430013E-3</v>
      </c>
      <c r="AC160" s="48" t="str">
        <f t="shared" si="154"/>
        <v>0,184379274446257-8,58730493795431i</v>
      </c>
      <c r="AD160" s="20">
        <f t="shared" si="155"/>
        <v>18.679139382210142</v>
      </c>
      <c r="AE160" s="44">
        <f t="shared" si="156"/>
        <v>-88.769982970587989</v>
      </c>
      <c r="AF160" t="str">
        <f t="shared" si="141"/>
        <v>-20791,6666666667</v>
      </c>
      <c r="AG160" t="str">
        <f t="shared" si="157"/>
        <v>1652,64612006218i</v>
      </c>
      <c r="AH160">
        <f t="shared" si="158"/>
        <v>1652.64612006218</v>
      </c>
      <c r="AI160">
        <f t="shared" si="159"/>
        <v>1.5707963267948966</v>
      </c>
      <c r="AJ160" t="str">
        <f t="shared" si="142"/>
        <v>0,949051962175617+1,93891582833323i</v>
      </c>
      <c r="AK160">
        <f t="shared" si="160"/>
        <v>2.1587251368042493</v>
      </c>
      <c r="AL160">
        <f t="shared" si="161"/>
        <v>1.1156036412416879</v>
      </c>
      <c r="AM160" t="str">
        <f t="shared" si="143"/>
        <v>1+2,66538766243628i</v>
      </c>
      <c r="AN160">
        <f t="shared" si="162"/>
        <v>2.8468037148822778</v>
      </c>
      <c r="AO160">
        <f t="shared" si="163"/>
        <v>1.2118679047388063</v>
      </c>
      <c r="AP160" t="str">
        <f t="shared" si="144"/>
        <v>1+1,87211752480644i</v>
      </c>
      <c r="AQ160">
        <f t="shared" si="164"/>
        <v>2.1224570729904979</v>
      </c>
      <c r="AR160">
        <f t="shared" si="165"/>
        <v>1.0801999020999238</v>
      </c>
      <c r="AS160" s="42" t="str">
        <f t="shared" si="166"/>
        <v>-32,5109318372618+13,5287132965634i</v>
      </c>
      <c r="AT160">
        <f t="shared" si="167"/>
        <v>30.934170523318528</v>
      </c>
      <c r="AU160" s="44">
        <f t="shared" si="168"/>
        <v>157.4064314370905</v>
      </c>
      <c r="AV160" s="42" t="str">
        <f t="shared" si="145"/>
        <v>110,180844472021+281,675699845426i</v>
      </c>
      <c r="AW160" s="20">
        <f t="shared" si="169"/>
        <v>49.613309905528666</v>
      </c>
      <c r="AX160" s="44">
        <f t="shared" si="170"/>
        <v>68.636448466502515</v>
      </c>
    </row>
    <row r="161" spans="14:50" x14ac:dyDescent="0.3">
      <c r="N161" s="8">
        <v>43</v>
      </c>
      <c r="O161" s="35">
        <f t="shared" si="135"/>
        <v>269.15348039269179</v>
      </c>
      <c r="P161" s="34" t="str">
        <f t="shared" si="136"/>
        <v>324,571428571429</v>
      </c>
      <c r="Q161" s="4" t="str">
        <f t="shared" si="137"/>
        <v>1+38,6546558486768i</v>
      </c>
      <c r="R161" s="4">
        <f t="shared" si="146"/>
        <v>38.667588737593192</v>
      </c>
      <c r="S161" s="4">
        <f t="shared" si="147"/>
        <v>1.5449319909174355</v>
      </c>
      <c r="T161" s="4" t="str">
        <f t="shared" si="138"/>
        <v>1+0,000338228238675922i</v>
      </c>
      <c r="U161" s="4">
        <f t="shared" si="148"/>
        <v>1.0000000571991692</v>
      </c>
      <c r="V161" s="4">
        <f t="shared" si="149"/>
        <v>3.382282257783397E-4</v>
      </c>
      <c r="W161" t="str">
        <f t="shared" si="139"/>
        <v>1-0,00293600901628405i</v>
      </c>
      <c r="X161" s="4">
        <f t="shared" si="150"/>
        <v>1.0000043100651836</v>
      </c>
      <c r="Y161" s="4">
        <f t="shared" si="151"/>
        <v>-2.9360005800493426E-3</v>
      </c>
      <c r="Z161" t="str">
        <f t="shared" si="140"/>
        <v>0,999999710225616+0,00251733413056194i</v>
      </c>
      <c r="AA161" s="4">
        <f t="shared" si="152"/>
        <v>1.0000028787070769</v>
      </c>
      <c r="AB161" s="4">
        <f t="shared" si="153"/>
        <v>2.517329542612128E-3</v>
      </c>
      <c r="AC161" s="48" t="str">
        <f t="shared" si="154"/>
        <v>0,174154518721429-8,39209414722478i</v>
      </c>
      <c r="AD161" s="20">
        <f t="shared" si="155"/>
        <v>18.479276852745073</v>
      </c>
      <c r="AE161" s="44">
        <f t="shared" si="156"/>
        <v>-88.811156464783451</v>
      </c>
      <c r="AF161" t="str">
        <f t="shared" si="141"/>
        <v>-20791,6666666667</v>
      </c>
      <c r="AG161" t="str">
        <f t="shared" si="157"/>
        <v>1691,14119337961i</v>
      </c>
      <c r="AH161">
        <f t="shared" si="158"/>
        <v>1691.1411933796101</v>
      </c>
      <c r="AI161">
        <f t="shared" si="159"/>
        <v>1.5707963267948966</v>
      </c>
      <c r="AJ161" t="str">
        <f t="shared" si="142"/>
        <v>0,946650855126911+1,98407897975563i</v>
      </c>
      <c r="AK161">
        <f t="shared" si="160"/>
        <v>2.19834420403645</v>
      </c>
      <c r="AL161">
        <f t="shared" si="161"/>
        <v>1.1256167706225209</v>
      </c>
      <c r="AM161" t="str">
        <f t="shared" si="143"/>
        <v>1+2,72747251668263i</v>
      </c>
      <c r="AN161">
        <f t="shared" si="162"/>
        <v>2.9050139981175791</v>
      </c>
      <c r="AO161">
        <f t="shared" si="163"/>
        <v>1.2193752085578859</v>
      </c>
      <c r="AP161" t="str">
        <f t="shared" si="144"/>
        <v>1+1,91572474386042i</v>
      </c>
      <c r="AQ161">
        <f t="shared" si="164"/>
        <v>2.1610185779486191</v>
      </c>
      <c r="AR161">
        <f t="shared" si="165"/>
        <v>1.0897074280301979</v>
      </c>
      <c r="AS161" s="42" t="str">
        <f t="shared" si="166"/>
        <v>-32,5083002114824+13,2613621103523i</v>
      </c>
      <c r="AT161">
        <f t="shared" si="167"/>
        <v>30.90840945418617</v>
      </c>
      <c r="AU161" s="44">
        <f t="shared" si="168"/>
        <v>157.80759931762191</v>
      </c>
      <c r="AV161" s="42" t="str">
        <f t="shared" si="145"/>
        <v>105,629131972734+275,122242076927i</v>
      </c>
      <c r="AW161" s="20">
        <f t="shared" si="169"/>
        <v>49.387686306931258</v>
      </c>
      <c r="AX161" s="44">
        <f t="shared" si="170"/>
        <v>68.996442852838427</v>
      </c>
    </row>
    <row r="162" spans="14:50" x14ac:dyDescent="0.3">
      <c r="N162" s="8">
        <v>44</v>
      </c>
      <c r="O162" s="35">
        <f t="shared" si="135"/>
        <v>275.42287033381683</v>
      </c>
      <c r="P162" s="34" t="str">
        <f t="shared" si="136"/>
        <v>324,571428571429</v>
      </c>
      <c r="Q162" s="4" t="str">
        <f t="shared" si="137"/>
        <v>1+39,5550384489753i</v>
      </c>
      <c r="R162" s="4">
        <f t="shared" si="146"/>
        <v>39.567677044526057</v>
      </c>
      <c r="S162" s="4">
        <f t="shared" si="147"/>
        <v>1.5455204814408434</v>
      </c>
      <c r="T162" s="4" t="str">
        <f t="shared" si="138"/>
        <v>1+0,000346106586428534i</v>
      </c>
      <c r="U162" s="4">
        <f t="shared" si="148"/>
        <v>1.0000000598948828</v>
      </c>
      <c r="V162" s="4">
        <f t="shared" si="149"/>
        <v>3.4610657260852559E-4</v>
      </c>
      <c r="W162" t="str">
        <f t="shared" si="139"/>
        <v>1-0,00300439745163658i</v>
      </c>
      <c r="X162" s="4">
        <f t="shared" si="150"/>
        <v>1.0000045131918391</v>
      </c>
      <c r="Y162" s="4">
        <f t="shared" si="151"/>
        <v>-3.0043884120504309E-3</v>
      </c>
      <c r="Z162" t="str">
        <f t="shared" si="140"/>
        <v>0,99999969656897+0,0025759703750332i</v>
      </c>
      <c r="AA162" s="4">
        <f t="shared" si="152"/>
        <v>1.0000030143761596</v>
      </c>
      <c r="AB162" s="4">
        <f t="shared" si="153"/>
        <v>2.5759654589572033E-3</v>
      </c>
      <c r="AC162" s="48" t="str">
        <f t="shared" si="154"/>
        <v>0,164389352045271-8,20130915445533i</v>
      </c>
      <c r="AD162" s="20">
        <f t="shared" si="155"/>
        <v>18.279408193729555</v>
      </c>
      <c r="AE162" s="44">
        <f t="shared" si="156"/>
        <v>-88.85170101671342</v>
      </c>
      <c r="AF162" t="str">
        <f t="shared" si="141"/>
        <v>-20791,6666666667</v>
      </c>
      <c r="AG162" t="str">
        <f t="shared" si="157"/>
        <v>1730,53293214267i</v>
      </c>
      <c r="AH162">
        <f t="shared" si="158"/>
        <v>1730.53293214267</v>
      </c>
      <c r="AI162">
        <f t="shared" si="159"/>
        <v>1.5707963267948966</v>
      </c>
      <c r="AJ162" t="str">
        <f t="shared" si="142"/>
        <v>0,944136587389285+2,03029411611549i</v>
      </c>
      <c r="AK162">
        <f t="shared" si="160"/>
        <v>2.2390819756275708</v>
      </c>
      <c r="AL162">
        <f t="shared" si="161"/>
        <v>1.1355184769473805</v>
      </c>
      <c r="AM162" t="str">
        <f t="shared" si="143"/>
        <v>1+2,7910035129597i</v>
      </c>
      <c r="AN162">
        <f t="shared" si="162"/>
        <v>2.9647429246653725</v>
      </c>
      <c r="AO162">
        <f t="shared" si="163"/>
        <v>1.2267517762778133</v>
      </c>
      <c r="AP162" t="str">
        <f t="shared" si="144"/>
        <v>1+1,96034770553122i</v>
      </c>
      <c r="AQ162">
        <f t="shared" si="164"/>
        <v>2.2006733348185774</v>
      </c>
      <c r="AR162">
        <f t="shared" si="165"/>
        <v>1.0990906217514846</v>
      </c>
      <c r="AS162" s="42" t="str">
        <f t="shared" si="166"/>
        <v>-32,5056586679765+13,0009825398492i</v>
      </c>
      <c r="AT162">
        <f t="shared" si="167"/>
        <v>30.883641282381447</v>
      </c>
      <c r="AU162" s="44">
        <f t="shared" si="168"/>
        <v>158.20053693145698</v>
      </c>
      <c r="AV162" s="42" t="str">
        <f t="shared" si="145"/>
        <v>101,281492954746+268,726179100954i</v>
      </c>
      <c r="AW162" s="20">
        <f t="shared" si="169"/>
        <v>49.16304947611102</v>
      </c>
      <c r="AX162" s="44">
        <f t="shared" si="170"/>
        <v>69.348835914743546</v>
      </c>
    </row>
    <row r="163" spans="14:50" x14ac:dyDescent="0.3">
      <c r="N163" s="8">
        <v>45</v>
      </c>
      <c r="O163" s="35">
        <f t="shared" si="135"/>
        <v>281.83829312644554</v>
      </c>
      <c r="P163" s="34" t="str">
        <f t="shared" si="136"/>
        <v>324,571428571429</v>
      </c>
      <c r="Q163" s="4" t="str">
        <f t="shared" si="137"/>
        <v>1+40,4763936542322i</v>
      </c>
      <c r="R163" s="4">
        <f t="shared" si="146"/>
        <v>40.488744649005461</v>
      </c>
      <c r="S163" s="4">
        <f t="shared" si="147"/>
        <v>1.5460955932054705</v>
      </c>
      <c r="T163" s="4" t="str">
        <f t="shared" si="138"/>
        <v>1+0,000354168444474532i</v>
      </c>
      <c r="U163" s="4">
        <f t="shared" si="148"/>
        <v>1.0000000627176415</v>
      </c>
      <c r="V163" s="4">
        <f t="shared" si="149"/>
        <v>3.5416842966612633E-4</v>
      </c>
      <c r="W163" t="str">
        <f t="shared" si="139"/>
        <v>1-0,00307437885828587i</v>
      </c>
      <c r="X163" s="4">
        <f t="shared" si="150"/>
        <v>1.0000047258915152</v>
      </c>
      <c r="Y163" s="4">
        <f t="shared" si="151"/>
        <v>-3.0743691721972725E-3</v>
      </c>
      <c r="Z163" t="str">
        <f t="shared" si="140"/>
        <v>0,999999682268706+0,0026359724330943i</v>
      </c>
      <c r="AA163" s="4">
        <f t="shared" si="152"/>
        <v>1.000003156439109</v>
      </c>
      <c r="AB163" s="4">
        <f t="shared" si="153"/>
        <v>2.6359671654248595E-3</v>
      </c>
      <c r="AC163" s="48" t="str">
        <f t="shared" si="154"/>
        <v>0,15506314244477-8,01485038955403i</v>
      </c>
      <c r="AD163" s="20">
        <f t="shared" si="155"/>
        <v>18.079533683211352</v>
      </c>
      <c r="AE163" s="44">
        <f t="shared" si="156"/>
        <v>-88.891638029938164</v>
      </c>
      <c r="AF163" t="str">
        <f t="shared" si="141"/>
        <v>-20791,6666666667</v>
      </c>
      <c r="AG163" t="str">
        <f t="shared" si="157"/>
        <v>1770,84222237266i</v>
      </c>
      <c r="AH163">
        <f t="shared" si="158"/>
        <v>1770.84222237266</v>
      </c>
      <c r="AI163">
        <f t="shared" si="159"/>
        <v>1.5707963267948966</v>
      </c>
      <c r="AJ163" t="str">
        <f t="shared" si="142"/>
        <v>0,941503825863774+2,07758574128983i</v>
      </c>
      <c r="AK163">
        <f t="shared" si="160"/>
        <v>2.280962947206056</v>
      </c>
      <c r="AL163">
        <f t="shared" si="161"/>
        <v>1.1453076403633942</v>
      </c>
      <c r="AM163" t="str">
        <f t="shared" si="143"/>
        <v>1+2,85601433624262i</v>
      </c>
      <c r="AN163">
        <f t="shared" si="162"/>
        <v>3.0260234448568593</v>
      </c>
      <c r="AO163">
        <f t="shared" si="163"/>
        <v>1.2339983069880653</v>
      </c>
      <c r="AP163" t="str">
        <f t="shared" si="144"/>
        <v>1+2,00601006950375i</v>
      </c>
      <c r="AQ163">
        <f t="shared" si="164"/>
        <v>2.2414451585864064</v>
      </c>
      <c r="AR163">
        <f t="shared" si="165"/>
        <v>1.1083478483754543</v>
      </c>
      <c r="AS163" s="42" t="str">
        <f t="shared" si="166"/>
        <v>-32,5030047181268+12,7474386156373i</v>
      </c>
      <c r="AT163">
        <f t="shared" si="167"/>
        <v>30.859832220283536</v>
      </c>
      <c r="AU163" s="44">
        <f t="shared" si="168"/>
        <v>158.58525482411463</v>
      </c>
      <c r="AV163" s="42" t="str">
        <f t="shared" si="145"/>
        <v>97,1287953038668+262,483377916618i</v>
      </c>
      <c r="AW163" s="20">
        <f t="shared" si="169"/>
        <v>48.939365903494902</v>
      </c>
      <c r="AX163" s="44">
        <f t="shared" si="170"/>
        <v>69.693616794176521</v>
      </c>
    </row>
    <row r="164" spans="14:50" x14ac:dyDescent="0.3">
      <c r="N164" s="8">
        <v>46</v>
      </c>
      <c r="O164" s="35">
        <f t="shared" si="135"/>
        <v>288.40315031266073</v>
      </c>
      <c r="P164" s="34" t="str">
        <f t="shared" si="136"/>
        <v>324,571428571429</v>
      </c>
      <c r="Q164" s="4" t="str">
        <f t="shared" si="137"/>
        <v>1+41,419209979173i</v>
      </c>
      <c r="R164" s="4">
        <f t="shared" si="146"/>
        <v>41.431279913838331</v>
      </c>
      <c r="S164" s="4">
        <f t="shared" si="147"/>
        <v>1.5466576296205539</v>
      </c>
      <c r="T164" s="4" t="str">
        <f t="shared" si="138"/>
        <v>1+0,000362418087317764i</v>
      </c>
      <c r="U164" s="4">
        <f t="shared" si="148"/>
        <v>1.0000000656734329</v>
      </c>
      <c r="V164" s="4">
        <f t="shared" si="149"/>
        <v>3.6241807145027147E-4</v>
      </c>
      <c r="W164" t="str">
        <f t="shared" si="139"/>
        <v>1-0,00314599034130003i</v>
      </c>
      <c r="X164" s="4">
        <f t="shared" si="150"/>
        <v>1.0000049486153695</v>
      </c>
      <c r="Y164" s="4">
        <f t="shared" si="151"/>
        <v>-3.1459799624718792E-3</v>
      </c>
      <c r="Z164" t="str">
        <f t="shared" si="140"/>
        <v>0,999999667294492+0,00269737211863065i</v>
      </c>
      <c r="AA164" s="4">
        <f t="shared" si="152"/>
        <v>1.0000033051972583</v>
      </c>
      <c r="AB164" s="4">
        <f t="shared" si="153"/>
        <v>2.6973664742221543E-3</v>
      </c>
      <c r="AC164" s="48" t="str">
        <f t="shared" si="154"/>
        <v>0,14615618189291-7,83262047056914i</v>
      </c>
      <c r="AD164" s="20">
        <f t="shared" si="155"/>
        <v>17.879653586874181</v>
      </c>
      <c r="AE164" s="44">
        <f t="shared" si="156"/>
        <v>-88.930988592107795</v>
      </c>
      <c r="AF164" t="str">
        <f t="shared" si="141"/>
        <v>-20791,6666666667</v>
      </c>
      <c r="AG164" t="str">
        <f t="shared" si="157"/>
        <v>1812,09043658882i</v>
      </c>
      <c r="AH164">
        <f t="shared" si="158"/>
        <v>1812.09043658882</v>
      </c>
      <c r="AI164">
        <f t="shared" si="159"/>
        <v>1.5707963267948966</v>
      </c>
      <c r="AJ164" t="str">
        <f t="shared" si="142"/>
        <v>0,938746986110201+2,12597892992429i</v>
      </c>
      <c r="AK164">
        <f t="shared" si="160"/>
        <v>2.3240121158059859</v>
      </c>
      <c r="AL164">
        <f t="shared" si="161"/>
        <v>1.1549833399595912</v>
      </c>
      <c r="AM164" t="str">
        <f t="shared" si="143"/>
        <v>1+2,92253945613045i</v>
      </c>
      <c r="AN164">
        <f t="shared" si="162"/>
        <v>3.0888892619579718</v>
      </c>
      <c r="AO164">
        <f t="shared" si="163"/>
        <v>1.2411155976954484</v>
      </c>
      <c r="AP164" t="str">
        <f t="shared" si="144"/>
        <v>1+2,05273604656782i</v>
      </c>
      <c r="AQ164">
        <f t="shared" si="164"/>
        <v>2.2833583329996374</v>
      </c>
      <c r="AR164">
        <f t="shared" si="165"/>
        <v>1.1174776688042216</v>
      </c>
      <c r="AS164" s="42" t="str">
        <f t="shared" si="166"/>
        <v>-32,5003356810764+12,5005979399647i</v>
      </c>
      <c r="AT164">
        <f t="shared" si="167"/>
        <v>30.836949167599329</v>
      </c>
      <c r="AU164" s="44">
        <f t="shared" si="168"/>
        <v>158.96176897079749</v>
      </c>
      <c r="AV164" s="42" t="str">
        <f t="shared" si="145"/>
        <v>93,1623143455379+256,389834222251i</v>
      </c>
      <c r="AW164" s="20">
        <f t="shared" si="169"/>
        <v>48.716602754473499</v>
      </c>
      <c r="AX164" s="44">
        <f t="shared" si="170"/>
        <v>70.030780378689684</v>
      </c>
    </row>
    <row r="165" spans="14:50" x14ac:dyDescent="0.3">
      <c r="N165" s="8">
        <v>47</v>
      </c>
      <c r="O165" s="35">
        <f t="shared" si="135"/>
        <v>295.12092266663871</v>
      </c>
      <c r="P165" s="34" t="str">
        <f t="shared" si="136"/>
        <v>324,571428571429</v>
      </c>
      <c r="Q165" s="4" t="str">
        <f t="shared" si="137"/>
        <v>1+42,3839873174928i</v>
      </c>
      <c r="R165" s="4">
        <f t="shared" si="146"/>
        <v>42.395782584231078</v>
      </c>
      <c r="S165" s="4">
        <f t="shared" si="147"/>
        <v>1.5472068872641151</v>
      </c>
      <c r="T165" s="4" t="str">
        <f t="shared" si="138"/>
        <v>1+0,000370859889028062i</v>
      </c>
      <c r="U165" s="4">
        <f t="shared" si="148"/>
        <v>1.0000000687685262</v>
      </c>
      <c r="V165" s="4">
        <f t="shared" si="149"/>
        <v>3.708598720257375E-4</v>
      </c>
      <c r="W165" t="str">
        <f t="shared" si="139"/>
        <v>1-0,00321926987003526i</v>
      </c>
      <c r="X165" s="4">
        <f t="shared" si="150"/>
        <v>1.0000051818358222</v>
      </c>
      <c r="Y165" s="4">
        <f t="shared" si="151"/>
        <v>-3.2192587489236432E-3</v>
      </c>
      <c r="Z165" t="str">
        <f t="shared" si="140"/>
        <v>0,999999651614564+0,00276020198656823i</v>
      </c>
      <c r="AA165" s="4">
        <f t="shared" si="152"/>
        <v>1.0000034609661388</v>
      </c>
      <c r="AB165" s="4">
        <f t="shared" si="153"/>
        <v>2.7601959384766892E-3</v>
      </c>
      <c r="AC165" s="48" t="str">
        <f t="shared" si="154"/>
        <v>0,137649645132507-7,65452415908623i</v>
      </c>
      <c r="AD165" s="20">
        <f t="shared" si="155"/>
        <v>17.679768158597184</v>
      </c>
      <c r="AE165" s="44">
        <f t="shared" si="156"/>
        <v>-88.969773485727075</v>
      </c>
      <c r="AF165" t="str">
        <f t="shared" si="141"/>
        <v>-20791,6666666667</v>
      </c>
      <c r="AG165" t="str">
        <f t="shared" si="157"/>
        <v>1854,29944514031i</v>
      </c>
      <c r="AH165">
        <f t="shared" si="158"/>
        <v>1854.2994451403099</v>
      </c>
      <c r="AI165">
        <f t="shared" si="159"/>
        <v>1.5707963267948966</v>
      </c>
      <c r="AJ165" t="str">
        <f t="shared" si="142"/>
        <v>0,935860220501833+2,17549934072807i</v>
      </c>
      <c r="AK165">
        <f t="shared" si="160"/>
        <v>2.3682549976356024</v>
      </c>
      <c r="AL165">
        <f t="shared" si="161"/>
        <v>1.1645448486260279</v>
      </c>
      <c r="AM165" t="str">
        <f t="shared" si="143"/>
        <v>1+2,99061414512229i</v>
      </c>
      <c r="AN165">
        <f t="shared" si="162"/>
        <v>3.1533748532335202</v>
      </c>
      <c r="AO165">
        <f t="shared" si="163"/>
        <v>1.2481045368977113</v>
      </c>
      <c r="AP165" t="str">
        <f t="shared" si="144"/>
        <v>1+2,10055041145494i</v>
      </c>
      <c r="AQ165">
        <f t="shared" si="164"/>
        <v>2.3264376267296569</v>
      </c>
      <c r="AR165">
        <f t="shared" si="165"/>
        <v>1.1264788348015553</v>
      </c>
      <c r="AS165" s="42" t="str">
        <f t="shared" si="166"/>
        <v>-32,4976486834147+12,2603316112347i</v>
      </c>
      <c r="AT165">
        <f t="shared" si="167"/>
        <v>30.814959728195909</v>
      </c>
      <c r="AU165" s="44">
        <f t="shared" si="168"/>
        <v>159.3301004203401</v>
      </c>
      <c r="AV165" s="42" t="str">
        <f t="shared" si="145"/>
        <v>89,3737147076917+250,441667256188i</v>
      </c>
      <c r="AW165" s="20">
        <f t="shared" si="169"/>
        <v>48.4947278867931</v>
      </c>
      <c r="AX165" s="44">
        <f t="shared" si="170"/>
        <v>70.360326934613028</v>
      </c>
    </row>
    <row r="166" spans="14:50" x14ac:dyDescent="0.3">
      <c r="N166" s="8">
        <v>48</v>
      </c>
      <c r="O166" s="35">
        <f t="shared" si="135"/>
        <v>301.99517204020168</v>
      </c>
      <c r="P166" s="34" t="str">
        <f t="shared" si="136"/>
        <v>324,571428571429</v>
      </c>
      <c r="Q166" s="4" t="str">
        <f t="shared" si="137"/>
        <v>1+43,3712372069067i</v>
      </c>
      <c r="R166" s="4">
        <f t="shared" si="146"/>
        <v>43.382764052763712</v>
      </c>
      <c r="S166" s="4">
        <f t="shared" si="147"/>
        <v>1.5477436560334501</v>
      </c>
      <c r="T166" s="4" t="str">
        <f t="shared" si="138"/>
        <v>1+0,000379498325560434i</v>
      </c>
      <c r="U166" s="4">
        <f t="shared" si="148"/>
        <v>1.000000072009487</v>
      </c>
      <c r="V166" s="4">
        <f t="shared" si="149"/>
        <v>3.7949830734211511E-4</v>
      </c>
      <c r="W166" t="str">
        <f t="shared" si="139"/>
        <v>1-0,00329425629826766i</v>
      </c>
      <c r="X166" s="4">
        <f t="shared" si="150"/>
        <v>1.0000054260475584</v>
      </c>
      <c r="Y166" s="4">
        <f t="shared" si="151"/>
        <v>-3.294244381785359E-3</v>
      </c>
      <c r="Z166" t="str">
        <f t="shared" si="140"/>
        <v>0,999999635195664+0,00282449535013469i</v>
      </c>
      <c r="AA166" s="4">
        <f t="shared" si="152"/>
        <v>1.0000036240761552</v>
      </c>
      <c r="AB166" s="4">
        <f t="shared" si="153"/>
        <v>2.8244888694891096E-3</v>
      </c>
      <c r="AC166" s="48" t="str">
        <f t="shared" si="154"/>
        <v>0,129525550317452-7,48046831629499i</v>
      </c>
      <c r="AD166" s="20">
        <f t="shared" si="155"/>
        <v>17.479877640989546</v>
      </c>
      <c r="AE166" s="44">
        <f t="shared" si="156"/>
        <v>-89.008013198785804</v>
      </c>
      <c r="AF166" t="str">
        <f t="shared" si="141"/>
        <v>-20791,6666666667</v>
      </c>
      <c r="AG166" t="str">
        <f t="shared" si="157"/>
        <v>1897,49162780217i</v>
      </c>
      <c r="AH166">
        <f t="shared" si="158"/>
        <v>1897.4916278021699</v>
      </c>
      <c r="AI166">
        <f t="shared" si="159"/>
        <v>1.5707963267948966</v>
      </c>
      <c r="AJ166" t="str">
        <f t="shared" si="142"/>
        <v>0,93283740582178+2,22617323007843i</v>
      </c>
      <c r="AK166">
        <f t="shared" si="160"/>
        <v>2.4137176462913259</v>
      </c>
      <c r="AL166">
        <f t="shared" si="161"/>
        <v>1.1739916275525166</v>
      </c>
      <c r="AM166" t="str">
        <f t="shared" si="143"/>
        <v>1+3,06027449731934i</v>
      </c>
      <c r="AN166">
        <f t="shared" si="162"/>
        <v>3.219515491334549</v>
      </c>
      <c r="AO166">
        <f t="shared" si="163"/>
        <v>1.2549660983083402</v>
      </c>
      <c r="AP166" t="str">
        <f t="shared" si="144"/>
        <v>1+2,1494785159743i</v>
      </c>
      <c r="AQ166">
        <f t="shared" si="164"/>
        <v>2.3707083099012998</v>
      </c>
      <c r="AR166">
        <f t="shared" si="165"/>
        <v>1.1353502836506315</v>
      </c>
      <c r="AS166" s="42" t="str">
        <f t="shared" si="166"/>
        <v>-32,4949406586978+12,026514150772i</v>
      </c>
      <c r="AT166">
        <f t="shared" si="167"/>
        <v>30.793832223827629</v>
      </c>
      <c r="AU166" s="44">
        <f t="shared" si="168"/>
        <v>159.69027494477609</v>
      </c>
      <c r="AV166" s="42" t="str">
        <f t="shared" si="145"/>
        <v>85,7550329889725+244,635114901054i</v>
      </c>
      <c r="AW166" s="20">
        <f t="shared" si="169"/>
        <v>48.273709864817171</v>
      </c>
      <c r="AX166" s="44">
        <f t="shared" si="170"/>
        <v>70.682261745990289</v>
      </c>
    </row>
    <row r="167" spans="14:50" x14ac:dyDescent="0.3">
      <c r="N167" s="8">
        <v>49</v>
      </c>
      <c r="O167" s="35">
        <f t="shared" si="135"/>
        <v>309.02954325135937</v>
      </c>
      <c r="P167" s="34" t="str">
        <f t="shared" si="136"/>
        <v>324,571428571429</v>
      </c>
      <c r="Q167" s="4" t="str">
        <f t="shared" si="137"/>
        <v>1+44,3814831003739i</v>
      </c>
      <c r="R167" s="4">
        <f t="shared" si="146"/>
        <v>44.392747630539539</v>
      </c>
      <c r="S167" s="4">
        <f t="shared" si="147"/>
        <v>1.5482682192925226</v>
      </c>
      <c r="T167" s="4" t="str">
        <f t="shared" si="138"/>
        <v>1+0,000388337977128272i</v>
      </c>
      <c r="U167" s="4">
        <f t="shared" si="148"/>
        <v>1.0000000754031895</v>
      </c>
      <c r="V167" s="4">
        <f t="shared" si="149"/>
        <v>3.8833795760699169E-4</v>
      </c>
      <c r="W167" t="str">
        <f t="shared" si="139"/>
        <v>1-0,00337098938479403i</v>
      </c>
      <c r="X167" s="4">
        <f t="shared" si="150"/>
        <v>1.000005681768575</v>
      </c>
      <c r="Y167" s="4">
        <f t="shared" si="151"/>
        <v>-3.3709766160571124E-3</v>
      </c>
      <c r="Z167" t="str">
        <f t="shared" si="140"/>
        <v>0,999999618002966+0,0028902862985224i</v>
      </c>
      <c r="AA167" s="4">
        <f t="shared" si="152"/>
        <v>1.0000037948732821</v>
      </c>
      <c r="AB167" s="4">
        <f t="shared" si="153"/>
        <v>2.8902793543869676E-3</v>
      </c>
      <c r="AC167" s="48" t="str">
        <f t="shared" si="154"/>
        <v>0,121766721392735-7,31036185973341i</v>
      </c>
      <c r="AD167" s="20">
        <f t="shared" si="155"/>
        <v>17.279982265901431</v>
      </c>
      <c r="AE167" s="44">
        <f t="shared" si="156"/>
        <v>-89.045727935258881</v>
      </c>
      <c r="AF167" t="str">
        <f t="shared" si="141"/>
        <v>-20791,6666666667</v>
      </c>
      <c r="AG167" t="str">
        <f t="shared" si="157"/>
        <v>1941,68988564136i</v>
      </c>
      <c r="AH167">
        <f t="shared" si="158"/>
        <v>1941.68988564136</v>
      </c>
      <c r="AI167">
        <f t="shared" si="159"/>
        <v>1.5707963267948966</v>
      </c>
      <c r="AJ167" t="str">
        <f t="shared" si="142"/>
        <v>0,929672130274829+2,27802746594227i</v>
      </c>
      <c r="AK167">
        <f t="shared" si="160"/>
        <v>2.4604266714123182</v>
      </c>
      <c r="AL167">
        <f t="shared" si="161"/>
        <v>1.1833233204196139</v>
      </c>
      <c r="AM167" t="str">
        <f t="shared" si="143"/>
        <v>1+3,13155744756238i</v>
      </c>
      <c r="AN167">
        <f t="shared" si="162"/>
        <v>3.2873472660160821</v>
      </c>
      <c r="AO167">
        <f t="shared" si="163"/>
        <v>1.2617013347473116</v>
      </c>
      <c r="AP167" t="str">
        <f t="shared" si="144"/>
        <v>1+2,19954630245453i</v>
      </c>
      <c r="AQ167">
        <f t="shared" si="164"/>
        <v>2.4161961709764785</v>
      </c>
      <c r="AR167">
        <f t="shared" si="165"/>
        <v>1.1440911324521252</v>
      </c>
      <c r="AS167" s="42" t="str">
        <f t="shared" si="166"/>
        <v>-32,4922083467406+11,7990234318066i</v>
      </c>
      <c r="AT167">
        <f t="shared" si="167"/>
        <v>30.773535704921649</v>
      </c>
      <c r="AU167" s="44">
        <f t="shared" si="168"/>
        <v>160.04232269544272</v>
      </c>
      <c r="AV167" s="42" t="str">
        <f t="shared" si="145"/>
        <v>82,2986611967875+238,966529035451i</v>
      </c>
      <c r="AW167" s="20">
        <f t="shared" si="169"/>
        <v>48.05351797082308</v>
      </c>
      <c r="AX167" s="44">
        <f t="shared" si="170"/>
        <v>70.996594760183839</v>
      </c>
    </row>
    <row r="168" spans="14:50" x14ac:dyDescent="0.3">
      <c r="N168" s="8">
        <v>50</v>
      </c>
      <c r="O168" s="35">
        <f t="shared" si="135"/>
        <v>316.22776601683825</v>
      </c>
      <c r="P168" s="34" t="str">
        <f t="shared" si="136"/>
        <v>324,571428571429</v>
      </c>
      <c r="Q168" s="4" t="str">
        <f t="shared" si="137"/>
        <v>1+45,4152606436393i</v>
      </c>
      <c r="R168" s="4">
        <f t="shared" si="146"/>
        <v>45.426268824653576</v>
      </c>
      <c r="S168" s="4">
        <f t="shared" si="147"/>
        <v>1.5487808540163159</v>
      </c>
      <c r="T168" s="4" t="str">
        <f t="shared" si="138"/>
        <v>1+0,000397383530631844i</v>
      </c>
      <c r="U168" s="4">
        <f t="shared" si="148"/>
        <v>1.000000078956832</v>
      </c>
      <c r="V168" s="4">
        <f t="shared" si="149"/>
        <v>3.9738350971441533E-4</v>
      </c>
      <c r="W168" t="str">
        <f t="shared" si="139"/>
        <v>1-0,00344950981451253i</v>
      </c>
      <c r="X168" s="4">
        <f t="shared" si="150"/>
        <v>1.0000059495412816</v>
      </c>
      <c r="Y168" s="4">
        <f t="shared" si="151"/>
        <v>-3.4494961325688155E-3</v>
      </c>
      <c r="Z168" t="str">
        <f t="shared" si="140"/>
        <v>0,9999996+0,00295760971496304i</v>
      </c>
      <c r="AA168" s="4">
        <f t="shared" si="152"/>
        <v>1.0000039737197977</v>
      </c>
      <c r="AB168" s="4">
        <f t="shared" si="153"/>
        <v>2.9576022741894599E-3</v>
      </c>
      <c r="AC168" s="48" t="str">
        <f t="shared" si="154"/>
        <v>0,114356752137853-7,14411572071572i</v>
      </c>
      <c r="AD168" s="20">
        <f t="shared" si="155"/>
        <v>17.080082254912931</v>
      </c>
      <c r="AE168" s="44">
        <f t="shared" si="156"/>
        <v>-89.082937625479687</v>
      </c>
      <c r="AF168" t="str">
        <f t="shared" si="141"/>
        <v>-20791,6666666667</v>
      </c>
      <c r="AG168" t="str">
        <f t="shared" si="157"/>
        <v>1986,91765315922i</v>
      </c>
      <c r="AH168">
        <f t="shared" si="158"/>
        <v>1986.91765315922</v>
      </c>
      <c r="AI168">
        <f t="shared" si="159"/>
        <v>1.5707963267948966</v>
      </c>
      <c r="AJ168" t="str">
        <f t="shared" si="142"/>
        <v>0,926357679887169+2,33108954212181i</v>
      </c>
      <c r="AK168">
        <f t="shared" si="160"/>
        <v>2.5084092577718669</v>
      </c>
      <c r="AL168">
        <f t="shared" si="161"/>
        <v>1.1925397473326158</v>
      </c>
      <c r="AM168" t="str">
        <f t="shared" si="143"/>
        <v>1+3,20450079101519i</v>
      </c>
      <c r="AN168">
        <f t="shared" si="162"/>
        <v>3.3569071061941793</v>
      </c>
      <c r="AO168">
        <f t="shared" si="163"/>
        <v>1.2683113722103512</v>
      </c>
      <c r="AP168" t="str">
        <f t="shared" si="144"/>
        <v>1+2,25078031749876i</v>
      </c>
      <c r="AQ168">
        <f t="shared" si="164"/>
        <v>2.4629275339806118</v>
      </c>
      <c r="AR168">
        <f t="shared" si="165"/>
        <v>1.1527006721151452</v>
      </c>
      <c r="AS168" s="42" t="str">
        <f t="shared" si="166"/>
        <v>-32,4894482926426+11,5777406106193i</v>
      </c>
      <c r="AT168">
        <f t="shared" si="167"/>
        <v>30.754039958592749</v>
      </c>
      <c r="AU168" s="44">
        <f t="shared" si="168"/>
        <v>160.38627786643372</v>
      </c>
      <c r="AV168" s="42" t="str">
        <f t="shared" si="145"/>
        <v>78,9973309211968+233,432371118173i</v>
      </c>
      <c r="AW168" s="20">
        <f t="shared" si="169"/>
        <v>47.834122213505665</v>
      </c>
      <c r="AX168" s="44">
        <f t="shared" si="170"/>
        <v>71.303340240954</v>
      </c>
    </row>
    <row r="169" spans="14:50" x14ac:dyDescent="0.3">
      <c r="N169" s="8">
        <v>51</v>
      </c>
      <c r="O169" s="35">
        <f t="shared" si="135"/>
        <v>323.59365692962825</v>
      </c>
      <c r="P169" s="34" t="str">
        <f t="shared" si="136"/>
        <v>324,571428571429</v>
      </c>
      <c r="Q169" s="4" t="str">
        <f t="shared" si="137"/>
        <v>1+46,47311795924i</v>
      </c>
      <c r="R169" s="4">
        <f t="shared" si="146"/>
        <v>46.483875622127677</v>
      </c>
      <c r="S169" s="4">
        <f t="shared" si="147"/>
        <v>1.5492818309321883</v>
      </c>
      <c r="T169" s="4" t="str">
        <f t="shared" si="138"/>
        <v>1+0,00040663978214335i</v>
      </c>
      <c r="U169" s="4">
        <f t="shared" si="148"/>
        <v>1.0000000826779529</v>
      </c>
      <c r="V169" s="4">
        <f t="shared" si="149"/>
        <v>4.0663975972992148E-4</v>
      </c>
      <c r="W169" t="str">
        <f t="shared" si="139"/>
        <v>1-0,00352985921999436i</v>
      </c>
      <c r="X169" s="4">
        <f t="shared" si="150"/>
        <v>1.0000062299336503</v>
      </c>
      <c r="Y169" s="4">
        <f t="shared" si="151"/>
        <v>-3.5298445595324697E-3</v>
      </c>
      <c r="Z169" t="str">
        <f t="shared" si="140"/>
        <v>0,999999581148581+0,00302650129522316i</v>
      </c>
      <c r="AA169" s="4">
        <f t="shared" si="152"/>
        <v>1.0000041609950567</v>
      </c>
      <c r="AB169" s="4">
        <f t="shared" si="153"/>
        <v>3.0264933222924092E-3</v>
      </c>
      <c r="AC169" s="48" t="str">
        <f t="shared" si="154"/>
        <v>0,107279971801329-6,98164280244752i</v>
      </c>
      <c r="AD169" s="20">
        <f t="shared" si="155"/>
        <v>16.880177819800842</v>
      </c>
      <c r="AE169" s="44">
        <f t="shared" si="156"/>
        <v>-89.119661936390713</v>
      </c>
      <c r="AF169" t="str">
        <f t="shared" si="141"/>
        <v>-20791,6666666667</v>
      </c>
      <c r="AG169" t="str">
        <f t="shared" si="157"/>
        <v>2033,19891071675i</v>
      </c>
      <c r="AH169">
        <f t="shared" si="158"/>
        <v>2033.1989107167501</v>
      </c>
      <c r="AI169">
        <f t="shared" si="159"/>
        <v>1.5707963267948966</v>
      </c>
      <c r="AJ169" t="str">
        <f t="shared" si="142"/>
        <v>0,922887024265152+2,3853875928322i</v>
      </c>
      <c r="AK169">
        <f t="shared" si="160"/>
        <v>2.557693184804382</v>
      </c>
      <c r="AL169">
        <f t="shared" si="161"/>
        <v>1.2016408985473399</v>
      </c>
      <c r="AM169" t="str">
        <f t="shared" si="143"/>
        <v>1+3,27914320320397i</v>
      </c>
      <c r="AN169">
        <f t="shared" si="162"/>
        <v>3.4282328023514967</v>
      </c>
      <c r="AO169">
        <f t="shared" si="163"/>
        <v>1.2747974041270111</v>
      </c>
      <c r="AP169" t="str">
        <f t="shared" si="144"/>
        <v>1+2,30320772605993i</v>
      </c>
      <c r="AQ169">
        <f t="shared" si="164"/>
        <v>2.5109292760613853</v>
      </c>
      <c r="AR169">
        <f t="shared" si="165"/>
        <v>1.1611783610915827</v>
      </c>
      <c r="AS169" s="42" t="str">
        <f t="shared" si="166"/>
        <v>-32,4866568454933+11,3625500597823i</v>
      </c>
      <c r="AT169">
        <f t="shared" si="167"/>
        <v>30.735315514052836</v>
      </c>
      <c r="AU169" s="44">
        <f t="shared" si="168"/>
        <v>160.72217836610608</v>
      </c>
      <c r="AV169" s="42" t="str">
        <f t="shared" si="145"/>
        <v>75,8440982120248+228,029207990925i</v>
      </c>
      <c r="AW169" s="20">
        <f t="shared" si="169"/>
        <v>47.615493333853664</v>
      </c>
      <c r="AX169" s="44">
        <f t="shared" si="170"/>
        <v>71.602516429715337</v>
      </c>
    </row>
    <row r="170" spans="14:50" x14ac:dyDescent="0.3">
      <c r="N170" s="8">
        <v>52</v>
      </c>
      <c r="O170" s="35">
        <f t="shared" si="135"/>
        <v>331.13112148259137</v>
      </c>
      <c r="P170" s="34" t="str">
        <f t="shared" si="136"/>
        <v>324,571428571429</v>
      </c>
      <c r="Q170" s="4" t="str">
        <f t="shared" si="137"/>
        <v>1+47,5556159371273i</v>
      </c>
      <c r="R170" s="4">
        <f t="shared" si="146"/>
        <v>47.566128780462634</v>
      </c>
      <c r="S170" s="4">
        <f t="shared" si="147"/>
        <v>1.5497714146582819</v>
      </c>
      <c r="T170" s="4" t="str">
        <f t="shared" si="138"/>
        <v>1+0,000416111639449864i</v>
      </c>
      <c r="U170" s="4">
        <f t="shared" si="148"/>
        <v>1.0000000865744445</v>
      </c>
      <c r="V170" s="4">
        <f t="shared" si="149"/>
        <v>4.1611161543344275E-4</v>
      </c>
      <c r="W170" t="str">
        <f t="shared" si="139"/>
        <v>1-0,00361208020355785i</v>
      </c>
      <c r="X170" s="4">
        <f t="shared" si="150"/>
        <v>1.0000065235404203</v>
      </c>
      <c r="Y170" s="4">
        <f t="shared" si="151"/>
        <v>-3.6120644945954452E-3</v>
      </c>
      <c r="Z170" t="str">
        <f t="shared" si="140"/>
        <v>0,999999561408722+0,0030969975665305i</v>
      </c>
      <c r="AA170" s="4">
        <f t="shared" si="152"/>
        <v>1.0000043570962895</v>
      </c>
      <c r="AB170" s="4">
        <f t="shared" si="153"/>
        <v>3.0969890233832854E-3</v>
      </c>
      <c r="AC170" s="48" t="str">
        <f t="shared" si="154"/>
        <v>0,100521412257139-6,82285793883188i</v>
      </c>
      <c r="AD170" s="20">
        <f t="shared" si="155"/>
        <v>16.680269162985283</v>
      </c>
      <c r="AE170" s="44">
        <f t="shared" si="156"/>
        <v>-89.155920281675478</v>
      </c>
      <c r="AF170" t="str">
        <f t="shared" si="141"/>
        <v>-20791,6666666667</v>
      </c>
      <c r="AG170" t="str">
        <f t="shared" si="157"/>
        <v>2080,55819724932i</v>
      </c>
      <c r="AH170">
        <f t="shared" si="158"/>
        <v>2080.5581972493201</v>
      </c>
      <c r="AI170">
        <f t="shared" si="159"/>
        <v>1.5707963267948966</v>
      </c>
      <c r="AJ170" t="str">
        <f t="shared" si="142"/>
        <v>0,919252801682883+2,44095040761865i</v>
      </c>
      <c r="AK170">
        <f t="shared" si="160"/>
        <v>2.6083068465683792</v>
      </c>
      <c r="AL170">
        <f t="shared" si="161"/>
        <v>1.2106269280340227</v>
      </c>
      <c r="AM170" t="str">
        <f t="shared" si="143"/>
        <v>1+3,3555242605237i</v>
      </c>
      <c r="AN170">
        <f t="shared" si="162"/>
        <v>3.5013630293020355</v>
      </c>
      <c r="AO170">
        <f t="shared" si="163"/>
        <v>1.2811606858159019</v>
      </c>
      <c r="AP170" t="str">
        <f t="shared" si="144"/>
        <v>1+2,35685632584403i</v>
      </c>
      <c r="AQ170">
        <f t="shared" si="164"/>
        <v>2.5602288453712529</v>
      </c>
      <c r="AR170">
        <f t="shared" si="165"/>
        <v>1.1695238189024169</v>
      </c>
      <c r="AS170" s="42" t="str">
        <f t="shared" si="166"/>
        <v>-32,4838301567204+11,1533393034412i</v>
      </c>
      <c r="AT170">
        <f t="shared" si="167"/>
        <v>30.717333645584276</v>
      </c>
      <c r="AU170" s="44">
        <f t="shared" si="168"/>
        <v>161.05006549723069</v>
      </c>
      <c r="AV170" s="42" t="str">
        <f t="shared" si="145"/>
        <v>72,8323291280948+222,753707886611i</v>
      </c>
      <c r="AW170" s="20">
        <f t="shared" si="169"/>
        <v>47.397602808569552</v>
      </c>
      <c r="AX170" s="44">
        <f t="shared" si="170"/>
        <v>71.894145215555213</v>
      </c>
    </row>
    <row r="171" spans="14:50" x14ac:dyDescent="0.3">
      <c r="N171" s="8">
        <v>53</v>
      </c>
      <c r="O171" s="35">
        <f t="shared" si="135"/>
        <v>338.84415613920277</v>
      </c>
      <c r="P171" s="34" t="str">
        <f t="shared" si="136"/>
        <v>324,571428571429</v>
      </c>
      <c r="Q171" s="4" t="str">
        <f t="shared" si="137"/>
        <v>1+48,6633285320571i</v>
      </c>
      <c r="R171" s="4">
        <f t="shared" si="146"/>
        <v>48.673602124960119</v>
      </c>
      <c r="S171" s="4">
        <f t="shared" si="147"/>
        <v>1.5502498638390356</v>
      </c>
      <c r="T171" s="4" t="str">
        <f t="shared" si="138"/>
        <v>1+0,0004258041246555i</v>
      </c>
      <c r="U171" s="4">
        <f t="shared" si="148"/>
        <v>1.0000000906545721</v>
      </c>
      <c r="V171" s="4">
        <f t="shared" si="149"/>
        <v>4.2580409892144114E-4</v>
      </c>
      <c r="W171" t="str">
        <f t="shared" si="139"/>
        <v>1-0,00369621635985677i</v>
      </c>
      <c r="X171" s="4">
        <f t="shared" si="150"/>
        <v>1.0000068309843582</v>
      </c>
      <c r="Y171" s="4">
        <f t="shared" si="151"/>
        <v>-3.6961995274064981E-3</v>
      </c>
      <c r="Z171" t="str">
        <f t="shared" si="140"/>
        <v>0,999999540738551+0,00316913590694119i</v>
      </c>
      <c r="AA171" s="4">
        <f t="shared" si="152"/>
        <v>1.0000045624394469</v>
      </c>
      <c r="AB171" s="4">
        <f t="shared" si="153"/>
        <v>3.1691267527962749E-3</v>
      </c>
      <c r="AC171" s="48" t="str">
        <f t="shared" si="154"/>
        <v>0,0940667766167115-6,66767785396795i</v>
      </c>
      <c r="AD171" s="20">
        <f t="shared" si="155"/>
        <v>16.480356477956924</v>
      </c>
      <c r="AE171" s="44">
        <f t="shared" si="156"/>
        <v>-89.191731831775584</v>
      </c>
      <c r="AF171" t="str">
        <f t="shared" si="141"/>
        <v>-20791,6666666667</v>
      </c>
      <c r="AG171" t="str">
        <f t="shared" si="157"/>
        <v>2129,0206232775i</v>
      </c>
      <c r="AH171">
        <f t="shared" si="158"/>
        <v>2129.0206232774999</v>
      </c>
      <c r="AI171">
        <f t="shared" si="159"/>
        <v>1.5707963267948966</v>
      </c>
      <c r="AJ171" t="str">
        <f t="shared" si="142"/>
        <v>0,91544730346702+2,49780744662101i</v>
      </c>
      <c r="AK171">
        <f t="shared" si="160"/>
        <v>2.6602792721480215</v>
      </c>
      <c r="AL171">
        <f t="shared" si="161"/>
        <v>1.2194981469231194</v>
      </c>
      <c r="AM171" t="str">
        <f t="shared" si="143"/>
        <v>1+3,43368446122195i</v>
      </c>
      <c r="AN171">
        <f t="shared" si="162"/>
        <v>3.5763373693259246</v>
      </c>
      <c r="AO171">
        <f t="shared" si="163"/>
        <v>1.2874025291434879</v>
      </c>
      <c r="AP171" t="str">
        <f t="shared" si="144"/>
        <v>1+2,41175456204875i</v>
      </c>
      <c r="AQ171">
        <f t="shared" si="164"/>
        <v>2.6108542792662632</v>
      </c>
      <c r="AR171">
        <f t="shared" si="165"/>
        <v>1.1777368195020845</v>
      </c>
      <c r="AS171" s="42" t="str">
        <f t="shared" si="166"/>
        <v>-32,4809641780372+10,9499989545659i</v>
      </c>
      <c r="AT171">
        <f t="shared" si="167"/>
        <v>30.700066373239924</v>
      </c>
      <c r="AU171" s="44">
        <f t="shared" si="168"/>
        <v>161.3699836463006</v>
      </c>
      <c r="AV171" s="42" t="str">
        <f t="shared" si="145"/>
        <v>69,9556859287004+217,602636631037i</v>
      </c>
      <c r="AW171" s="20">
        <f t="shared" si="169"/>
        <v>47.180422851196838</v>
      </c>
      <c r="AX171" s="44">
        <f t="shared" si="170"/>
        <v>72.178251814524998</v>
      </c>
    </row>
    <row r="172" spans="14:50" x14ac:dyDescent="0.3">
      <c r="N172" s="8">
        <v>54</v>
      </c>
      <c r="O172" s="35">
        <f t="shared" si="135"/>
        <v>346.73685045253183</v>
      </c>
      <c r="P172" s="34" t="str">
        <f t="shared" si="136"/>
        <v>324,571428571429</v>
      </c>
      <c r="Q172" s="4" t="str">
        <f t="shared" si="137"/>
        <v>1+49,7968430679102i</v>
      </c>
      <c r="R172" s="4">
        <f t="shared" si="146"/>
        <v>49.80688285297601</v>
      </c>
      <c r="S172" s="4">
        <f t="shared" si="147"/>
        <v>1.5507174312778471</v>
      </c>
      <c r="T172" s="4" t="str">
        <f t="shared" si="138"/>
        <v>1+0,000435722376844214i</v>
      </c>
      <c r="U172" s="4">
        <f t="shared" si="148"/>
        <v>1.0000000949269903</v>
      </c>
      <c r="V172" s="4">
        <f t="shared" si="149"/>
        <v>4.3572234926967328E-4</v>
      </c>
      <c r="W172" t="str">
        <f t="shared" si="139"/>
        <v>1-0,00378231229899491i</v>
      </c>
      <c r="X172" s="4">
        <f t="shared" si="150"/>
        <v>1.0000071529175814</v>
      </c>
      <c r="Y172" s="4">
        <f t="shared" si="151"/>
        <v>-3.7822942627064571E-3</v>
      </c>
      <c r="Z172" t="str">
        <f t="shared" si="140"/>
        <v>0,999999519094226+0,00324295456515824i</v>
      </c>
      <c r="AA172" s="4">
        <f t="shared" si="152"/>
        <v>1.0000047774600855</v>
      </c>
      <c r="AB172" s="4">
        <f t="shared" si="153"/>
        <v>3.2429447563177634E-3</v>
      </c>
      <c r="AC172" s="48" t="str">
        <f t="shared" si="154"/>
        <v>0,087902409232964-6,51602112234173i</v>
      </c>
      <c r="AD172" s="20">
        <f t="shared" si="155"/>
        <v>16.280439949684617</v>
      </c>
      <c r="AE172" s="44">
        <f t="shared" si="156"/>
        <v>-89.227115523796968</v>
      </c>
      <c r="AF172" t="str">
        <f t="shared" si="141"/>
        <v>-20791,6666666667</v>
      </c>
      <c r="AG172" t="str">
        <f t="shared" si="157"/>
        <v>2178,61188422107i</v>
      </c>
      <c r="AH172">
        <f t="shared" si="158"/>
        <v>2178.6118842210699</v>
      </c>
      <c r="AI172">
        <f t="shared" si="159"/>
        <v>1.5707963267948966</v>
      </c>
      <c r="AJ172" t="str">
        <f t="shared" si="142"/>
        <v>0,911462457645633+2,55598885619396i</v>
      </c>
      <c r="AK172">
        <f t="shared" si="160"/>
        <v>2.7136401464978963</v>
      </c>
      <c r="AL172">
        <f t="shared" si="161"/>
        <v>1.2282550168740858</v>
      </c>
      <c r="AM172" t="str">
        <f t="shared" si="143"/>
        <v>1+3,51366524687174i</v>
      </c>
      <c r="AN172">
        <f t="shared" si="162"/>
        <v>3.653196335686633</v>
      </c>
      <c r="AO172">
        <f t="shared" si="163"/>
        <v>1.2935242973912029</v>
      </c>
      <c r="AP172" t="str">
        <f t="shared" si="144"/>
        <v>1+2,46793154244563i</v>
      </c>
      <c r="AQ172">
        <f t="shared" si="164"/>
        <v>2.6628342228156194</v>
      </c>
      <c r="AR172">
        <f t="shared" si="165"/>
        <v>1.1858172845245034</v>
      </c>
      <c r="AS172" s="42" t="str">
        <f t="shared" si="166"/>
        <v>-32,4780546589571+10,7524226541121i</v>
      </c>
      <c r="AT172">
        <f t="shared" si="167"/>
        <v>30.683486461433329</v>
      </c>
      <c r="AU172" s="44">
        <f t="shared" si="168"/>
        <v>161.68197998240419</v>
      </c>
      <c r="AV172" s="42" t="str">
        <f t="shared" si="145"/>
        <v>67,208113878818+212,572854026721i</v>
      </c>
      <c r="AW172" s="20">
        <f t="shared" si="169"/>
        <v>46.963926411117932</v>
      </c>
      <c r="AX172" s="44">
        <f t="shared" si="170"/>
        <v>72.454864458607204</v>
      </c>
    </row>
    <row r="173" spans="14:50" x14ac:dyDescent="0.3">
      <c r="N173" s="8">
        <v>55</v>
      </c>
      <c r="O173" s="35">
        <f t="shared" si="135"/>
        <v>354.81338923357566</v>
      </c>
      <c r="P173" s="34" t="str">
        <f t="shared" si="136"/>
        <v>324,571428571429</v>
      </c>
      <c r="Q173" s="4" t="str">
        <f t="shared" si="137"/>
        <v>1+50,9567605490969i</v>
      </c>
      <c r="R173" s="4">
        <f t="shared" si="146"/>
        <v>50.966571845259494</v>
      </c>
      <c r="S173" s="4">
        <f t="shared" si="147"/>
        <v>1.5511743640669386</v>
      </c>
      <c r="T173" s="4" t="str">
        <f t="shared" si="138"/>
        <v>1+0,000445871654804598i</v>
      </c>
      <c r="U173" s="4">
        <f t="shared" si="148"/>
        <v>1.0000000994007614</v>
      </c>
      <c r="V173" s="4">
        <f t="shared" si="149"/>
        <v>4.4587162525794544E-4</v>
      </c>
      <c r="W173" t="str">
        <f t="shared" si="139"/>
        <v>1-0,0038704136701788i</v>
      </c>
      <c r="X173" s="4">
        <f t="shared" si="150"/>
        <v>1.000007490022939</v>
      </c>
      <c r="Y173" s="4">
        <f t="shared" si="151"/>
        <v>-3.8703943439553461E-3</v>
      </c>
      <c r="Z173" t="str">
        <f t="shared" si="140"/>
        <v>0,999999496429835+0,0033184926808113i</v>
      </c>
      <c r="AA173" s="4">
        <f t="shared" si="152"/>
        <v>1.000005002614285</v>
      </c>
      <c r="AB173" s="4">
        <f t="shared" si="153"/>
        <v>3.3184821704521999E-3</v>
      </c>
      <c r="AC173" s="48" t="str">
        <f t="shared" si="154"/>
        <v>0,0820152670355713-6,36780812970997i</v>
      </c>
      <c r="AD173" s="20">
        <f t="shared" si="155"/>
        <v>16.080519755006321</v>
      </c>
      <c r="AE173" s="44">
        <f t="shared" si="156"/>
        <v>-89.262090071309359</v>
      </c>
      <c r="AF173" t="str">
        <f t="shared" si="141"/>
        <v>-20791,6666666667</v>
      </c>
      <c r="AG173" t="str">
        <f t="shared" si="157"/>
        <v>2229,35827402299i</v>
      </c>
      <c r="AH173">
        <f t="shared" si="158"/>
        <v>2229.3582740229899</v>
      </c>
      <c r="AI173">
        <f t="shared" si="159"/>
        <v>1.5707963267948966</v>
      </c>
      <c r="AJ173" t="str">
        <f t="shared" si="142"/>
        <v>0,907289811826476+2,61552548489098i</v>
      </c>
      <c r="AK173">
        <f t="shared" si="160"/>
        <v>2.76841983173765</v>
      </c>
      <c r="AL173">
        <f t="shared" si="161"/>
        <v>1.2368981434053208</v>
      </c>
      <c r="AM173" t="str">
        <f t="shared" si="143"/>
        <v>1+3,59550902434428i</v>
      </c>
      <c r="AN173">
        <f t="shared" si="162"/>
        <v>3.7319813965427473</v>
      </c>
      <c r="AO173">
        <f t="shared" si="163"/>
        <v>1.2995274003339743</v>
      </c>
      <c r="AP173" t="str">
        <f t="shared" si="144"/>
        <v>1+2,52541705281324i</v>
      </c>
      <c r="AQ173">
        <f t="shared" si="164"/>
        <v>2.716197947617204</v>
      </c>
      <c r="AR173">
        <f t="shared" si="165"/>
        <v>1.1937652764514846</v>
      </c>
      <c r="AS173" s="42" t="str">
        <f t="shared" si="166"/>
        <v>-32,4750971438338+10,5605070120263i</v>
      </c>
      <c r="AT173">
        <f t="shared" si="167"/>
        <v>30.667567415574759</v>
      </c>
      <c r="AU173" s="44">
        <f t="shared" si="168"/>
        <v>161.9861041659903</v>
      </c>
      <c r="AV173" s="42" t="str">
        <f t="shared" si="145"/>
        <v>64,5838286407826+207,661310408248i</v>
      </c>
      <c r="AW173" s="20">
        <f t="shared" si="169"/>
        <v>46.748087170581066</v>
      </c>
      <c r="AX173" s="44">
        <f t="shared" si="170"/>
        <v>72.724014094680896</v>
      </c>
    </row>
    <row r="174" spans="14:50" x14ac:dyDescent="0.3">
      <c r="N174" s="8">
        <v>56</v>
      </c>
      <c r="O174" s="35">
        <f t="shared" si="135"/>
        <v>363.07805477010152</v>
      </c>
      <c r="P174" s="34" t="str">
        <f t="shared" si="136"/>
        <v>324,571428571429</v>
      </c>
      <c r="Q174" s="4" t="str">
        <f t="shared" si="137"/>
        <v>1+52,1436959792194i</v>
      </c>
      <c r="R174" s="4">
        <f t="shared" si="146"/>
        <v>52.153283984551358</v>
      </c>
      <c r="S174" s="4">
        <f t="shared" si="147"/>
        <v>1.5516209037144704</v>
      </c>
      <c r="T174" s="4" t="str">
        <f t="shared" si="138"/>
        <v>1+0,00045625733981817i</v>
      </c>
      <c r="U174" s="4">
        <f t="shared" si="148"/>
        <v>1.0000001040853748</v>
      </c>
      <c r="V174" s="4">
        <f t="shared" si="149"/>
        <v>4.5625730815836152E-4</v>
      </c>
      <c r="W174" t="str">
        <f t="shared" si="139"/>
        <v>1-0,00396056718592161i</v>
      </c>
      <c r="X174" s="4">
        <f t="shared" si="150"/>
        <v>1.0000078430154606</v>
      </c>
      <c r="Y174" s="4">
        <f t="shared" si="151"/>
        <v>-3.9605464775088533E-3</v>
      </c>
      <c r="Z174" t="str">
        <f t="shared" si="140"/>
        <v>0,999999472697305+0,00339579030520919i</v>
      </c>
      <c r="AA174" s="4">
        <f t="shared" si="152"/>
        <v>1.0000052383796221</v>
      </c>
      <c r="AB174" s="4">
        <f t="shared" si="153"/>
        <v>3.3957790431596848E-3</v>
      </c>
      <c r="AC174" s="48" t="str">
        <f t="shared" si="154"/>
        <v>0,0763928921391549-6,22296103467395i</v>
      </c>
      <c r="AD174" s="20">
        <f t="shared" si="155"/>
        <v>15.880596063001954</v>
      </c>
      <c r="AE174" s="44">
        <f t="shared" si="156"/>
        <v>-89.296673974043046</v>
      </c>
      <c r="AF174" t="str">
        <f t="shared" si="141"/>
        <v>-20791,6666666667</v>
      </c>
      <c r="AG174" t="str">
        <f t="shared" si="157"/>
        <v>2281,28669909085i</v>
      </c>
      <c r="AH174">
        <f t="shared" si="158"/>
        <v>2281.2866990908501</v>
      </c>
      <c r="AI174">
        <f t="shared" si="159"/>
        <v>1.5707963267948966</v>
      </c>
      <c r="AJ174" t="str">
        <f t="shared" si="142"/>
        <v>0,902920515268332+2,67644889982066i</v>
      </c>
      <c r="AK174">
        <f t="shared" si="160"/>
        <v>2.8246493889054003</v>
      </c>
      <c r="AL174">
        <f t="shared" si="161"/>
        <v>1.2454282692206045</v>
      </c>
      <c r="AM174" t="str">
        <f t="shared" si="143"/>
        <v>1+3,67925918829372i</v>
      </c>
      <c r="AN174">
        <f t="shared" si="162"/>
        <v>3.8127349992680792</v>
      </c>
      <c r="AO174">
        <f t="shared" si="163"/>
        <v>1.3054132895319082</v>
      </c>
      <c r="AP174" t="str">
        <f t="shared" si="144"/>
        <v>1+2,58424157273011i</v>
      </c>
      <c r="AQ174">
        <f t="shared" si="164"/>
        <v>2.7709753709166365</v>
      </c>
      <c r="AR174">
        <f t="shared" si="165"/>
        <v>1.2015809917415849</v>
      </c>
      <c r="AS174" s="42" t="str">
        <f t="shared" si="166"/>
        <v>-32,4720869684054+10,3741515500296i</v>
      </c>
      <c r="AT174">
        <f t="shared" si="167"/>
        <v>30.652283476908938</v>
      </c>
      <c r="AU174" s="44">
        <f t="shared" si="168"/>
        <v>162.28240806778075</v>
      </c>
      <c r="AV174" s="42" t="str">
        <f t="shared" si="145"/>
        <v>62,0773042263259+202,865043359327i</v>
      </c>
      <c r="AW174" s="20">
        <f t="shared" si="169"/>
        <v>46.532879539910887</v>
      </c>
      <c r="AX174" s="44">
        <f t="shared" si="170"/>
        <v>72.98573409373769</v>
      </c>
    </row>
    <row r="175" spans="14:50" x14ac:dyDescent="0.3">
      <c r="N175" s="8">
        <v>57</v>
      </c>
      <c r="O175" s="35">
        <f t="shared" si="135"/>
        <v>371.53522909717265</v>
      </c>
      <c r="P175" s="34" t="str">
        <f t="shared" si="136"/>
        <v>324,571428571429</v>
      </c>
      <c r="Q175" s="4" t="str">
        <f t="shared" si="137"/>
        <v>1+53,3582786871534i</v>
      </c>
      <c r="R175" s="4">
        <f t="shared" si="146"/>
        <v>53.36764848160287</v>
      </c>
      <c r="S175" s="4">
        <f t="shared" si="147"/>
        <v>1.5520572862689537</v>
      </c>
      <c r="T175" s="4" t="str">
        <f t="shared" si="138"/>
        <v>1+0,000466884938512592i</v>
      </c>
      <c r="U175" s="4">
        <f t="shared" si="148"/>
        <v>1.0000001089907669</v>
      </c>
      <c r="V175" s="4">
        <f t="shared" si="149"/>
        <v>4.6688490458849622E-4</v>
      </c>
      <c r="W175" t="str">
        <f t="shared" si="139"/>
        <v>1-0,00405282064681069i</v>
      </c>
      <c r="X175" s="4">
        <f t="shared" si="150"/>
        <v>1.0000082126438739</v>
      </c>
      <c r="Y175" s="4">
        <f t="shared" si="151"/>
        <v>-4.0527984573564824E-3</v>
      </c>
      <c r="Z175" t="str">
        <f t="shared" si="140"/>
        <v>0,999999447846294+0,00347488842257549i</v>
      </c>
      <c r="AA175" s="4">
        <f t="shared" si="152"/>
        <v>1.0000054852561771</v>
      </c>
      <c r="AB175" s="4">
        <f t="shared" si="153"/>
        <v>3.4748763550755961E-3</v>
      </c>
      <c r="AC175" s="48" t="str">
        <f t="shared" si="154"/>
        <v>0,0710233856686532-6,0814037309419i</v>
      </c>
      <c r="AD175" s="20">
        <f t="shared" si="155"/>
        <v>15.68066903535062</v>
      </c>
      <c r="AE175" s="44">
        <f t="shared" si="156"/>
        <v>-89.330885527486856</v>
      </c>
      <c r="AF175" t="str">
        <f t="shared" si="141"/>
        <v>-20791,6666666667</v>
      </c>
      <c r="AG175" t="str">
        <f t="shared" si="157"/>
        <v>2334,42469256296i</v>
      </c>
      <c r="AH175">
        <f t="shared" si="158"/>
        <v>2334.42469256296</v>
      </c>
      <c r="AI175">
        <f t="shared" si="159"/>
        <v>1.5707963267948966</v>
      </c>
      <c r="AJ175" t="str">
        <f t="shared" si="142"/>
        <v>0,898345300107399+2,73879140338402i</v>
      </c>
      <c r="AK175">
        <f t="shared" si="160"/>
        <v>2.882360600180911</v>
      </c>
      <c r="AL175">
        <f t="shared" si="161"/>
        <v>1.2538462675643929</v>
      </c>
      <c r="AM175" t="str">
        <f t="shared" si="143"/>
        <v>1+3,76496014416554i</v>
      </c>
      <c r="AN175">
        <f t="shared" si="162"/>
        <v>3.8955005951937682</v>
      </c>
      <c r="AO175">
        <f t="shared" si="163"/>
        <v>1.3111834538355291</v>
      </c>
      <c r="AP175" t="str">
        <f t="shared" si="144"/>
        <v>1+2,64443629173532i</v>
      </c>
      <c r="AQ175">
        <f t="shared" si="164"/>
        <v>2.8271970750279949</v>
      </c>
      <c r="AR175">
        <f t="shared" si="165"/>
        <v>1.2092647539543804</v>
      </c>
      <c r="AS175" s="42" t="str">
        <f t="shared" si="166"/>
        <v>-32,4690192558046+10,1932586461156i</v>
      </c>
      <c r="AT175">
        <f t="shared" si="167"/>
        <v>30.637609615700434</v>
      </c>
      <c r="AU175" s="44">
        <f t="shared" si="168"/>
        <v>162.57094549800351</v>
      </c>
      <c r="AV175" s="42" t="str">
        <f t="shared" si="145"/>
        <v>59,6832614840553+198,181174582318i</v>
      </c>
      <c r="AW175" s="20">
        <f t="shared" si="169"/>
        <v>46.31827865105106</v>
      </c>
      <c r="AX175" s="44">
        <f t="shared" si="170"/>
        <v>73.240059970516654</v>
      </c>
    </row>
    <row r="176" spans="14:50" x14ac:dyDescent="0.3">
      <c r="N176" s="8">
        <v>58</v>
      </c>
      <c r="O176" s="35">
        <f t="shared" si="135"/>
        <v>380.18939632056163</v>
      </c>
      <c r="P176" s="34" t="str">
        <f t="shared" si="136"/>
        <v>324,571428571429</v>
      </c>
      <c r="Q176" s="4" t="str">
        <f t="shared" si="137"/>
        <v>1+54,6011526607275i</v>
      </c>
      <c r="R176" s="4">
        <f t="shared" si="146"/>
        <v>54.610309208793815</v>
      </c>
      <c r="S176" s="4">
        <f t="shared" si="147"/>
        <v>1.5524837424410121</v>
      </c>
      <c r="T176" s="4" t="str">
        <f t="shared" si="138"/>
        <v>1+0,000477760085781366i</v>
      </c>
      <c r="U176" s="4">
        <f t="shared" si="148"/>
        <v>1.0000001141273434</v>
      </c>
      <c r="V176" s="4">
        <f t="shared" si="149"/>
        <v>4.7776004943104268E-4</v>
      </c>
      <c r="W176" t="str">
        <f t="shared" si="139"/>
        <v>1-0,00414722296685214i</v>
      </c>
      <c r="X176" s="4">
        <f t="shared" si="150"/>
        <v>1.000008599692191</v>
      </c>
      <c r="Y176" s="4">
        <f t="shared" si="151"/>
        <v>-4.1471991904346271E-3</v>
      </c>
      <c r="Z176" t="str">
        <f t="shared" si="140"/>
        <v>0,999999421824092+0,00355582897177902i</v>
      </c>
      <c r="AA176" s="4">
        <f t="shared" si="152"/>
        <v>1.0000057437676018</v>
      </c>
      <c r="AB176" s="4">
        <f t="shared" si="153"/>
        <v>3.5558160412239169E-3</v>
      </c>
      <c r="AC176" s="48" t="str">
        <f t="shared" si="154"/>
        <v>0,0658953827484356-5,94306181027601i</v>
      </c>
      <c r="AD176" s="20">
        <f t="shared" si="155"/>
        <v>15.48073882667186</v>
      </c>
      <c r="AE176" s="44">
        <f t="shared" si="156"/>
        <v>-89.364742832391784</v>
      </c>
      <c r="AF176" t="str">
        <f t="shared" si="141"/>
        <v>-20791,6666666667</v>
      </c>
      <c r="AG176" t="str">
        <f t="shared" si="157"/>
        <v>2388,80042890683i</v>
      </c>
      <c r="AH176">
        <f t="shared" si="158"/>
        <v>2388.8004289068299</v>
      </c>
      <c r="AI176">
        <f t="shared" si="159"/>
        <v>1.5707963267948966</v>
      </c>
      <c r="AJ176" t="str">
        <f t="shared" si="142"/>
        <v>0,893554461698911+2,80258605040164i</v>
      </c>
      <c r="AK176">
        <f t="shared" si="160"/>
        <v>2.9415859915915927</v>
      </c>
      <c r="AL176">
        <f t="shared" si="161"/>
        <v>1.2621531356353981</v>
      </c>
      <c r="AM176" t="str">
        <f t="shared" si="143"/>
        <v>1+3,85265733174093i</v>
      </c>
      <c r="AN176">
        <f t="shared" si="162"/>
        <v>3.9803226647870074</v>
      </c>
      <c r="AO176">
        <f t="shared" si="163"/>
        <v>1.3168394151038585</v>
      </c>
      <c r="AP176" t="str">
        <f t="shared" si="144"/>
        <v>1+2,70603312586566i</v>
      </c>
      <c r="AQ176">
        <f t="shared" si="164"/>
        <v>2.8848943270564131</v>
      </c>
      <c r="AR176">
        <f t="shared" si="165"/>
        <v>1.2168170069023367</v>
      </c>
      <c r="AS176" s="42" t="str">
        <f t="shared" si="166"/>
        <v>-32,4658889120155+10,0177334806986i</v>
      </c>
      <c r="AT176">
        <f t="shared" si="167"/>
        <v>30.623521522911336</v>
      </c>
      <c r="AU176" s="44">
        <f t="shared" si="168"/>
        <v>162.85177194606072</v>
      </c>
      <c r="AV176" s="42" t="str">
        <f t="shared" si="145"/>
        <v>57,3966570985378+193,606906911645i</v>
      </c>
      <c r="AW176" s="20">
        <f t="shared" si="169"/>
        <v>46.104260349583193</v>
      </c>
      <c r="AX176" s="44">
        <f t="shared" si="170"/>
        <v>73.487029113668939</v>
      </c>
    </row>
    <row r="177" spans="14:50" x14ac:dyDescent="0.3">
      <c r="N177" s="8">
        <v>59</v>
      </c>
      <c r="O177" s="35">
        <f t="shared" si="135"/>
        <v>389.04514499428063</v>
      </c>
      <c r="P177" s="34" t="str">
        <f t="shared" si="136"/>
        <v>324,571428571429</v>
      </c>
      <c r="Q177" s="4" t="str">
        <f t="shared" si="137"/>
        <v>1+55,8729768881742i</v>
      </c>
      <c r="R177" s="4">
        <f t="shared" si="146"/>
        <v>55.881925041523473</v>
      </c>
      <c r="S177" s="4">
        <f t="shared" si="147"/>
        <v>1.552900497722538</v>
      </c>
      <c r="T177" s="4" t="str">
        <f t="shared" si="138"/>
        <v>1+0,000488888547771524i</v>
      </c>
      <c r="U177" s="4">
        <f t="shared" si="148"/>
        <v>1.0000001195059989</v>
      </c>
      <c r="V177" s="4">
        <f t="shared" si="149"/>
        <v>4.8888850882145116E-4</v>
      </c>
      <c r="W177" t="str">
        <f t="shared" si="139"/>
        <v>1-0,00424382419940559i</v>
      </c>
      <c r="X177" s="4">
        <f t="shared" si="150"/>
        <v>1.0000090049813728</v>
      </c>
      <c r="Y177" s="4">
        <f t="shared" si="151"/>
        <v>-4.2437987225276063E-3</v>
      </c>
      <c r="Z177" t="str">
        <f t="shared" si="140"/>
        <v>0,999999394575501+0,00363865486857035i</v>
      </c>
      <c r="AA177" s="4">
        <f t="shared" si="152"/>
        <v>1.0000060144622236</v>
      </c>
      <c r="AB177" s="4">
        <f t="shared" si="153"/>
        <v>3.6386410132354177E-3</v>
      </c>
      <c r="AC177" s="48" t="str">
        <f t="shared" si="154"/>
        <v>0,0609980286040571-5,80786252612035i</v>
      </c>
      <c r="AD177" s="20">
        <f t="shared" si="155"/>
        <v>15.280805584852232</v>
      </c>
      <c r="AE177" s="44">
        <f t="shared" si="156"/>
        <v>-89.39826380418387</v>
      </c>
      <c r="AF177" t="str">
        <f t="shared" si="141"/>
        <v>-20791,6666666667</v>
      </c>
      <c r="AG177" t="str">
        <f t="shared" si="157"/>
        <v>2444,44273885762i</v>
      </c>
      <c r="AH177">
        <f t="shared" si="158"/>
        <v>2444.44273885762</v>
      </c>
      <c r="AI177">
        <f t="shared" si="159"/>
        <v>1.5707963267948966</v>
      </c>
      <c r="AJ177" t="str">
        <f t="shared" si="142"/>
        <v>0,888537838032284+2,86786666563979i</v>
      </c>
      <c r="AK177">
        <f t="shared" si="160"/>
        <v>3.0023588562167203</v>
      </c>
      <c r="AL177">
        <f t="shared" si="161"/>
        <v>1.2703499880850184</v>
      </c>
      <c r="AM177" t="str">
        <f t="shared" si="143"/>
        <v>1+3,94239724922957i</v>
      </c>
      <c r="AN177">
        <f t="shared" si="162"/>
        <v>4.067246743281367</v>
      </c>
      <c r="AO177">
        <f t="shared" si="163"/>
        <v>1.3223827241335648</v>
      </c>
      <c r="AP177" t="str">
        <f t="shared" si="144"/>
        <v>1+2,76906473457791i</v>
      </c>
      <c r="AQ177">
        <f t="shared" si="164"/>
        <v>2.9440990989236471</v>
      </c>
      <c r="AR177">
        <f t="shared" si="165"/>
        <v>1.2242383078594425</v>
      </c>
      <c r="AS177" s="42" t="str">
        <f t="shared" si="166"/>
        <v>-32,4626906207486+9,84748398434662i</v>
      </c>
      <c r="AT177">
        <f t="shared" si="167"/>
        <v>30.609995600506966</v>
      </c>
      <c r="AU177" s="44">
        <f t="shared" si="168"/>
        <v>163.12494433068352</v>
      </c>
      <c r="AV177" s="42" t="str">
        <f t="shared" si="145"/>
        <v>55,212673078208+189,13952146304i</v>
      </c>
      <c r="AW177" s="20">
        <f t="shared" si="169"/>
        <v>45.890801185359223</v>
      </c>
      <c r="AX177" s="44">
        <f t="shared" si="170"/>
        <v>73.726680526499692</v>
      </c>
    </row>
    <row r="178" spans="14:50" x14ac:dyDescent="0.3">
      <c r="N178" s="8">
        <v>60</v>
      </c>
      <c r="O178" s="35">
        <f t="shared" si="135"/>
        <v>398.10717055349761</v>
      </c>
      <c r="P178" s="34" t="str">
        <f t="shared" si="136"/>
        <v>324,571428571429</v>
      </c>
      <c r="Q178" s="4" t="str">
        <f t="shared" si="137"/>
        <v>1+57,174425707533i</v>
      </c>
      <c r="R178" s="4">
        <f t="shared" si="146"/>
        <v>57.18317020755503</v>
      </c>
      <c r="S178" s="4">
        <f t="shared" si="147"/>
        <v>1.5533077725032931</v>
      </c>
      <c r="T178" s="4" t="str">
        <f t="shared" si="138"/>
        <v>1+0,000500276224940914i</v>
      </c>
      <c r="U178" s="4">
        <f t="shared" si="148"/>
        <v>1.0000001251381427</v>
      </c>
      <c r="V178" s="4">
        <f t="shared" si="149"/>
        <v>5.0027618320515918E-4</v>
      </c>
      <c r="W178" t="str">
        <f t="shared" si="139"/>
        <v>1-0,00434267556372321i</v>
      </c>
      <c r="X178" s="4">
        <f t="shared" si="150"/>
        <v>1.0000094293710693</v>
      </c>
      <c r="Y178" s="4">
        <f t="shared" si="151"/>
        <v>-4.3426482647705156E-3</v>
      </c>
      <c r="Z178" t="str">
        <f t="shared" si="140"/>
        <v>0,999999366042723+0,00372341002833628i</v>
      </c>
      <c r="AA178" s="4">
        <f t="shared" si="152"/>
        <v>1.0000062979142115</v>
      </c>
      <c r="AB178" s="4">
        <f t="shared" si="153"/>
        <v>3.7233951820824572E-3</v>
      </c>
      <c r="AC178" s="48" t="str">
        <f t="shared" si="154"/>
        <v>0,0563209557277183-5,67573475790496i</v>
      </c>
      <c r="AD178" s="20">
        <f t="shared" si="155"/>
        <v>15.080869451357817</v>
      </c>
      <c r="AE178" s="44">
        <f t="shared" si="156"/>
        <v>-89.431466182290976</v>
      </c>
      <c r="AF178" t="str">
        <f t="shared" si="141"/>
        <v>-20791,6666666667</v>
      </c>
      <c r="AG178" t="str">
        <f t="shared" si="157"/>
        <v>2501,38112470457i</v>
      </c>
      <c r="AH178">
        <f t="shared" si="158"/>
        <v>2501.3811247045701</v>
      </c>
      <c r="AI178">
        <f t="shared" si="159"/>
        <v>1.5707963267948966</v>
      </c>
      <c r="AJ178" t="str">
        <f t="shared" si="142"/>
        <v>0,883284788176132+2,93466786174478i</v>
      </c>
      <c r="AK178">
        <f t="shared" si="160"/>
        <v>3.0647132779072557</v>
      </c>
      <c r="AL178">
        <f t="shared" si="161"/>
        <v>1.2784380506243223</v>
      </c>
      <c r="AM178" t="str">
        <f t="shared" si="143"/>
        <v>1+4,03422747792353i</v>
      </c>
      <c r="AN178">
        <f t="shared" si="162"/>
        <v>4.156319446774182</v>
      </c>
      <c r="AO178">
        <f t="shared" si="163"/>
        <v>1.3278149567965312</v>
      </c>
      <c r="AP178" t="str">
        <f t="shared" si="144"/>
        <v>1+2,83356453806534i</v>
      </c>
      <c r="AQ178">
        <f t="shared" si="164"/>
        <v>3.0048440876993001</v>
      </c>
      <c r="AR178">
        <f t="shared" si="165"/>
        <v>1.2315293208529376</v>
      </c>
      <c r="AS178" s="42" t="str">
        <f t="shared" si="166"/>
        <v>-32,4594188377121+9,68242078703834i</v>
      </c>
      <c r="AT178">
        <f t="shared" si="167"/>
        <v>30.597008950520692</v>
      </c>
      <c r="AU178" s="44">
        <f t="shared" si="168"/>
        <v>163.39052076056703</v>
      </c>
      <c r="AV178" s="42" t="str">
        <f t="shared" si="145"/>
        <v>53,1267067103488+184,776374911082i</v>
      </c>
      <c r="AW178" s="20">
        <f t="shared" si="169"/>
        <v>45.677878401878537</v>
      </c>
      <c r="AX178" s="44">
        <f t="shared" si="170"/>
        <v>73.959054578276081</v>
      </c>
    </row>
    <row r="179" spans="14:50" x14ac:dyDescent="0.3">
      <c r="N179" s="8">
        <v>61</v>
      </c>
      <c r="O179" s="35">
        <f t="shared" si="135"/>
        <v>407.38027780411272</v>
      </c>
      <c r="P179" s="34" t="str">
        <f t="shared" si="136"/>
        <v>324,571428571429</v>
      </c>
      <c r="Q179" s="4" t="str">
        <f t="shared" si="137"/>
        <v>1+58,5061891641952i</v>
      </c>
      <c r="R179" s="4">
        <f t="shared" si="146"/>
        <v>58.514734644502923</v>
      </c>
      <c r="S179" s="4">
        <f t="shared" si="147"/>
        <v>1.5537057821850002</v>
      </c>
      <c r="T179" s="4" t="str">
        <f t="shared" si="138"/>
        <v>1+0,000511929155186708i</v>
      </c>
      <c r="U179" s="4">
        <f t="shared" si="148"/>
        <v>1.0000001310357214</v>
      </c>
      <c r="V179" s="4">
        <f t="shared" si="149"/>
        <v>5.1192911046604142E-4</v>
      </c>
      <c r="W179" t="str">
        <f t="shared" si="139"/>
        <v>1-0,00444382947210684i</v>
      </c>
      <c r="X179" s="4">
        <f t="shared" si="150"/>
        <v>1.0000098737614429</v>
      </c>
      <c r="Y179" s="4">
        <f t="shared" si="151"/>
        <v>-4.4438002207676137E-3</v>
      </c>
      <c r="Z179" t="str">
        <f t="shared" si="140"/>
        <v>0,999999336165237+0,0038101393893844i</v>
      </c>
      <c r="AA179" s="4">
        <f t="shared" si="152"/>
        <v>1.0000065947247954</v>
      </c>
      <c r="AB179" s="4">
        <f t="shared" si="153"/>
        <v>3.8101234813424697E-3</v>
      </c>
      <c r="AC179" s="48" t="str">
        <f t="shared" si="154"/>
        <v>0,0518542620605915-5,54660897602059i</v>
      </c>
      <c r="AD179" s="20">
        <f t="shared" si="155"/>
        <v>14.88093056153299</v>
      </c>
      <c r="AE179" s="44">
        <f t="shared" si="156"/>
        <v>-89.464367539387197</v>
      </c>
      <c r="AF179" t="str">
        <f t="shared" si="141"/>
        <v>-20791,6666666667</v>
      </c>
      <c r="AG179" t="str">
        <f t="shared" si="157"/>
        <v>2559,64577593354i</v>
      </c>
      <c r="AH179">
        <f t="shared" si="158"/>
        <v>2559.6457759335399</v>
      </c>
      <c r="AI179">
        <f t="shared" si="159"/>
        <v>1.5707963267948966</v>
      </c>
      <c r="AJ179" t="str">
        <f t="shared" si="142"/>
        <v>0,87778416970742+3,00302505759497i</v>
      </c>
      <c r="AK179">
        <f t="shared" si="160"/>
        <v>3.1286841555408276</v>
      </c>
      <c r="AL179">
        <f t="shared" si="161"/>
        <v>1.2864186537605669</v>
      </c>
      <c r="AM179" t="str">
        <f t="shared" si="143"/>
        <v>1+4,12819670742561i</v>
      </c>
      <c r="AN179">
        <f t="shared" si="162"/>
        <v>4.2475884988072519</v>
      </c>
      <c r="AO179">
        <f t="shared" si="163"/>
        <v>1.3331377103824156</v>
      </c>
      <c r="AP179" t="str">
        <f t="shared" si="144"/>
        <v>1+2,89956673497751i</v>
      </c>
      <c r="AQ179">
        <f t="shared" si="164"/>
        <v>3.0671627362414497</v>
      </c>
      <c r="AR179">
        <f t="shared" si="165"/>
        <v>1.2386908100616238</v>
      </c>
      <c r="AS179" s="42" t="str">
        <f t="shared" si="166"/>
        <v>-32,4560677842629+9,52245716888054i</v>
      </c>
      <c r="AT179">
        <f t="shared" si="167"/>
        <v>30.584539363003145</v>
      </c>
      <c r="AU179" s="44">
        <f t="shared" si="168"/>
        <v>163.64856030543677</v>
      </c>
      <c r="AV179" s="42" t="str">
        <f t="shared" si="145"/>
        <v>51,1343609623429+180,514896888021i</v>
      </c>
      <c r="AW179" s="20">
        <f t="shared" si="169"/>
        <v>45.46546992453613</v>
      </c>
      <c r="AX179" s="44">
        <f t="shared" si="170"/>
        <v>74.184192766049605</v>
      </c>
    </row>
    <row r="180" spans="14:50" x14ac:dyDescent="0.3">
      <c r="N180" s="8">
        <v>62</v>
      </c>
      <c r="O180" s="35">
        <f t="shared" si="135"/>
        <v>416.86938347033572</v>
      </c>
      <c r="P180" s="34" t="str">
        <f t="shared" si="136"/>
        <v>324,571428571429</v>
      </c>
      <c r="Q180" s="4" t="str">
        <f t="shared" si="137"/>
        <v>1+59,8689733767733i</v>
      </c>
      <c r="R180" s="4">
        <f t="shared" si="146"/>
        <v>59.877324365646047</v>
      </c>
      <c r="S180" s="4">
        <f t="shared" si="147"/>
        <v>1.554094737292977</v>
      </c>
      <c r="T180" s="4" t="str">
        <f t="shared" si="138"/>
        <v>1+0,000523853517046766i</v>
      </c>
      <c r="U180" s="4">
        <f t="shared" si="148"/>
        <v>1.0000001372112444</v>
      </c>
      <c r="V180" s="4">
        <f t="shared" si="149"/>
        <v>5.238534691277087E-4</v>
      </c>
      <c r="W180" t="str">
        <f t="shared" si="139"/>
        <v>1-0,00454733955769762i</v>
      </c>
      <c r="X180" s="4">
        <f t="shared" si="150"/>
        <v>1.0000103390950781</v>
      </c>
      <c r="Y180" s="4">
        <f t="shared" si="151"/>
        <v>-4.5473082143404368E-3</v>
      </c>
      <c r="Z180" t="str">
        <f t="shared" si="140"/>
        <v>0,999999304879668+0,00389888893676994i</v>
      </c>
      <c r="AA180" s="4">
        <f t="shared" si="152"/>
        <v>1.0000069055235372</v>
      </c>
      <c r="AB180" s="4">
        <f t="shared" si="153"/>
        <v>3.8988718910022454E-3</v>
      </c>
      <c r="AC180" s="48" t="str">
        <f t="shared" si="154"/>
        <v>0,0475884901472175-5,42041720745857i</v>
      </c>
      <c r="AD180" s="20">
        <f t="shared" si="155"/>
        <v>14.680989044886664</v>
      </c>
      <c r="AE180" s="44">
        <f t="shared" si="156"/>
        <v>-89.496985290559195</v>
      </c>
      <c r="AF180" t="str">
        <f t="shared" si="141"/>
        <v>-20791,6666666667</v>
      </c>
      <c r="AG180" t="str">
        <f t="shared" si="157"/>
        <v>2619,26758523383i</v>
      </c>
      <c r="AH180">
        <f t="shared" si="158"/>
        <v>2619.2675852338298</v>
      </c>
      <c r="AI180">
        <f t="shared" si="159"/>
        <v>1.5707963267948966</v>
      </c>
      <c r="AJ180" t="str">
        <f t="shared" si="142"/>
        <v>0,872024315076894+3,07297449708044i</v>
      </c>
      <c r="AK180">
        <f t="shared" si="160"/>
        <v>3.1943072278339328</v>
      </c>
      <c r="AL180">
        <f t="shared" si="161"/>
        <v>1.2942932266816114</v>
      </c>
      <c r="AM180" t="str">
        <f t="shared" si="143"/>
        <v>1+4,22435476146512i</v>
      </c>
      <c r="AN180">
        <f t="shared" si="162"/>
        <v>4.3411027574468948</v>
      </c>
      <c r="AO180">
        <f t="shared" si="163"/>
        <v>1.3383526001420587</v>
      </c>
      <c r="AP180" t="str">
        <f t="shared" si="144"/>
        <v>1+2,96710632055288i</v>
      </c>
      <c r="AQ180">
        <f t="shared" si="164"/>
        <v>3.1310892541517958</v>
      </c>
      <c r="AR180">
        <f t="shared" si="165"/>
        <v>1.2457236333415431</v>
      </c>
      <c r="AS180" s="42" t="str">
        <f t="shared" si="166"/>
        <v>-32,4526314404092+9,36750901222367i</v>
      </c>
      <c r="AT180">
        <f t="shared" si="167"/>
        <v>30.572565302971448</v>
      </c>
      <c r="AU180" s="44">
        <f t="shared" si="168"/>
        <v>163.89912277744713</v>
      </c>
      <c r="AV180" s="42" t="str">
        <f t="shared" si="145"/>
        <v>49,2314353093272+176,352587497237i</v>
      </c>
      <c r="AW180" s="20">
        <f t="shared" si="169"/>
        <v>45.253554347858099</v>
      </c>
      <c r="AX180" s="44">
        <f t="shared" si="170"/>
        <v>74.402137486887938</v>
      </c>
    </row>
    <row r="181" spans="14:50" x14ac:dyDescent="0.3">
      <c r="N181" s="8">
        <v>63</v>
      </c>
      <c r="O181" s="35">
        <f t="shared" si="135"/>
        <v>426.57951880159294</v>
      </c>
      <c r="P181" s="34" t="str">
        <f t="shared" si="136"/>
        <v>324,571428571429</v>
      </c>
      <c r="Q181" s="4" t="str">
        <f t="shared" si="137"/>
        <v>1+61,2635009114951i</v>
      </c>
      <c r="R181" s="4">
        <f t="shared" si="146"/>
        <v>61.271661834266915</v>
      </c>
      <c r="S181" s="4">
        <f t="shared" si="147"/>
        <v>1.5544748435853513</v>
      </c>
      <c r="T181" s="4" t="str">
        <f t="shared" si="138"/>
        <v>1+0,000536055632975582i</v>
      </c>
      <c r="U181" s="4">
        <f t="shared" si="148"/>
        <v>1.0000001436778105</v>
      </c>
      <c r="V181" s="4">
        <f t="shared" si="149"/>
        <v>5.3605558162938736E-4</v>
      </c>
      <c r="W181" t="str">
        <f t="shared" si="139"/>
        <v>1-0,00465326070291304i</v>
      </c>
      <c r="X181" s="4">
        <f t="shared" si="150"/>
        <v>1.0000108263589795</v>
      </c>
      <c r="Y181" s="4">
        <f t="shared" si="151"/>
        <v>-4.6532271179203647E-3</v>
      </c>
      <c r="Z181" t="str">
        <f t="shared" si="140"/>
        <v>0,999999272119657+0,00398970572667764i</v>
      </c>
      <c r="AA181" s="4">
        <f t="shared" si="152"/>
        <v>1.0000072309696713</v>
      </c>
      <c r="AB181" s="4">
        <f t="shared" si="153"/>
        <v>3.9896874618155923E-3</v>
      </c>
      <c r="AC181" s="48" t="str">
        <f t="shared" si="154"/>
        <v>0,043514607219074-5,29709300210899i</v>
      </c>
      <c r="AD181" s="20">
        <f t="shared" si="155"/>
        <v>14.481045025365773</v>
      </c>
      <c r="AE181" s="44">
        <f t="shared" si="156"/>
        <v>-89.529336702398581</v>
      </c>
      <c r="AF181" t="str">
        <f t="shared" si="141"/>
        <v>-20791,6666666667</v>
      </c>
      <c r="AG181" t="str">
        <f t="shared" si="157"/>
        <v>2680,27816487791i</v>
      </c>
      <c r="AH181">
        <f t="shared" si="158"/>
        <v>2680.2781648779101</v>
      </c>
      <c r="AI181">
        <f t="shared" si="159"/>
        <v>1.5707963267948966</v>
      </c>
      <c r="AJ181" t="str">
        <f t="shared" si="142"/>
        <v>0,865993006860649+3,14455326831989i</v>
      </c>
      <c r="AK181">
        <f t="shared" si="160"/>
        <v>3.26161909873499</v>
      </c>
      <c r="AL181">
        <f t="shared" si="161"/>
        <v>1.3020632913040229</v>
      </c>
      <c r="AM181" t="str">
        <f t="shared" si="143"/>
        <v>1+4,32275262431509i</v>
      </c>
      <c r="AN181">
        <f t="shared" si="162"/>
        <v>4.4369122428805143</v>
      </c>
      <c r="AO181">
        <f t="shared" si="163"/>
        <v>1.3434612560270729</v>
      </c>
      <c r="AP181" t="str">
        <f t="shared" si="144"/>
        <v>1+3,0362191051737i</v>
      </c>
      <c r="AQ181">
        <f t="shared" si="164"/>
        <v>3.1966586390513743</v>
      </c>
      <c r="AR181">
        <f t="shared" si="165"/>
        <v>1.2526287358971584</v>
      </c>
      <c r="AS181" s="42" t="str">
        <f t="shared" si="166"/>
        <v>-32,4491035371565+9,21749475511731i</v>
      </c>
      <c r="AT181">
        <f t="shared" si="167"/>
        <v>30.561065896472257</v>
      </c>
      <c r="AU181" s="44">
        <f t="shared" si="168"/>
        <v>164.14226852277676</v>
      </c>
      <c r="AV181" s="42" t="str">
        <f t="shared" si="145"/>
        <v>47,4139169692778+172,287014935195i</v>
      </c>
      <c r="AW181" s="20">
        <f t="shared" si="169"/>
        <v>45.042110921838059</v>
      </c>
      <c r="AX181" s="44">
        <f t="shared" si="170"/>
        <v>74.612931820378208</v>
      </c>
    </row>
    <row r="182" spans="14:50" x14ac:dyDescent="0.3">
      <c r="N182" s="8">
        <v>64</v>
      </c>
      <c r="O182" s="35">
        <f t="shared" si="135"/>
        <v>436.51583224016622</v>
      </c>
      <c r="P182" s="34" t="str">
        <f t="shared" si="136"/>
        <v>324,571428571429</v>
      </c>
      <c r="Q182" s="4" t="str">
        <f t="shared" si="137"/>
        <v>1+62,6905111653184i</v>
      </c>
      <c r="R182" s="4">
        <f t="shared" si="146"/>
        <v>62.698486346712635</v>
      </c>
      <c r="S182" s="4">
        <f t="shared" si="147"/>
        <v>1.5548463021599148</v>
      </c>
      <c r="T182" s="4" t="str">
        <f t="shared" si="138"/>
        <v>1+0,000548541972696536i</v>
      </c>
      <c r="U182" s="4">
        <f t="shared" si="148"/>
        <v>1.0000001504491367</v>
      </c>
      <c r="V182" s="4">
        <f t="shared" si="149"/>
        <v>5.4854191767809762E-4</v>
      </c>
      <c r="W182" t="str">
        <f t="shared" si="139"/>
        <v>1-0,00476164906854632i</v>
      </c>
      <c r="X182" s="4">
        <f t="shared" si="150"/>
        <v>1.000011336586667</v>
      </c>
      <c r="Y182" s="4">
        <f t="shared" si="151"/>
        <v>-4.7616130816003363E-3</v>
      </c>
      <c r="Z182" t="str">
        <f t="shared" si="140"/>
        <v>0,999999237815713+0,00408263791137161i</v>
      </c>
      <c r="AA182" s="4">
        <f t="shared" si="152"/>
        <v>1.0000075717534953</v>
      </c>
      <c r="AB182" s="4">
        <f t="shared" si="153"/>
        <v>4.0826183402273017E-3</v>
      </c>
      <c r="AC182" s="48" t="str">
        <f t="shared" si="154"/>
        <v>0,0396239861663035-5,17657139971092i</v>
      </c>
      <c r="AD182" s="20">
        <f t="shared" si="155"/>
        <v>14.281098621617536</v>
      </c>
      <c r="AE182" s="44">
        <f t="shared" si="156"/>
        <v>-89.561438902024591</v>
      </c>
      <c r="AF182" t="str">
        <f t="shared" si="141"/>
        <v>-20791,6666666667</v>
      </c>
      <c r="AG182" t="str">
        <f t="shared" si="157"/>
        <v>2742,70986348268i</v>
      </c>
      <c r="AH182">
        <f t="shared" si="158"/>
        <v>2742.7098634826798</v>
      </c>
      <c r="AI182">
        <f t="shared" si="159"/>
        <v>1.5707963267948966</v>
      </c>
      <c r="AJ182" t="str">
        <f t="shared" si="142"/>
        <v>0,859677451845325+3,21779932332529i</v>
      </c>
      <c r="AK182">
        <f t="shared" si="160"/>
        <v>3.330657263424738</v>
      </c>
      <c r="AL182">
        <f t="shared" si="161"/>
        <v>1.309730456498351</v>
      </c>
      <c r="AM182" t="str">
        <f t="shared" si="143"/>
        <v>1+4,42344246782486i</v>
      </c>
      <c r="AN182">
        <f t="shared" si="162"/>
        <v>4.5350681655468517</v>
      </c>
      <c r="AO182">
        <f t="shared" si="163"/>
        <v>1.3484653196204242</v>
      </c>
      <c r="AP182" t="str">
        <f t="shared" si="144"/>
        <v>1+3,10694173335318i</v>
      </c>
      <c r="AQ182">
        <f t="shared" si="164"/>
        <v>3.2639066981841967</v>
      </c>
      <c r="AR182">
        <f t="shared" si="165"/>
        <v>1.2594071441137111</v>
      </c>
      <c r="AS182" s="42" t="str">
        <f t="shared" si="166"/>
        <v>-32,4454775481733+9,07233534604439i</v>
      </c>
      <c r="AT182">
        <f t="shared" si="167"/>
        <v>30.550020915861541</v>
      </c>
      <c r="AU182" s="44">
        <f t="shared" si="168"/>
        <v>164.37805822325163</v>
      </c>
      <c r="AV182" s="42" t="str">
        <f t="shared" si="145"/>
        <v>45,6779725273919+168,315813216084i</v>
      </c>
      <c r="AW182" s="20">
        <f t="shared" si="169"/>
        <v>44.831119537479054</v>
      </c>
      <c r="AX182" s="44">
        <f t="shared" si="170"/>
        <v>74.816619321226995</v>
      </c>
    </row>
    <row r="183" spans="14:50" x14ac:dyDescent="0.3">
      <c r="N183" s="8">
        <v>65</v>
      </c>
      <c r="O183" s="35">
        <f t="shared" si="135"/>
        <v>446.68359215096331</v>
      </c>
      <c r="P183" s="34" t="str">
        <f t="shared" si="136"/>
        <v>324,571428571429</v>
      </c>
      <c r="Q183" s="4" t="str">
        <f t="shared" si="137"/>
        <v>1+64,1507607579687i</v>
      </c>
      <c r="R183" s="4">
        <f t="shared" si="146"/>
        <v>64.158554424380043</v>
      </c>
      <c r="S183" s="4">
        <f t="shared" si="147"/>
        <v>1.5552093095586497</v>
      </c>
      <c r="T183" s="4" t="str">
        <f t="shared" si="138"/>
        <v>1+0,000561319156632226i</v>
      </c>
      <c r="U183" s="4">
        <f t="shared" si="148"/>
        <v>1.0000001575395854</v>
      </c>
      <c r="V183" s="4">
        <f t="shared" si="149"/>
        <v>5.6131909767890762E-4</v>
      </c>
      <c r="W183" t="str">
        <f t="shared" si="139"/>
        <v>1-0,00487256212354363i</v>
      </c>
      <c r="X183" s="4">
        <f t="shared" si="150"/>
        <v>1.0000118708603651</v>
      </c>
      <c r="Y183" s="4">
        <f t="shared" si="151"/>
        <v>-4.8725235628609941E-3</v>
      </c>
      <c r="Z183" t="str">
        <f t="shared" si="140"/>
        <v>0,999999201895074+0,0041777347647263i</v>
      </c>
      <c r="AA183" s="4">
        <f t="shared" si="152"/>
        <v>1.0000079285978434</v>
      </c>
      <c r="AB183" s="4">
        <f t="shared" si="153"/>
        <v>4.1777137938763054E-3</v>
      </c>
      <c r="AC183" s="48" t="str">
        <f t="shared" si="154"/>
        <v>0,0359083873583424-5,05878889744698i</v>
      </c>
      <c r="AD183" s="20">
        <f t="shared" si="155"/>
        <v>14.081149947240036</v>
      </c>
      <c r="AE183" s="44">
        <f t="shared" si="156"/>
        <v>-89.593308886040973</v>
      </c>
      <c r="AF183" t="str">
        <f t="shared" si="141"/>
        <v>-20791,6666666667</v>
      </c>
      <c r="AG183" t="str">
        <f t="shared" si="157"/>
        <v>2806,59578316113i</v>
      </c>
      <c r="AH183">
        <f t="shared" si="158"/>
        <v>2806.5957831611299</v>
      </c>
      <c r="AI183">
        <f t="shared" si="159"/>
        <v>1.5707963267948966</v>
      </c>
      <c r="AJ183" t="str">
        <f t="shared" si="142"/>
        <v>0,853064253891993+3,29275149812452i</v>
      </c>
      <c r="AK183">
        <f t="shared" si="160"/>
        <v>3.4014601349522788</v>
      </c>
      <c r="AL183">
        <f t="shared" si="161"/>
        <v>1.3172964125027538</v>
      </c>
      <c r="AM183" t="str">
        <f t="shared" si="143"/>
        <v>1+4,52647767908227i</v>
      </c>
      <c r="AN183">
        <f t="shared" si="162"/>
        <v>4.6356229548174008</v>
      </c>
      <c r="AO183">
        <f t="shared" si="163"/>
        <v>1.3533664412524344</v>
      </c>
      <c r="AP183" t="str">
        <f t="shared" si="144"/>
        <v>1+3,17931170316493i</v>
      </c>
      <c r="AQ183">
        <f t="shared" si="164"/>
        <v>3.3328700703570018</v>
      </c>
      <c r="AR183">
        <f t="shared" si="165"/>
        <v>1.2660599595640309</v>
      </c>
      <c r="AS183" s="42" t="str">
        <f t="shared" si="166"/>
        <v>-32,4417466807626+8,9319541998763i</v>
      </c>
      <c r="AT183">
        <f t="shared" si="167"/>
        <v>30.539410764399619</v>
      </c>
      <c r="AU183" s="44">
        <f t="shared" si="168"/>
        <v>164.60655270779492</v>
      </c>
      <c r="AV183" s="42" t="str">
        <f t="shared" si="145"/>
        <v>44,0199399324451+164,436679993705i</v>
      </c>
      <c r="AW183" s="20">
        <f t="shared" si="169"/>
        <v>44.620560711639634</v>
      </c>
      <c r="AX183" s="44">
        <f t="shared" si="170"/>
        <v>75.013243821753917</v>
      </c>
    </row>
    <row r="184" spans="14:50" x14ac:dyDescent="0.3">
      <c r="N184" s="8">
        <v>66</v>
      </c>
      <c r="O184" s="35">
        <f t="shared" ref="O184:O218" si="171">10^(2+(N184/100))</f>
        <v>457.0881896148756</v>
      </c>
      <c r="P184" s="34" t="str">
        <f t="shared" si="136"/>
        <v>324,571428571429</v>
      </c>
      <c r="Q184" s="4" t="str">
        <f t="shared" si="137"/>
        <v>1+65,6450239331086i</v>
      </c>
      <c r="R184" s="4">
        <f t="shared" si="146"/>
        <v>65.65264021483371</v>
      </c>
      <c r="S184" s="4">
        <f t="shared" si="147"/>
        <v>1.5555640578699836</v>
      </c>
      <c r="T184" s="4" t="str">
        <f t="shared" si="138"/>
        <v>1+0,0005743939594147i</v>
      </c>
      <c r="U184" s="4">
        <f t="shared" si="148"/>
        <v>1.0000001649641967</v>
      </c>
      <c r="V184" s="4">
        <f t="shared" si="149"/>
        <v>5.7439389624508192E-4</v>
      </c>
      <c r="W184" t="str">
        <f t="shared" si="139"/>
        <v>1-0,00498605867547483i</v>
      </c>
      <c r="X184" s="4">
        <f t="shared" si="150"/>
        <v>1.0000124303133013</v>
      </c>
      <c r="Y184" s="4">
        <f t="shared" si="151"/>
        <v>-4.9860173569867012E-3</v>
      </c>
      <c r="Z184" t="str">
        <f t="shared" si="140"/>
        <v>0,999999164281548+0,00427504670835211i</v>
      </c>
      <c r="AA184" s="4">
        <f t="shared" si="152"/>
        <v>1.0000083022596127</v>
      </c>
      <c r="AB184" s="4">
        <f t="shared" si="153"/>
        <v>4.2750242376915406E-3</v>
      </c>
      <c r="AC184" s="48" t="str">
        <f t="shared" si="154"/>
        <v>0,0323599412759155-4,94368341817533i</v>
      </c>
      <c r="AD184" s="20">
        <f t="shared" si="155"/>
        <v>13.881199111022791</v>
      </c>
      <c r="AE184" s="44">
        <f t="shared" si="156"/>
        <v>-89.624963529431454</v>
      </c>
      <c r="AF184" t="str">
        <f t="shared" si="141"/>
        <v>-20791,6666666667</v>
      </c>
      <c r="AG184" t="str">
        <f t="shared" si="157"/>
        <v>2871,9697970735i</v>
      </c>
      <c r="AH184">
        <f t="shared" si="158"/>
        <v>2871.9697970735001</v>
      </c>
      <c r="AI184">
        <f t="shared" si="159"/>
        <v>1.5707963267948966</v>
      </c>
      <c r="AJ184" t="str">
        <f t="shared" si="142"/>
        <v>0,846139385521147+3,36944953335278i</v>
      </c>
      <c r="AK184">
        <f t="shared" si="160"/>
        <v>3.4740670715375335</v>
      </c>
      <c r="AL184">
        <f t="shared" si="161"/>
        <v>1.3247629255340925</v>
      </c>
      <c r="AM184" t="str">
        <f t="shared" si="143"/>
        <v>1+4,63191288872014i</v>
      </c>
      <c r="AN184">
        <f t="shared" si="162"/>
        <v>4.7386302882469904</v>
      </c>
      <c r="AO184">
        <f t="shared" si="163"/>
        <v>1.358166277296311</v>
      </c>
      <c r="AP184" t="str">
        <f t="shared" si="144"/>
        <v>1+3,25336738612486i</v>
      </c>
      <c r="AQ184">
        <f t="shared" si="164"/>
        <v>3.4035862482242023</v>
      </c>
      <c r="AR184">
        <f t="shared" si="165"/>
        <v>1.2725883532008595</v>
      </c>
      <c r="AS184" s="42" t="str">
        <f t="shared" si="166"/>
        <v>-32,4379038661215+8,79627715499096i</v>
      </c>
      <c r="AT184">
        <f t="shared" si="167"/>
        <v>30.529216460252574</v>
      </c>
      <c r="AU184" s="44">
        <f t="shared" si="168"/>
        <v>164.82781277347897</v>
      </c>
      <c r="AV184" s="42" t="str">
        <f t="shared" si="145"/>
        <v>42,4363208485818+160,647374475492i</v>
      </c>
      <c r="AW184" s="20">
        <f t="shared" si="169"/>
        <v>44.410415571275337</v>
      </c>
      <c r="AX184" s="44">
        <f t="shared" si="170"/>
        <v>75.202849244047457</v>
      </c>
    </row>
    <row r="185" spans="14:50" x14ac:dyDescent="0.3">
      <c r="N185" s="8">
        <v>67</v>
      </c>
      <c r="O185" s="35">
        <f t="shared" si="171"/>
        <v>467.7351412871983</v>
      </c>
      <c r="P185" s="34" t="str">
        <f t="shared" si="136"/>
        <v>324,571428571429</v>
      </c>
      <c r="Q185" s="4" t="str">
        <f t="shared" si="137"/>
        <v>1+67,1740929688523i</v>
      </c>
      <c r="R185" s="4">
        <f t="shared" si="146"/>
        <v>67.181535902270156</v>
      </c>
      <c r="S185" s="4">
        <f t="shared" si="147"/>
        <v>1.5559107348288117</v>
      </c>
      <c r="T185" s="4" t="str">
        <f t="shared" si="138"/>
        <v>1+0,000587773313477458i</v>
      </c>
      <c r="U185" s="4">
        <f t="shared" si="148"/>
        <v>1.0000001727387191</v>
      </c>
      <c r="V185" s="4">
        <f t="shared" si="149"/>
        <v>5.8777324578999327E-4</v>
      </c>
      <c r="W185" t="str">
        <f t="shared" si="139"/>
        <v>1-0,00510219890171405i</v>
      </c>
      <c r="X185" s="4">
        <f t="shared" si="150"/>
        <v>1.0000130161321066</v>
      </c>
      <c r="Y185" s="4">
        <f t="shared" si="151"/>
        <v>-5.1021546281874806E-3</v>
      </c>
      <c r="Z185" t="str">
        <f t="shared" si="140"/>
        <v>0,99999912489535+0,00437462533832962i</v>
      </c>
      <c r="AA185" s="4">
        <f t="shared" si="152"/>
        <v>1.0000086935313695</v>
      </c>
      <c r="AB185" s="4">
        <f t="shared" si="153"/>
        <v>4.3746012605942967E-3</v>
      </c>
      <c r="AC185" s="48" t="str">
        <f t="shared" si="154"/>
        <v>0,0289711319184669-4,83119427929053i</v>
      </c>
      <c r="AD185" s="20">
        <f t="shared" si="155"/>
        <v>13.681246217176504</v>
      </c>
      <c r="AE185" s="44">
        <f t="shared" si="156"/>
        <v>-89.656419594397974</v>
      </c>
      <c r="AF185" t="str">
        <f t="shared" si="141"/>
        <v>-20791,6666666667</v>
      </c>
      <c r="AG185" t="str">
        <f t="shared" si="157"/>
        <v>2938,86656738729i</v>
      </c>
      <c r="AH185">
        <f t="shared" si="158"/>
        <v>2938.8665673872902</v>
      </c>
      <c r="AI185">
        <f t="shared" si="159"/>
        <v>1.5707963267948966</v>
      </c>
      <c r="AJ185" t="str">
        <f t="shared" si="142"/>
        <v>0,83888815815854+3,44793409532355i</v>
      </c>
      <c r="AK185">
        <f t="shared" si="160"/>
        <v>3.5485184045729921</v>
      </c>
      <c r="AL185">
        <f t="shared" si="161"/>
        <v>1.3321318326036444</v>
      </c>
      <c r="AM185" t="str">
        <f t="shared" si="143"/>
        <v>1+4,73980399988222i</v>
      </c>
      <c r="AN185">
        <f t="shared" si="162"/>
        <v>4.8441451214119802</v>
      </c>
      <c r="AO185">
        <f t="shared" si="163"/>
        <v>1.3628664876370722</v>
      </c>
      <c r="AP185" t="str">
        <f t="shared" si="144"/>
        <v>1+3,32914804753632i</v>
      </c>
      <c r="AQ185">
        <f t="shared" si="164"/>
        <v>3.4760936009283312</v>
      </c>
      <c r="AR185">
        <f t="shared" si="165"/>
        <v>1.2789935597436979</v>
      </c>
      <c r="AS185" s="42" t="str">
        <f t="shared" si="166"/>
        <v>-32,4339417488775+8,66523243149729i</v>
      </c>
      <c r="AT185">
        <f t="shared" si="167"/>
        <v>30.519419619985875</v>
      </c>
      <c r="AU185" s="44">
        <f t="shared" si="168"/>
        <v>165.04189901593315</v>
      </c>
      <c r="AV185" s="42" t="str">
        <f t="shared" si="145"/>
        <v>40,9237733467299+156,945715423896i</v>
      </c>
      <c r="AW185" s="20">
        <f t="shared" si="169"/>
        <v>44.200665837162354</v>
      </c>
      <c r="AX185" s="44">
        <f t="shared" si="170"/>
        <v>75.385479421535138</v>
      </c>
    </row>
    <row r="186" spans="14:50" x14ac:dyDescent="0.3">
      <c r="N186" s="8">
        <v>68</v>
      </c>
      <c r="O186" s="35">
        <f t="shared" si="171"/>
        <v>478.63009232263886</v>
      </c>
      <c r="P186" s="34" t="str">
        <f t="shared" si="136"/>
        <v>324,571428571429</v>
      </c>
      <c r="Q186" s="4" t="str">
        <f t="shared" si="137"/>
        <v>1+68,7387785978425i</v>
      </c>
      <c r="R186" s="4">
        <f t="shared" si="146"/>
        <v>68.746052127545553</v>
      </c>
      <c r="S186" s="4">
        <f t="shared" si="147"/>
        <v>1.5562495239143326</v>
      </c>
      <c r="T186" s="4" t="str">
        <f t="shared" si="138"/>
        <v>1+0,000601464312731122i</v>
      </c>
      <c r="U186" s="4">
        <f t="shared" si="148"/>
        <v>1.0000001808796433</v>
      </c>
      <c r="V186" s="4">
        <f t="shared" si="149"/>
        <v>6.0146424020269759E-4</v>
      </c>
      <c r="W186" t="str">
        <f t="shared" si="139"/>
        <v>1-0,00522104438134655i</v>
      </c>
      <c r="X186" s="4">
        <f t="shared" si="150"/>
        <v>1.0000136295593336</v>
      </c>
      <c r="Y186" s="4">
        <f t="shared" si="151"/>
        <v>-5.2209969414430402E-3</v>
      </c>
      <c r="Z186" t="str">
        <f t="shared" si="140"/>
        <v>0,999999083652939+0,00447652345256652i</v>
      </c>
      <c r="AA186" s="4">
        <f t="shared" si="152"/>
        <v>1.0000091032430349</v>
      </c>
      <c r="AB186" s="4">
        <f t="shared" si="153"/>
        <v>4.4764976528209434E-3</v>
      </c>
      <c r="AC186" s="48" t="str">
        <f t="shared" si="154"/>
        <v>0,0257347809526897-4,72126216220591i</v>
      </c>
      <c r="AD186" s="20">
        <f t="shared" si="155"/>
        <v>13.481291365553691</v>
      </c>
      <c r="AE186" s="44">
        <f t="shared" si="156"/>
        <v>-89.68769373914553</v>
      </c>
      <c r="AF186" t="str">
        <f t="shared" si="141"/>
        <v>-20791,6666666667</v>
      </c>
      <c r="AG186" t="str">
        <f t="shared" si="157"/>
        <v>3007,32156365561i</v>
      </c>
      <c r="AH186">
        <f t="shared" si="158"/>
        <v>3007.3215636556101</v>
      </c>
      <c r="AI186">
        <f t="shared" si="159"/>
        <v>1.5707963267948966</v>
      </c>
      <c r="AJ186" t="str">
        <f t="shared" si="142"/>
        <v>0,831295190978745+3,52824679759048i</v>
      </c>
      <c r="AK186">
        <f t="shared" si="160"/>
        <v>3.6248554673603008</v>
      </c>
      <c r="AL186">
        <f t="shared" si="161"/>
        <v>1.3394050365428098</v>
      </c>
      <c r="AM186" t="str">
        <f t="shared" si="143"/>
        <v>1+4,85020821786376i</v>
      </c>
      <c r="AN186">
        <f t="shared" si="162"/>
        <v>4.9522237183545288</v>
      </c>
      <c r="AO186">
        <f t="shared" si="163"/>
        <v>1.3674687333075333</v>
      </c>
      <c r="AP186" t="str">
        <f t="shared" si="144"/>
        <v>1+3,40669386730907i</v>
      </c>
      <c r="AQ186">
        <f t="shared" si="164"/>
        <v>3.5504313971067276</v>
      </c>
      <c r="AR186">
        <f t="shared" si="165"/>
        <v>1.2852768722672245</v>
      </c>
      <c r="AS186" s="42" t="str">
        <f t="shared" si="166"/>
        <v>-32,4298526758804+8,53875059051023i</v>
      </c>
      <c r="AT186">
        <f t="shared" si="167"/>
        <v>30.510002441627616</v>
      </c>
      <c r="AU186" s="44">
        <f t="shared" si="168"/>
        <v>165.24887166884054</v>
      </c>
      <c r="AV186" s="42" t="str">
        <f t="shared" si="145"/>
        <v>39,4791049205475+153,329579240603i</v>
      </c>
      <c r="AW186" s="20">
        <f t="shared" si="169"/>
        <v>43.991293807181329</v>
      </c>
      <c r="AX186" s="44">
        <f t="shared" si="170"/>
        <v>75.561177929695063</v>
      </c>
    </row>
    <row r="187" spans="14:50" x14ac:dyDescent="0.3">
      <c r="N187" s="8">
        <v>69</v>
      </c>
      <c r="O187" s="35">
        <f t="shared" si="171"/>
        <v>489.77881936844625</v>
      </c>
      <c r="P187" s="34" t="str">
        <f t="shared" si="136"/>
        <v>324,571428571429</v>
      </c>
      <c r="Q187" s="4" t="str">
        <f t="shared" si="137"/>
        <v>1+70,3399104371106i</v>
      </c>
      <c r="R187" s="4">
        <f t="shared" si="146"/>
        <v>70.347018417987996</v>
      </c>
      <c r="S187" s="4">
        <f t="shared" si="147"/>
        <v>1.5565806044457404</v>
      </c>
      <c r="T187" s="4" t="str">
        <f t="shared" si="138"/>
        <v>1+0,000615474216324718i</v>
      </c>
      <c r="U187" s="4">
        <f t="shared" si="148"/>
        <v>1.0000001894042376</v>
      </c>
      <c r="V187" s="4">
        <f t="shared" si="149"/>
        <v>6.1547413860911179E-4</v>
      </c>
      <c r="W187" t="str">
        <f t="shared" si="139"/>
        <v>1-0,00534265812781873i</v>
      </c>
      <c r="X187" s="4">
        <f t="shared" si="150"/>
        <v>1.0000142718960918</v>
      </c>
      <c r="Y187" s="4">
        <f t="shared" si="151"/>
        <v>-5.3426072950854622E-3</v>
      </c>
      <c r="Z187" t="str">
        <f t="shared" si="140"/>
        <v>0,999999040466832+0,00458079507879178i</v>
      </c>
      <c r="AA187" s="4">
        <f t="shared" si="152"/>
        <v>1.0000095322636371</v>
      </c>
      <c r="AB187" s="4">
        <f t="shared" si="153"/>
        <v>4.5807674338805213E-3</v>
      </c>
      <c r="AC187" s="48" t="str">
        <f t="shared" si="154"/>
        <v>0,0226440325692964-4,61382908244864i</v>
      </c>
      <c r="AD187" s="20">
        <f t="shared" si="155"/>
        <v>13.281334651859931</v>
      </c>
      <c r="AE187" s="44">
        <f t="shared" si="156"/>
        <v>-89.718802526618333</v>
      </c>
      <c r="AF187" t="str">
        <f t="shared" si="141"/>
        <v>-20791,6666666667</v>
      </c>
      <c r="AG187" t="str">
        <f t="shared" si="157"/>
        <v>3077,37108162359i</v>
      </c>
      <c r="AH187">
        <f t="shared" si="158"/>
        <v>3077.3710816235898</v>
      </c>
      <c r="AI187">
        <f t="shared" si="159"/>
        <v>1.5707963267948966</v>
      </c>
      <c r="AJ187" t="str">
        <f t="shared" si="142"/>
        <v>0,823344378280369+3,61043022301134i</v>
      </c>
      <c r="AK187">
        <f t="shared" si="160"/>
        <v>3.7031206246191335</v>
      </c>
      <c r="AL187">
        <f t="shared" si="161"/>
        <v>1.3465845012424986</v>
      </c>
      <c r="AM187" t="str">
        <f t="shared" si="143"/>
        <v>1+4,96318408044252i</v>
      </c>
      <c r="AN187">
        <f t="shared" si="162"/>
        <v>5.0629236826519586</v>
      </c>
      <c r="AO187">
        <f t="shared" si="163"/>
        <v>1.3719746742849102</v>
      </c>
      <c r="AP187" t="str">
        <f t="shared" si="144"/>
        <v>1+3,4860459612632i</v>
      </c>
      <c r="AQ187">
        <f t="shared" si="164"/>
        <v>3.6266398282762329</v>
      </c>
      <c r="AR187">
        <f t="shared" si="165"/>
        <v>1.2914396369965773</v>
      </c>
      <c r="AS187" s="42" t="str">
        <f t="shared" si="166"/>
        <v>-32,4256286842412+8,41676449442022i</v>
      </c>
      <c r="AT187">
        <f t="shared" si="167"/>
        <v>30.500947687375426</v>
      </c>
      <c r="AU187" s="44">
        <f t="shared" si="168"/>
        <v>165.44879045224792</v>
      </c>
      <c r="AV187" s="42" t="str">
        <f t="shared" si="145"/>
        <v>38,0992658124713+149,796898129373i</v>
      </c>
      <c r="AW187" s="20">
        <f t="shared" si="169"/>
        <v>43.782282339235373</v>
      </c>
      <c r="AX187" s="44">
        <f t="shared" si="170"/>
        <v>75.729987925629615</v>
      </c>
    </row>
    <row r="188" spans="14:50" x14ac:dyDescent="0.3">
      <c r="N188" s="8">
        <v>70</v>
      </c>
      <c r="O188" s="35">
        <f t="shared" si="171"/>
        <v>501.18723362727269</v>
      </c>
      <c r="P188" s="34" t="str">
        <f t="shared" si="136"/>
        <v>324,571428571429</v>
      </c>
      <c r="Q188" s="4" t="str">
        <f t="shared" si="137"/>
        <v>1+71,9783374279511i</v>
      </c>
      <c r="R188" s="4">
        <f t="shared" si="146"/>
        <v>71.985283627224703</v>
      </c>
      <c r="S188" s="4">
        <f t="shared" si="147"/>
        <v>1.5569041516758195</v>
      </c>
      <c r="T188" s="4" t="str">
        <f t="shared" si="138"/>
        <v>1+0,000629810452494572i</v>
      </c>
      <c r="U188" s="4">
        <f t="shared" si="148"/>
        <v>1.0000001983305833</v>
      </c>
      <c r="V188" s="4">
        <f t="shared" si="149"/>
        <v>6.298103692208006E-4</v>
      </c>
      <c r="W188" t="str">
        <f t="shared" si="139"/>
        <v>1-0,00546710462234872i</v>
      </c>
      <c r="X188" s="4">
        <f t="shared" si="150"/>
        <v>1.0000149445048068</v>
      </c>
      <c r="Y188" s="4">
        <f t="shared" si="151"/>
        <v>-5.4670501541376482E-3</v>
      </c>
      <c r="Z188" t="str">
        <f t="shared" si="140"/>
        <v>0,999998995245427+0,00468749550320178i</v>
      </c>
      <c r="AA188" s="4">
        <f t="shared" si="152"/>
        <v>1.0000099815031629</v>
      </c>
      <c r="AB188" s="4">
        <f t="shared" si="153"/>
        <v>4.6874658811615994E-3</v>
      </c>
      <c r="AC188" s="48" t="str">
        <f t="shared" si="154"/>
        <v>0,0196923390166092-4,50883836035912i</v>
      </c>
      <c r="AD188" s="20">
        <f t="shared" si="155"/>
        <v>13.081376167856247</v>
      </c>
      <c r="AE188" s="44">
        <f t="shared" si="156"/>
        <v>-89.749762433190881</v>
      </c>
      <c r="AF188" t="str">
        <f t="shared" si="141"/>
        <v>-20791,6666666667</v>
      </c>
      <c r="AG188" t="str">
        <f t="shared" si="157"/>
        <v>3149,05226247286i</v>
      </c>
      <c r="AH188">
        <f t="shared" si="158"/>
        <v>3149.0522624728601</v>
      </c>
      <c r="AI188">
        <f t="shared" si="159"/>
        <v>1.5707963267948966</v>
      </c>
      <c r="AJ188" t="str">
        <f t="shared" si="142"/>
        <v>0,815018855323694+3,69452794632615i</v>
      </c>
      <c r="AK188">
        <f t="shared" si="160"/>
        <v>3.7833573028089833</v>
      </c>
      <c r="AL188">
        <f t="shared" si="161"/>
        <v>1.3536722471084424</v>
      </c>
      <c r="AM188" t="str">
        <f t="shared" si="143"/>
        <v>1+5,07879148891622i</v>
      </c>
      <c r="AN188">
        <f t="shared" si="162"/>
        <v>5.176303989130453</v>
      </c>
      <c r="AO188">
        <f t="shared" si="163"/>
        <v>1.3763859674415102</v>
      </c>
      <c r="AP188" t="str">
        <f t="shared" si="144"/>
        <v>1+3,56724640292926i</v>
      </c>
      <c r="AQ188">
        <f t="shared" si="164"/>
        <v>3.7047600326082857</v>
      </c>
      <c r="AR188">
        <f t="shared" si="165"/>
        <v>1.2974832483131624</v>
      </c>
      <c r="AS188" s="42" t="str">
        <f t="shared" si="166"/>
        <v>-32,4212614885952+8,29920926810286i</v>
      </c>
      <c r="AT188">
        <f t="shared" si="167"/>
        <v>30.492238666011886</v>
      </c>
      <c r="AU188" s="44">
        <f t="shared" si="168"/>
        <v>165.64171442939406</v>
      </c>
      <c r="AV188" s="42" t="str">
        <f t="shared" si="145"/>
        <v>36,7813426360906+146,345658333489i</v>
      </c>
      <c r="AW188" s="20">
        <f t="shared" si="169"/>
        <v>43.57361483386812</v>
      </c>
      <c r="AX188" s="44">
        <f t="shared" si="170"/>
        <v>75.891951996203147</v>
      </c>
    </row>
    <row r="189" spans="14:50" x14ac:dyDescent="0.3">
      <c r="N189" s="8">
        <v>71</v>
      </c>
      <c r="O189" s="35">
        <f t="shared" si="171"/>
        <v>512.86138399136519</v>
      </c>
      <c r="P189" s="34" t="str">
        <f t="shared" si="136"/>
        <v>324,571428571429</v>
      </c>
      <c r="Q189" s="4" t="str">
        <f t="shared" si="137"/>
        <v>1+73,6549282860418i</v>
      </c>
      <c r="R189" s="4">
        <f t="shared" si="146"/>
        <v>73.661716385256454</v>
      </c>
      <c r="S189" s="4">
        <f t="shared" si="147"/>
        <v>1.55722033688248</v>
      </c>
      <c r="T189" s="4" t="str">
        <f t="shared" si="138"/>
        <v>1+0,000644480622502866i</v>
      </c>
      <c r="U189" s="4">
        <f t="shared" si="148"/>
        <v>1.0000002076776149</v>
      </c>
      <c r="V189" s="4">
        <f t="shared" si="149"/>
        <v>6.4448053327341328E-4</v>
      </c>
      <c r="W189" t="str">
        <f t="shared" si="139"/>
        <v>1-0,00559444984811516i</v>
      </c>
      <c r="X189" s="4">
        <f t="shared" si="150"/>
        <v>1.0000156488121088</v>
      </c>
      <c r="Y189" s="4">
        <f t="shared" si="151"/>
        <v>-5.5943914844248021E-3</v>
      </c>
      <c r="Z189" t="str">
        <f t="shared" si="140"/>
        <v>0,999998947892803+0,00479668129977393i</v>
      </c>
      <c r="AA189" s="4">
        <f t="shared" si="152"/>
        <v>1.000010451914481</v>
      </c>
      <c r="AB189" s="4">
        <f t="shared" si="153"/>
        <v>4.7966495592038864E-3</v>
      </c>
      <c r="AC189" s="48" t="str">
        <f t="shared" si="154"/>
        <v>0,0168734467809306-4,40623459238611i</v>
      </c>
      <c r="AD189" s="20">
        <f t="shared" si="155"/>
        <v>12.881416001553351</v>
      </c>
      <c r="AE189" s="44">
        <f t="shared" si="156"/>
        <v>-89.780589857318574</v>
      </c>
      <c r="AF189" t="str">
        <f t="shared" si="141"/>
        <v>-20791,6666666667</v>
      </c>
      <c r="AG189" t="str">
        <f t="shared" si="157"/>
        <v>3222,40311251433i</v>
      </c>
      <c r="AH189">
        <f t="shared" si="158"/>
        <v>3222.4031125143301</v>
      </c>
      <c r="AI189">
        <f t="shared" si="159"/>
        <v>1.5707963267948966</v>
      </c>
      <c r="AJ189" t="str">
        <f t="shared" si="142"/>
        <v>0,806300962558307+3,78058455726095i</v>
      </c>
      <c r="AK189">
        <f t="shared" si="160"/>
        <v>3.8656100213061357</v>
      </c>
      <c r="AL189">
        <f t="shared" si="161"/>
        <v>1.3606703467332406</v>
      </c>
      <c r="AM189" t="str">
        <f t="shared" si="143"/>
        <v>1+5,19709173986311i</v>
      </c>
      <c r="AN189">
        <f t="shared" si="162"/>
        <v>5.2924250162428725</v>
      </c>
      <c r="AO189">
        <f t="shared" si="163"/>
        <v>1.3807042646429686</v>
      </c>
      <c r="AP189" t="str">
        <f t="shared" si="144"/>
        <v>1+3,65033824585623i</v>
      </c>
      <c r="AQ189">
        <f t="shared" si="164"/>
        <v>3.7848341191075652</v>
      </c>
      <c r="AR189">
        <f t="shared" si="165"/>
        <v>1.3034091439731761</v>
      </c>
      <c r="AS189" s="42" t="str">
        <f t="shared" si="166"/>
        <v>-32,416742467582+8,18602226101399i</v>
      </c>
      <c r="AT189">
        <f t="shared" si="167"/>
        <v>30.483859215091403</v>
      </c>
      <c r="AU189" s="44">
        <f t="shared" si="168"/>
        <v>165.82770187176143</v>
      </c>
      <c r="AV189" s="42" t="str">
        <f t="shared" si="145"/>
        <v>35,5225522816847+142,9738984441i</v>
      </c>
      <c r="AW189" s="20">
        <f t="shared" si="169"/>
        <v>43.365275216644726</v>
      </c>
      <c r="AX189" s="44">
        <f t="shared" si="170"/>
        <v>76.047112014442845</v>
      </c>
    </row>
    <row r="190" spans="14:50" x14ac:dyDescent="0.3">
      <c r="N190" s="8">
        <v>72</v>
      </c>
      <c r="O190" s="35">
        <f t="shared" si="171"/>
        <v>524.80746024977248</v>
      </c>
      <c r="P190" s="34" t="str">
        <f t="shared" si="136"/>
        <v>324,571428571429</v>
      </c>
      <c r="Q190" s="4" t="str">
        <f t="shared" si="137"/>
        <v>1+75,3705719620482i</v>
      </c>
      <c r="R190" s="4">
        <f t="shared" si="146"/>
        <v>75.377205559016886</v>
      </c>
      <c r="S190" s="4">
        <f t="shared" si="147"/>
        <v>1.557529327458278</v>
      </c>
      <c r="T190" s="4" t="str">
        <f t="shared" si="138"/>
        <v>1+0,000659492504667922i</v>
      </c>
      <c r="U190" s="4">
        <f t="shared" si="148"/>
        <v>1.0000002174651583</v>
      </c>
      <c r="V190" s="4">
        <f t="shared" si="149"/>
        <v>6.5949240905684191E-4</v>
      </c>
      <c r="W190" t="str">
        <f t="shared" si="139"/>
        <v>1-0,00572476132524238i</v>
      </c>
      <c r="X190" s="4">
        <f t="shared" si="150"/>
        <v>1.0000163863118599</v>
      </c>
      <c r="Y190" s="4">
        <f t="shared" si="151"/>
        <v>-5.7246987874767811E-3</v>
      </c>
      <c r="Z190" t="str">
        <f t="shared" si="140"/>
        <v>0,999998898308519+0,00490841036026281i</v>
      </c>
      <c r="AA190" s="4">
        <f t="shared" si="152"/>
        <v>1.0000109444953671</v>
      </c>
      <c r="AB190" s="4">
        <f t="shared" si="153"/>
        <v>4.9083763496492946E-3</v>
      </c>
      <c r="AC190" s="48" t="str">
        <f t="shared" si="154"/>
        <v>0,0141813833849628-4,30596362296865i</v>
      </c>
      <c r="AD190" s="20">
        <f t="shared" si="155"/>
        <v>12.681454237397872</v>
      </c>
      <c r="AE190" s="44">
        <f t="shared" si="156"/>
        <v>-89.811301128151825</v>
      </c>
      <c r="AF190" t="str">
        <f t="shared" si="141"/>
        <v>-20791,6666666667</v>
      </c>
      <c r="AG190" t="str">
        <f t="shared" si="157"/>
        <v>3297,46252333961i</v>
      </c>
      <c r="AH190">
        <f t="shared" si="158"/>
        <v>3297.46252333961</v>
      </c>
      <c r="AI190">
        <f t="shared" si="159"/>
        <v>1.5707963267948966</v>
      </c>
      <c r="AJ190" t="str">
        <f t="shared" si="142"/>
        <v>0,797172208164823+3,86864568416997i</v>
      </c>
      <c r="AK190">
        <f t="shared" si="160"/>
        <v>3.9499244244817286</v>
      </c>
      <c r="AL190">
        <f t="shared" si="161"/>
        <v>1.3675809207848004</v>
      </c>
      <c r="AM190" t="str">
        <f t="shared" si="143"/>
        <v>1+5,31814755764212i</v>
      </c>
      <c r="AN190">
        <f t="shared" si="162"/>
        <v>5.4113485791302383</v>
      </c>
      <c r="AO190">
        <f t="shared" si="163"/>
        <v>1.3849312109874707</v>
      </c>
      <c r="AP190" t="str">
        <f t="shared" si="144"/>
        <v>1+3,73536554643911i</v>
      </c>
      <c r="AQ190">
        <f t="shared" si="164"/>
        <v>3.866905192207891</v>
      </c>
      <c r="AR190">
        <f t="shared" si="165"/>
        <v>1.3092188005396828</v>
      </c>
      <c r="AS190" s="42" t="str">
        <f t="shared" si="166"/>
        <v>-32,4120626495187+8,07714301011542i</v>
      </c>
      <c r="AT190">
        <f t="shared" si="167"/>
        <v>30.475793682951821</v>
      </c>
      <c r="AU190" s="44">
        <f t="shared" si="168"/>
        <v>166.00681013204394</v>
      </c>
      <c r="AV190" s="42" t="str">
        <f t="shared" si="145"/>
        <v>34,3202360923422+139,67970777589i</v>
      </c>
      <c r="AW190" s="20">
        <f t="shared" si="169"/>
        <v>43.157247920349697</v>
      </c>
      <c r="AX190" s="44">
        <f t="shared" si="170"/>
        <v>76.195509003892127</v>
      </c>
    </row>
    <row r="191" spans="14:50" x14ac:dyDescent="0.3">
      <c r="N191" s="8">
        <v>73</v>
      </c>
      <c r="O191" s="35">
        <f t="shared" si="171"/>
        <v>537.03179637025301</v>
      </c>
      <c r="P191" s="34" t="str">
        <f t="shared" si="136"/>
        <v>324,571428571429</v>
      </c>
      <c r="Q191" s="4" t="str">
        <f t="shared" si="137"/>
        <v>1+77,1261781129561i</v>
      </c>
      <c r="R191" s="4">
        <f t="shared" si="146"/>
        <v>77.132660723661203</v>
      </c>
      <c r="S191" s="4">
        <f t="shared" si="147"/>
        <v>1.557831286997964</v>
      </c>
      <c r="T191" s="4" t="str">
        <f t="shared" si="138"/>
        <v>1+0,000674854058488366i</v>
      </c>
      <c r="U191" s="4">
        <f t="shared" si="148"/>
        <v>1.0000002277139741</v>
      </c>
      <c r="V191" s="4">
        <f t="shared" si="149"/>
        <v>6.7485395603924918E-4</v>
      </c>
      <c r="W191" t="str">
        <f t="shared" si="139"/>
        <v>1-0,0058581081466004i</v>
      </c>
      <c r="X191" s="4">
        <f t="shared" si="150"/>
        <v>1.0000171585683204</v>
      </c>
      <c r="Y191" s="4">
        <f t="shared" si="151"/>
        <v>-5.8580411362393527E-3</v>
      </c>
      <c r="Z191" t="str">
        <f t="shared" si="140"/>
        <v>0,999998846387399+0,00502274192489518i</v>
      </c>
      <c r="AA191" s="4">
        <f t="shared" si="152"/>
        <v>1.0000114602906174</v>
      </c>
      <c r="AB191" s="4">
        <f t="shared" si="153"/>
        <v>5.0227054818887127E-3</v>
      </c>
      <c r="AC191" s="48" t="str">
        <f t="shared" si="154"/>
        <v>0,01161044477681-4,20797251699593i</v>
      </c>
      <c r="AD191" s="20">
        <f t="shared" si="155"/>
        <v>12.48149095645115</v>
      </c>
      <c r="AE191" s="44">
        <f t="shared" si="156"/>
        <v>-89.841912514117837</v>
      </c>
      <c r="AF191" t="str">
        <f t="shared" si="141"/>
        <v>-20791,6666666667</v>
      </c>
      <c r="AG191" t="str">
        <f t="shared" si="157"/>
        <v>3374,27029244183i</v>
      </c>
      <c r="AH191">
        <f t="shared" si="158"/>
        <v>3374.27029244183</v>
      </c>
      <c r="AI191">
        <f t="shared" si="159"/>
        <v>1.5707963267948966</v>
      </c>
      <c r="AJ191" t="str">
        <f t="shared" si="142"/>
        <v>0,78761322883126+3,95875801822832i</v>
      </c>
      <c r="AK191">
        <f t="shared" si="160"/>
        <v>4.03634731472863</v>
      </c>
      <c r="AL191">
        <f t="shared" si="161"/>
        <v>1.3744061341096743</v>
      </c>
      <c r="AM191" t="str">
        <f t="shared" si="143"/>
        <v>1+5,44202312765018i</v>
      </c>
      <c r="AN191">
        <f t="shared" si="162"/>
        <v>5.5331379633874525</v>
      </c>
      <c r="AO191">
        <f t="shared" si="163"/>
        <v>1.3890684431794804</v>
      </c>
      <c r="AP191" t="str">
        <f t="shared" si="144"/>
        <v>1+3,8223733872781i</v>
      </c>
      <c r="AQ191">
        <f t="shared" si="164"/>
        <v>3.9510173767995322</v>
      </c>
      <c r="AR191">
        <f t="shared" si="165"/>
        <v>1.3149137290278878</v>
      </c>
      <c r="AS191" s="42" t="str">
        <f t="shared" si="166"/>
        <v>-32,4072126972551+7,97251320357747i</v>
      </c>
      <c r="AT191">
        <f t="shared" si="167"/>
        <v>30.468026910602276</v>
      </c>
      <c r="AU191" s="44">
        <f t="shared" si="168"/>
        <v>166.17909552472312</v>
      </c>
      <c r="AV191" s="42" t="str">
        <f t="shared" si="145"/>
        <v>33,1718542986494+136,461224806774i</v>
      </c>
      <c r="AW191" s="20">
        <f t="shared" si="169"/>
        <v>42.949517867053459</v>
      </c>
      <c r="AX191" s="44">
        <f t="shared" si="170"/>
        <v>76.337183010605315</v>
      </c>
    </row>
    <row r="192" spans="14:50" x14ac:dyDescent="0.3">
      <c r="N192" s="8">
        <v>74</v>
      </c>
      <c r="O192" s="35">
        <f t="shared" si="171"/>
        <v>549.54087385762534</v>
      </c>
      <c r="P192" s="34" t="str">
        <f t="shared" si="136"/>
        <v>324,571428571429</v>
      </c>
      <c r="Q192" s="4" t="str">
        <f t="shared" si="137"/>
        <v>1+78,9226775843854i</v>
      </c>
      <c r="R192" s="4">
        <f t="shared" si="146"/>
        <v>78.929012644837059</v>
      </c>
      <c r="S192" s="4">
        <f t="shared" si="147"/>
        <v>1.5581263753840962</v>
      </c>
      <c r="T192" s="4" t="str">
        <f t="shared" si="138"/>
        <v>1+0,000690573428863372i</v>
      </c>
      <c r="U192" s="4">
        <f t="shared" si="148"/>
        <v>1.0000002384458018</v>
      </c>
      <c r="V192" s="4">
        <f t="shared" si="149"/>
        <v>6.9057331908716694E-4</v>
      </c>
      <c r="W192" t="str">
        <f t="shared" si="139"/>
        <v>1-0,00599456101443899i</v>
      </c>
      <c r="X192" s="4">
        <f t="shared" si="150"/>
        <v>1.0000179672194673</v>
      </c>
      <c r="Y192" s="4">
        <f t="shared" si="151"/>
        <v>-5.9944892116131519E-3</v>
      </c>
      <c r="Z192" t="str">
        <f t="shared" si="140"/>
        <v>0,999998792019312+0,00513973661377999i</v>
      </c>
      <c r="AA192" s="4">
        <f t="shared" si="152"/>
        <v>1.0000120003942663</v>
      </c>
      <c r="AB192" s="4">
        <f t="shared" si="153"/>
        <v>5.1396975644202609E-3</v>
      </c>
      <c r="AC192" s="48" t="str">
        <f t="shared" si="154"/>
        <v>0,00915518328329337-4,11220953283596i</v>
      </c>
      <c r="AD192" s="20">
        <f t="shared" si="155"/>
        <v>12.281526236560707</v>
      </c>
      <c r="AE192" s="44">
        <f t="shared" si="156"/>
        <v>-89.872440231474371</v>
      </c>
      <c r="AF192" t="str">
        <f t="shared" si="141"/>
        <v>-20791,6666666667</v>
      </c>
      <c r="AG192" t="str">
        <f t="shared" si="157"/>
        <v>3452,86714431686i</v>
      </c>
      <c r="AH192">
        <f t="shared" si="158"/>
        <v>3452.86714431686</v>
      </c>
      <c r="AI192">
        <f t="shared" si="159"/>
        <v>1.5707963267948966</v>
      </c>
      <c r="AJ192" t="str">
        <f t="shared" si="142"/>
        <v>0,777603748680858+4,05096933818828i</v>
      </c>
      <c r="AK192">
        <f t="shared" si="160"/>
        <v>4.1249266864883936</v>
      </c>
      <c r="AL192">
        <f t="shared" si="161"/>
        <v>1.3811481920488806</v>
      </c>
      <c r="AM192" t="str">
        <f t="shared" si="143"/>
        <v>1+5,56878413035423i</v>
      </c>
      <c r="AN192">
        <f t="shared" si="162"/>
        <v>5.657857959553696</v>
      </c>
      <c r="AO192">
        <f t="shared" si="163"/>
        <v>1.3931175880315514</v>
      </c>
      <c r="AP192" t="str">
        <f t="shared" si="144"/>
        <v>1+3,91140790108214i</v>
      </c>
      <c r="AQ192">
        <f t="shared" si="164"/>
        <v>4.0372158437031569</v>
      </c>
      <c r="AR192">
        <f t="shared" si="165"/>
        <v>1.3204954707622132</v>
      </c>
      <c r="AS192" s="42" t="str">
        <f t="shared" si="166"/>
        <v>-32,402182892192+7,87207664520386i</v>
      </c>
      <c r="AT192">
        <f t="shared" si="167"/>
        <v>30.460544213531684</v>
      </c>
      <c r="AU192" s="44">
        <f t="shared" si="168"/>
        <v>166.34461321394349</v>
      </c>
      <c r="AV192" s="42" t="str">
        <f t="shared" si="145"/>
        <v>32,0749807004658+133,316635678473i</v>
      </c>
      <c r="AW192" s="20">
        <f t="shared" si="169"/>
        <v>42.742070450092378</v>
      </c>
      <c r="AX192" s="44">
        <f t="shared" si="170"/>
        <v>76.472172982469104</v>
      </c>
    </row>
    <row r="193" spans="14:50" x14ac:dyDescent="0.3">
      <c r="N193" s="8">
        <v>75</v>
      </c>
      <c r="O193" s="35">
        <f t="shared" si="171"/>
        <v>562.34132519034927</v>
      </c>
      <c r="P193" s="34" t="str">
        <f t="shared" si="136"/>
        <v>324,571428571429</v>
      </c>
      <c r="Q193" s="4" t="str">
        <f t="shared" si="137"/>
        <v>1+80,7610229041349i</v>
      </c>
      <c r="R193" s="4">
        <f t="shared" si="146"/>
        <v>80.767213772187304</v>
      </c>
      <c r="S193" s="4">
        <f t="shared" si="147"/>
        <v>1.5584147488707611</v>
      </c>
      <c r="T193" s="4" t="str">
        <f t="shared" si="138"/>
        <v>1+0,00070665895041118i</v>
      </c>
      <c r="U193" s="4">
        <f t="shared" si="148"/>
        <v>1.0000002496834051</v>
      </c>
      <c r="V193" s="4">
        <f t="shared" si="149"/>
        <v>7.0665883278385867E-4</v>
      </c>
      <c r="W193" t="str">
        <f t="shared" si="139"/>
        <v>1-0,00613419227787483i</v>
      </c>
      <c r="X193" s="4">
        <f t="shared" si="150"/>
        <v>1.000018813980468</v>
      </c>
      <c r="Y193" s="4">
        <f t="shared" si="151"/>
        <v>-6.1341153398389511E-3</v>
      </c>
      <c r="Z193" t="str">
        <f t="shared" si="140"/>
        <v>0,999998735088936+0,00525945645904987i</v>
      </c>
      <c r="AA193" s="4">
        <f t="shared" si="152"/>
        <v>1.0000125659519068</v>
      </c>
      <c r="AB193" s="4">
        <f t="shared" si="153"/>
        <v>5.2594146169353852E-3</v>
      </c>
      <c r="AC193" s="48" t="str">
        <f t="shared" si="154"/>
        <v>0,00681039610247992-4,01862409592412i</v>
      </c>
      <c r="AD193" s="20">
        <f t="shared" si="155"/>
        <v>12.081560152525155</v>
      </c>
      <c r="AE193" s="44">
        <f t="shared" si="156"/>
        <v>-89.902900452839575</v>
      </c>
      <c r="AF193" t="str">
        <f t="shared" si="141"/>
        <v>-20791,6666666667</v>
      </c>
      <c r="AG193" t="str">
        <f t="shared" si="157"/>
        <v>3533,2947520559i</v>
      </c>
      <c r="AH193">
        <f t="shared" si="158"/>
        <v>3533.2947520559001</v>
      </c>
      <c r="AI193">
        <f t="shared" si="159"/>
        <v>1.5707963267948966</v>
      </c>
      <c r="AJ193" t="str">
        <f t="shared" si="142"/>
        <v>0,767122536264224+4,14532853571227i</v>
      </c>
      <c r="AK193">
        <f t="shared" si="160"/>
        <v>4.2157117613322299</v>
      </c>
      <c r="AL193">
        <f t="shared" si="161"/>
        <v>1.3878093369629134</v>
      </c>
      <c r="AM193" t="str">
        <f t="shared" si="143"/>
        <v>1+5,69849777611575i</v>
      </c>
      <c r="AN193">
        <f t="shared" si="162"/>
        <v>5.7855748983481456</v>
      </c>
      <c r="AO193">
        <f t="shared" si="163"/>
        <v>1.3970802610879014</v>
      </c>
      <c r="AP193" t="str">
        <f t="shared" si="144"/>
        <v>1+4,00251629512892i</v>
      </c>
      <c r="AQ193">
        <f t="shared" si="164"/>
        <v>4.125546835605256</v>
      </c>
      <c r="AR193">
        <f t="shared" si="165"/>
        <v>1.3259655934427783</v>
      </c>
      <c r="AS193" s="42" t="str">
        <f t="shared" si="166"/>
        <v>-32,3969631174444+7,77577921952309i</v>
      </c>
      <c r="AT193">
        <f t="shared" si="167"/>
        <v>30.453331363477893</v>
      </c>
      <c r="AU193" s="44">
        <f t="shared" si="168"/>
        <v>166.50341710837867</v>
      </c>
      <c r="AV193" s="42" t="str">
        <f t="shared" si="145"/>
        <v>31,0272975848143+130,244172755017i</v>
      </c>
      <c r="AW193" s="20">
        <f t="shared" si="169"/>
        <v>42.534891516003022</v>
      </c>
      <c r="AX193" s="44">
        <f t="shared" si="170"/>
        <v>76.600516655539053</v>
      </c>
    </row>
    <row r="194" spans="14:50" x14ac:dyDescent="0.3">
      <c r="N194" s="8">
        <v>76</v>
      </c>
      <c r="O194" s="35">
        <f t="shared" si="171"/>
        <v>575.43993733715706</v>
      </c>
      <c r="P194" s="34" t="str">
        <f t="shared" si="136"/>
        <v>324,571428571429</v>
      </c>
      <c r="Q194" s="4" t="str">
        <f t="shared" si="137"/>
        <v>1+82,6421887872267i</v>
      </c>
      <c r="R194" s="4">
        <f t="shared" si="146"/>
        <v>82.648238744353279</v>
      </c>
      <c r="S194" s="4">
        <f t="shared" si="147"/>
        <v>1.558696560165441</v>
      </c>
      <c r="T194" s="4" t="str">
        <f t="shared" si="138"/>
        <v>1+0,000723119151888234i</v>
      </c>
      <c r="U194" s="4">
        <f t="shared" si="148"/>
        <v>1.0000002614506198</v>
      </c>
      <c r="V194" s="4">
        <f t="shared" si="149"/>
        <v>7.2311902584829013E-4</v>
      </c>
      <c r="W194" t="str">
        <f t="shared" si="139"/>
        <v>1-0,00627707597125203i</v>
      </c>
      <c r="X194" s="4">
        <f t="shared" si="150"/>
        <v>1.0000197006473168</v>
      </c>
      <c r="Y194" s="4">
        <f t="shared" si="151"/>
        <v>-6.2769935307489949E-3</v>
      </c>
      <c r="Z194" t="str">
        <f t="shared" si="140"/>
        <v>0,999998675475514+0,00538196493775149i</v>
      </c>
      <c r="AA194" s="4">
        <f t="shared" si="152"/>
        <v>1.0000131581631182</v>
      </c>
      <c r="AB194" s="4">
        <f t="shared" si="153"/>
        <v>5.3819201031498239E-3</v>
      </c>
      <c r="AC194" s="48" t="str">
        <f t="shared" si="154"/>
        <v>0,00457111431141203-3,92716677290231i</v>
      </c>
      <c r="AD194" s="20">
        <f t="shared" si="155"/>
        <v>11.881592776252525</v>
      </c>
      <c r="AE194" s="44">
        <f t="shared" si="156"/>
        <v>-89.933309315702189</v>
      </c>
      <c r="AF194" t="str">
        <f t="shared" si="141"/>
        <v>-20791,6666666667</v>
      </c>
      <c r="AG194" t="str">
        <f t="shared" si="157"/>
        <v>3615,59575944117i</v>
      </c>
      <c r="AH194">
        <f t="shared" si="158"/>
        <v>3615.5957594411698</v>
      </c>
      <c r="AI194">
        <f t="shared" si="159"/>
        <v>1.5707963267948966</v>
      </c>
      <c r="AJ194" t="str">
        <f t="shared" si="142"/>
        <v>0,756147359524581+4,24188564129581i</v>
      </c>
      <c r="AK194">
        <f t="shared" si="160"/>
        <v>4.3087530241529928</v>
      </c>
      <c r="AL194">
        <f t="shared" si="161"/>
        <v>1.3943918449619128</v>
      </c>
      <c r="AM194" t="str">
        <f t="shared" si="143"/>
        <v>1+5,83123284082671i</v>
      </c>
      <c r="AN194">
        <f t="shared" si="162"/>
        <v>5.9163566866726303</v>
      </c>
      <c r="AO194">
        <f t="shared" si="163"/>
        <v>1.4009580653635738</v>
      </c>
      <c r="AP194" t="str">
        <f t="shared" si="144"/>
        <v>1+4,09574687629496i</v>
      </c>
      <c r="AQ194">
        <f t="shared" si="164"/>
        <v>4.2160576934714644</v>
      </c>
      <c r="AR194">
        <f t="shared" si="165"/>
        <v>1.3313256874181407</v>
      </c>
      <c r="AS194" s="42" t="str">
        <f t="shared" si="166"/>
        <v>-32,3915428401331+7,68356885749274i</v>
      </c>
      <c r="AT194">
        <f t="shared" si="167"/>
        <v>30.446374570193665</v>
      </c>
      <c r="AU194" s="44">
        <f t="shared" si="168"/>
        <v>166.6555597627804</v>
      </c>
      <c r="AV194" s="42" t="str">
        <f t="shared" si="145"/>
        <v>30,0265908694072+127,24211323638i</v>
      </c>
      <c r="AW194" s="20">
        <f t="shared" si="169"/>
        <v>42.327967346446222</v>
      </c>
      <c r="AX194" s="44">
        <f t="shared" si="170"/>
        <v>76.722250447078267</v>
      </c>
    </row>
    <row r="195" spans="14:50" x14ac:dyDescent="0.3">
      <c r="N195" s="8">
        <v>77</v>
      </c>
      <c r="O195" s="35">
        <f t="shared" si="171"/>
        <v>588.84365535558959</v>
      </c>
      <c r="P195" s="34" t="str">
        <f t="shared" si="136"/>
        <v>324,571428571429</v>
      </c>
      <c r="Q195" s="4" t="str">
        <f t="shared" si="137"/>
        <v>1+84,5671726527122i</v>
      </c>
      <c r="R195" s="4">
        <f t="shared" si="146"/>
        <v>84.573084905740757</v>
      </c>
      <c r="S195" s="4">
        <f t="shared" si="147"/>
        <v>1.5589719585090656</v>
      </c>
      <c r="T195" s="4" t="str">
        <f t="shared" si="138"/>
        <v>1+0,000739962760711232i</v>
      </c>
      <c r="U195" s="4">
        <f t="shared" si="148"/>
        <v>1.0000002737724061</v>
      </c>
      <c r="V195" s="4">
        <f t="shared" si="149"/>
        <v>7.3996262565700097E-4</v>
      </c>
      <c r="W195" t="str">
        <f t="shared" si="139"/>
        <v>1-0,00642328785339611i</v>
      </c>
      <c r="X195" s="4">
        <f t="shared" si="150"/>
        <v>1.0000206291006439</v>
      </c>
      <c r="Y195" s="4">
        <f t="shared" si="151"/>
        <v>-6.4231995169039919E-3</v>
      </c>
      <c r="Z195" t="str">
        <f t="shared" si="140"/>
        <v>0,999998613052598+0,00550732700550182i</v>
      </c>
      <c r="AA195" s="4">
        <f t="shared" si="152"/>
        <v>1.0000137782840119</v>
      </c>
      <c r="AB195" s="4">
        <f t="shared" si="153"/>
        <v>5.507278964396246E-3</v>
      </c>
      <c r="AC195" s="48" t="str">
        <f t="shared" si="154"/>
        <v>0,00243259236609572-3,83778924629951i</v>
      </c>
      <c r="AD195" s="20">
        <f t="shared" si="155"/>
        <v>11.681624176912415</v>
      </c>
      <c r="AE195" s="44">
        <f t="shared" si="156"/>
        <v>-89.963682930916121</v>
      </c>
      <c r="AF195" t="str">
        <f t="shared" si="141"/>
        <v>-20791,6666666667</v>
      </c>
      <c r="AG195" t="str">
        <f t="shared" si="157"/>
        <v>3699,81380355616i</v>
      </c>
      <c r="AH195">
        <f t="shared" si="158"/>
        <v>3699.8138035561601</v>
      </c>
      <c r="AI195">
        <f t="shared" si="159"/>
        <v>1.5707963267948966</v>
      </c>
      <c r="AJ195" t="str">
        <f t="shared" si="142"/>
        <v>0,744654938640597+4,34069185079436i</v>
      </c>
      <c r="AK195">
        <f t="shared" si="160"/>
        <v>4.4041022605287443</v>
      </c>
      <c r="AL195">
        <f t="shared" si="161"/>
        <v>1.4008980228363344</v>
      </c>
      <c r="AM195" t="str">
        <f t="shared" si="143"/>
        <v>1+5,96705970237537i</v>
      </c>
      <c r="AN195">
        <f t="shared" si="162"/>
        <v>6.0502728444023122</v>
      </c>
      <c r="AO195">
        <f t="shared" si="163"/>
        <v>1.4047525901931284</v>
      </c>
      <c r="AP195" t="str">
        <f t="shared" si="144"/>
        <v>1+4,19114907666842i</v>
      </c>
      <c r="AQ195">
        <f t="shared" si="164"/>
        <v>4.3087968834534953</v>
      </c>
      <c r="AR195">
        <f t="shared" si="165"/>
        <v>1.3365773621603636</v>
      </c>
      <c r="AS195" s="42" t="str">
        <f t="shared" si="166"/>
        <v>-32,3859110927839+7,59539550275834i</v>
      </c>
      <c r="AT195">
        <f t="shared" si="167"/>
        <v>30.439660463240131</v>
      </c>
      <c r="AU195" s="44">
        <f t="shared" si="168"/>
        <v>166.80109228591053</v>
      </c>
      <c r="AV195" s="42" t="str">
        <f t="shared" si="145"/>
        <v>29,0707454617843+124,308777824616i</v>
      </c>
      <c r="AW195" s="20">
        <f t="shared" si="169"/>
        <v>42.121284640152581</v>
      </c>
      <c r="AX195" s="44">
        <f t="shared" si="170"/>
        <v>76.837409354994449</v>
      </c>
    </row>
    <row r="196" spans="14:50" x14ac:dyDescent="0.3">
      <c r="N196" s="8">
        <v>78</v>
      </c>
      <c r="O196" s="35">
        <f t="shared" si="171"/>
        <v>602.55958607435832</v>
      </c>
      <c r="P196" s="34" t="str">
        <f t="shared" si="136"/>
        <v>324,571428571429</v>
      </c>
      <c r="Q196" s="4" t="str">
        <f t="shared" si="137"/>
        <v>1+86,536995152517i</v>
      </c>
      <c r="R196" s="4">
        <f t="shared" si="146"/>
        <v>86.542772835325479</v>
      </c>
      <c r="S196" s="4">
        <f t="shared" si="147"/>
        <v>1.5592410897542865</v>
      </c>
      <c r="T196" s="4" t="str">
        <f t="shared" si="138"/>
        <v>1+0,000757198707584524i</v>
      </c>
      <c r="U196" s="4">
        <f t="shared" si="148"/>
        <v>1.0000002866749003</v>
      </c>
      <c r="V196" s="4">
        <f t="shared" si="149"/>
        <v>7.5719856287131038E-4</v>
      </c>
      <c r="W196" t="str">
        <f t="shared" si="139"/>
        <v>1-0,00657290544778233i</v>
      </c>
      <c r="X196" s="4">
        <f t="shared" si="150"/>
        <v>1.0000216013097045</v>
      </c>
      <c r="Y196" s="4">
        <f t="shared" si="151"/>
        <v>-6.5728107936360962E-3</v>
      </c>
      <c r="Z196" t="str">
        <f t="shared" si="140"/>
        <v>0,999998547687781+0,00563560913092856i</v>
      </c>
      <c r="AA196" s="4">
        <f t="shared" si="152"/>
        <v>1.0000144276298955</v>
      </c>
      <c r="AB196" s="4">
        <f t="shared" si="153"/>
        <v>5.6355576539964961E-3</v>
      </c>
      <c r="AC196" s="48" t="str">
        <f t="shared" si="154"/>
        <v>0,000390298071811733-3,75044428974479i</v>
      </c>
      <c r="AD196" s="20">
        <f t="shared" si="155"/>
        <v>11.481654421082666</v>
      </c>
      <c r="AE196" s="44">
        <f t="shared" si="156"/>
        <v>-89.994037391183952</v>
      </c>
      <c r="AF196" t="str">
        <f t="shared" si="141"/>
        <v>-20791,6666666667</v>
      </c>
      <c r="AG196" t="str">
        <f t="shared" si="157"/>
        <v>3785,99353792262i</v>
      </c>
      <c r="AH196">
        <f t="shared" si="158"/>
        <v>3785.9935379226199</v>
      </c>
      <c r="AI196">
        <f t="shared" si="159"/>
        <v>1.5707963267948966</v>
      </c>
      <c r="AJ196" t="str">
        <f t="shared" si="142"/>
        <v>0,732620896646762+4,44179955256804i</v>
      </c>
      <c r="AK196">
        <f t="shared" si="160"/>
        <v>4.501812595321705</v>
      </c>
      <c r="AL196">
        <f t="shared" si="161"/>
        <v>1.4073302051829126</v>
      </c>
      <c r="AM196" t="str">
        <f t="shared" si="143"/>
        <v>1+6,1060503779616i</v>
      </c>
      <c r="AN196">
        <f t="shared" si="162"/>
        <v>6.1873945419865546</v>
      </c>
      <c r="AO196">
        <f t="shared" si="163"/>
        <v>1.4084654101829879</v>
      </c>
      <c r="AP196" t="str">
        <f t="shared" si="144"/>
        <v>1+4,28877347975874i</v>
      </c>
      <c r="AQ196">
        <f t="shared" si="164"/>
        <v>4.4038140243068735</v>
      </c>
      <c r="AR196">
        <f t="shared" si="165"/>
        <v>1.3417222429379352</v>
      </c>
      <c r="AS196" s="42" t="str">
        <f t="shared" si="166"/>
        <v>-32,3800564538161+7,51121107841155i</v>
      </c>
      <c r="AT196">
        <f t="shared" si="167"/>
        <v>30.433176073835419</v>
      </c>
      <c r="AU196" s="44">
        <f t="shared" si="168"/>
        <v>166.94006425455663</v>
      </c>
      <c r="AV196" s="42" t="str">
        <f t="shared" si="145"/>
        <v>28,1577408244973+121,442529440029i</v>
      </c>
      <c r="AW196" s="20">
        <f t="shared" si="169"/>
        <v>41.914830494918064</v>
      </c>
      <c r="AX196" s="44">
        <f t="shared" si="170"/>
        <v>76.946026863372666</v>
      </c>
    </row>
    <row r="197" spans="14:50" x14ac:dyDescent="0.3">
      <c r="N197" s="8">
        <v>79</v>
      </c>
      <c r="O197" s="35">
        <f t="shared" si="171"/>
        <v>616.59500186148273</v>
      </c>
      <c r="P197" s="34" t="str">
        <f t="shared" si="136"/>
        <v>324,571428571429</v>
      </c>
      <c r="Q197" s="4" t="str">
        <f t="shared" si="137"/>
        <v>1+88,5527007126043i</v>
      </c>
      <c r="R197" s="4">
        <f t="shared" si="146"/>
        <v>88.558346887778285</v>
      </c>
      <c r="S197" s="4">
        <f t="shared" si="147"/>
        <v>1.5595040964420146</v>
      </c>
      <c r="T197" s="4" t="str">
        <f t="shared" si="138"/>
        <v>1+0,000774836131235288i</v>
      </c>
      <c r="U197" s="4">
        <f t="shared" si="148"/>
        <v>1.00000030018547</v>
      </c>
      <c r="V197" s="4">
        <f t="shared" si="149"/>
        <v>7.7483597617228838E-4</v>
      </c>
      <c r="W197" t="str">
        <f t="shared" si="139"/>
        <v>1-0,00672600808363965i</v>
      </c>
      <c r="X197" s="4">
        <f t="shared" si="150"/>
        <v>1.0000226193365533</v>
      </c>
      <c r="Y197" s="4">
        <f t="shared" si="151"/>
        <v>-6.7259066600185401E-3</v>
      </c>
      <c r="Z197" t="str">
        <f t="shared" si="140"/>
        <v>0,999998479242415+0,00576687933091263i</v>
      </c>
      <c r="AA197" s="4">
        <f t="shared" si="152"/>
        <v>1.0000151075780606</v>
      </c>
      <c r="AB197" s="4">
        <f t="shared" si="153"/>
        <v>5.7668241724310324E-3</v>
      </c>
      <c r="AC197" s="48" t="str">
        <f t="shared" si="154"/>
        <v>-0,00156009699721913-3,6650857437032i</v>
      </c>
      <c r="AD197" s="20">
        <f t="shared" si="155"/>
        <v>11.281683572890147</v>
      </c>
      <c r="AE197" s="44">
        <f t="shared" si="156"/>
        <v>-90.024388779533069</v>
      </c>
      <c r="AF197" t="str">
        <f t="shared" si="141"/>
        <v>-20791,6666666667</v>
      </c>
      <c r="AG197" t="str">
        <f t="shared" si="157"/>
        <v>3874,18065617644i</v>
      </c>
      <c r="AH197">
        <f t="shared" si="158"/>
        <v>3874.1806561764402</v>
      </c>
      <c r="AI197">
        <f t="shared" si="159"/>
        <v>1.5707963267948966</v>
      </c>
      <c r="AJ197" t="str">
        <f t="shared" si="142"/>
        <v>0,720019707726571+4,54526235525866i</v>
      </c>
      <c r="AK197">
        <f t="shared" si="160"/>
        <v>4.6019385325801734</v>
      </c>
      <c r="AL197">
        <f t="shared" si="161"/>
        <v>1.4136907517202548</v>
      </c>
      <c r="AM197" t="str">
        <f t="shared" si="143"/>
        <v>1+6,24827856228136i</v>
      </c>
      <c r="AN197">
        <f t="shared" si="162"/>
        <v>6.3277946388820823</v>
      </c>
      <c r="AO197">
        <f t="shared" si="163"/>
        <v>1.4120980842617241</v>
      </c>
      <c r="AP197" t="str">
        <f t="shared" si="144"/>
        <v>1+4,38867184731667i</v>
      </c>
      <c r="AQ197">
        <f t="shared" si="164"/>
        <v>4.5011599153362578</v>
      </c>
      <c r="AR197">
        <f t="shared" si="165"/>
        <v>1.3467619676814975</v>
      </c>
      <c r="AS197" s="42" t="str">
        <f t="shared" si="166"/>
        <v>-32,3739670270987+7,43096945418822i</v>
      </c>
      <c r="AT197">
        <f t="shared" si="167"/>
        <v>30.426908816781499</v>
      </c>
      <c r="AU197" s="44">
        <f t="shared" si="168"/>
        <v>167.07252363334237</v>
      </c>
      <c r="AV197" s="42" t="str">
        <f t="shared" si="145"/>
        <v>27,2856467371862+118,641771985005i</v>
      </c>
      <c r="AW197" s="20">
        <f t="shared" si="169"/>
        <v>41.708592389671644</v>
      </c>
      <c r="AX197" s="44">
        <f t="shared" si="170"/>
        <v>77.048134853809316</v>
      </c>
    </row>
    <row r="198" spans="14:50" x14ac:dyDescent="0.3">
      <c r="N198" s="8">
        <v>80</v>
      </c>
      <c r="O198" s="35">
        <f t="shared" si="171"/>
        <v>630.95734448019323</v>
      </c>
      <c r="P198" s="34" t="str">
        <f t="shared" si="136"/>
        <v>324,571428571429</v>
      </c>
      <c r="Q198" s="4" t="str">
        <f t="shared" si="137"/>
        <v>1+90,6153580867429i</v>
      </c>
      <c r="R198" s="4">
        <f t="shared" si="146"/>
        <v>90.620875747195498</v>
      </c>
      <c r="S198" s="4">
        <f t="shared" si="147"/>
        <v>1.5597611178762503</v>
      </c>
      <c r="T198" s="4" t="str">
        <f t="shared" si="138"/>
        <v>1+0,000792884383259i</v>
      </c>
      <c r="U198" s="4">
        <f t="shared" si="148"/>
        <v>1.0000003143327734</v>
      </c>
      <c r="V198" s="4">
        <f t="shared" si="149"/>
        <v>7.9288421710600526E-4</v>
      </c>
      <c r="W198" t="str">
        <f t="shared" si="139"/>
        <v>1-0,00688267693801215i</v>
      </c>
      <c r="X198" s="4">
        <f t="shared" si="150"/>
        <v>1.0000236853404187</v>
      </c>
      <c r="Y198" s="4">
        <f t="shared" si="151"/>
        <v>-6.882568260783142E-3</v>
      </c>
      <c r="Z198" t="str">
        <f t="shared" si="140"/>
        <v>0,999998407571318+0,00590120720665161i</v>
      </c>
      <c r="AA198" s="4">
        <f t="shared" si="152"/>
        <v>1.0000158195707045</v>
      </c>
      <c r="AB198" s="4">
        <f t="shared" si="153"/>
        <v>5.9011481033240942E-3</v>
      </c>
      <c r="AC198" s="48" t="str">
        <f t="shared" si="154"/>
        <v>-0,00342272664885578-3,58166849172573i</v>
      </c>
      <c r="AD198" s="20">
        <f t="shared" si="155"/>
        <v>11.081711694146641</v>
      </c>
      <c r="AE198" s="44">
        <f t="shared" si="156"/>
        <v>-90.054753177789394</v>
      </c>
      <c r="AF198" t="str">
        <f t="shared" si="141"/>
        <v>-20791,6666666667</v>
      </c>
      <c r="AG198" t="str">
        <f t="shared" si="157"/>
        <v>3964,421916295i</v>
      </c>
      <c r="AH198">
        <f t="shared" si="158"/>
        <v>3964.4219162949998</v>
      </c>
      <c r="AI198">
        <f t="shared" si="159"/>
        <v>1.5707963267948966</v>
      </c>
      <c r="AJ198" t="str">
        <f t="shared" si="142"/>
        <v>0,706824643068859+4,6511351162137i</v>
      </c>
      <c r="AK198">
        <f t="shared" si="160"/>
        <v>4.7045359968147382</v>
      </c>
      <c r="AL198">
        <f t="shared" si="161"/>
        <v>1.4199820447880129</v>
      </c>
      <c r="AM198" t="str">
        <f t="shared" si="143"/>
        <v>1+6,39381966660057i</v>
      </c>
      <c r="AN198">
        <f t="shared" si="162"/>
        <v>6.4715477228409757</v>
      </c>
      <c r="AO198">
        <f t="shared" si="163"/>
        <v>1.415652154822755</v>
      </c>
      <c r="AP198" t="str">
        <f t="shared" si="144"/>
        <v>1+4,49089714677898i</v>
      </c>
      <c r="AQ198">
        <f t="shared" si="164"/>
        <v>4.6008865648859008</v>
      </c>
      <c r="AR198">
        <f t="shared" si="165"/>
        <v>1.3516981840369477</v>
      </c>
      <c r="AS198" s="42" t="str">
        <f t="shared" si="166"/>
        <v>-32,3676304205541+7,35462641404705i</v>
      </c>
      <c r="AT198">
        <f t="shared" si="167"/>
        <v>30.420846472489238</v>
      </c>
      <c r="AU198" s="44">
        <f t="shared" si="168"/>
        <v>167.19851670004942</v>
      </c>
      <c r="AV198" s="42" t="str">
        <f t="shared" si="145"/>
        <v>26,4526192468069+115,904949153302i</v>
      </c>
      <c r="AW198" s="20">
        <f t="shared" si="169"/>
        <v>41.502558166635872</v>
      </c>
      <c r="AX198" s="44">
        <f t="shared" si="170"/>
        <v>77.143763522260002</v>
      </c>
    </row>
    <row r="199" spans="14:50" x14ac:dyDescent="0.3">
      <c r="N199" s="8">
        <v>81</v>
      </c>
      <c r="O199" s="35">
        <f t="shared" si="171"/>
        <v>645.65422903465594</v>
      </c>
      <c r="P199" s="34" t="str">
        <f t="shared" si="136"/>
        <v>324,571428571429</v>
      </c>
      <c r="Q199" s="4" t="str">
        <f t="shared" si="137"/>
        <v>1+92,7260609231751i</v>
      </c>
      <c r="R199" s="4">
        <f t="shared" si="146"/>
        <v>92.731452993730116</v>
      </c>
      <c r="S199" s="4">
        <f t="shared" si="147"/>
        <v>1.5600122901972513</v>
      </c>
      <c r="T199" s="4" t="str">
        <f t="shared" si="138"/>
        <v>1+0,000811353033077782i</v>
      </c>
      <c r="U199" s="4">
        <f t="shared" si="148"/>
        <v>1.000000329146818</v>
      </c>
      <c r="V199" s="4">
        <f t="shared" si="149"/>
        <v>8.113528550416436E-4</v>
      </c>
      <c r="W199" t="str">
        <f t="shared" si="139"/>
        <v>1-0,00704299507880019i</v>
      </c>
      <c r="X199" s="4">
        <f t="shared" si="150"/>
        <v>1.0000248015822808</v>
      </c>
      <c r="Y199" s="4">
        <f t="shared" si="151"/>
        <v>-7.0428786292072495E-3</v>
      </c>
      <c r="Z199" t="str">
        <f t="shared" si="140"/>
        <v>0,999998332522466+0,00603866398056328i</v>
      </c>
      <c r="AA199" s="4">
        <f t="shared" si="152"/>
        <v>1.0000165651179895</v>
      </c>
      <c r="AB199" s="4">
        <f t="shared" si="153"/>
        <v>6.0386006502633535E-3</v>
      </c>
      <c r="AC199" s="48" t="str">
        <f t="shared" si="154"/>
        <v>-0,00520153881389764-3,50014843720405i</v>
      </c>
      <c r="AD199" s="20">
        <f t="shared" si="155"/>
        <v>10.881738844479909</v>
      </c>
      <c r="AE199" s="44">
        <f t="shared" si="156"/>
        <v>-90.08514667505203</v>
      </c>
      <c r="AF199" t="str">
        <f t="shared" si="141"/>
        <v>-20791,6666666667</v>
      </c>
      <c r="AG199" t="str">
        <f t="shared" si="157"/>
        <v>4056,76516538891i</v>
      </c>
      <c r="AH199">
        <f t="shared" si="158"/>
        <v>4056.7651653889102</v>
      </c>
      <c r="AI199">
        <f t="shared" si="159"/>
        <v>1.5707963267948966</v>
      </c>
      <c r="AJ199" t="str">
        <f t="shared" si="142"/>
        <v>0,69300771417239+4,75947397057242i</v>
      </c>
      <c r="AK199">
        <f t="shared" si="160"/>
        <v>4.809662375724395</v>
      </c>
      <c r="AL199">
        <f t="shared" si="161"/>
        <v>1.4262064870233102</v>
      </c>
      <c r="AM199" t="str">
        <f t="shared" si="143"/>
        <v>1+6,54275085873923i</v>
      </c>
      <c r="AN199">
        <f t="shared" si="162"/>
        <v>6.618730150076594</v>
      </c>
      <c r="AO199">
        <f t="shared" si="163"/>
        <v>1.4191291469541156</v>
      </c>
      <c r="AP199" t="str">
        <f t="shared" si="144"/>
        <v>1+4,59550357935256i</v>
      </c>
      <c r="AQ199">
        <f t="shared" si="164"/>
        <v>4.7030472193932082</v>
      </c>
      <c r="AR199">
        <f t="shared" si="165"/>
        <v>1.3565325466001235</v>
      </c>
      <c r="AS199" s="42" t="str">
        <f t="shared" si="166"/>
        <v>-32,3610337237876+7,2821396240673i</v>
      </c>
      <c r="AT199">
        <f t="shared" si="167"/>
        <v>30.414977169118092</v>
      </c>
      <c r="AU199" s="44">
        <f t="shared" si="168"/>
        <v>167.31808797617717</v>
      </c>
      <c r="AV199" s="42" t="str">
        <f t="shared" si="145"/>
        <v>25,656896797653+113,23054328272i</v>
      </c>
      <c r="AW199" s="20">
        <f t="shared" si="169"/>
        <v>41.296716013598001</v>
      </c>
      <c r="AX199" s="44">
        <f t="shared" si="170"/>
        <v>77.232941301125109</v>
      </c>
    </row>
    <row r="200" spans="14:50" x14ac:dyDescent="0.3">
      <c r="N200" s="8">
        <v>82</v>
      </c>
      <c r="O200" s="35">
        <f t="shared" si="171"/>
        <v>660.69344800759643</v>
      </c>
      <c r="P200" s="34" t="str">
        <f t="shared" si="136"/>
        <v>324,571428571429</v>
      </c>
      <c r="Q200" s="4" t="str">
        <f t="shared" si="137"/>
        <v>1+94,8859283444834i</v>
      </c>
      <c r="R200" s="4">
        <f t="shared" si="146"/>
        <v>94.89119768342286</v>
      </c>
      <c r="S200" s="4">
        <f t="shared" si="147"/>
        <v>1.5602577464530678</v>
      </c>
      <c r="T200" s="4" t="str">
        <f t="shared" si="138"/>
        <v>1+0,00083025187301423i</v>
      </c>
      <c r="U200" s="4">
        <f t="shared" si="148"/>
        <v>1.0000003446590269</v>
      </c>
      <c r="V200" s="4">
        <f t="shared" si="149"/>
        <v>8.3025168224507419E-4</v>
      </c>
      <c r="W200" t="str">
        <f t="shared" si="139"/>
        <v>1-0,00720704750880408i</v>
      </c>
      <c r="X200" s="4">
        <f t="shared" si="150"/>
        <v>1.0000259704296655</v>
      </c>
      <c r="Y200" s="4">
        <f t="shared" si="151"/>
        <v>-7.2069227309921689E-3</v>
      </c>
      <c r="Z200" t="str">
        <f t="shared" si="140"/>
        <v>0,999998253936671+0,00617932253404861i</v>
      </c>
      <c r="AA200" s="4">
        <f t="shared" si="152"/>
        <v>1.0000173458012469</v>
      </c>
      <c r="AB200" s="4">
        <f t="shared" si="153"/>
        <v>6.1792546744730333E-3</v>
      </c>
      <c r="AC200" s="48" t="str">
        <f t="shared" si="154"/>
        <v>-0,00690030389509433-3,42048248062072i</v>
      </c>
      <c r="AD200" s="20">
        <f t="shared" si="155"/>
        <v>10.681765081459639</v>
      </c>
      <c r="AE200" s="44">
        <f t="shared" si="156"/>
        <v>-90.115585376173925</v>
      </c>
      <c r="AF200" t="str">
        <f t="shared" si="141"/>
        <v>-20791,6666666667</v>
      </c>
      <c r="AG200" t="str">
        <f t="shared" si="157"/>
        <v>4151,25936507115i</v>
      </c>
      <c r="AH200">
        <f t="shared" si="158"/>
        <v>4151.2593650711497</v>
      </c>
      <c r="AI200">
        <f t="shared" si="159"/>
        <v>1.5707963267948966</v>
      </c>
      <c r="AJ200" t="str">
        <f t="shared" si="142"/>
        <v>0,678539613478508+4,87033636102941i</v>
      </c>
      <c r="AK200">
        <f t="shared" si="160"/>
        <v>4.9173765644523053</v>
      </c>
      <c r="AL200">
        <f t="shared" si="161"/>
        <v>1.4323664992078136</v>
      </c>
      <c r="AM200" t="str">
        <f t="shared" si="143"/>
        <v>1+6,69515110398675i</v>
      </c>
      <c r="AN200">
        <f t="shared" si="162"/>
        <v>6.7694200863305127</v>
      </c>
      <c r="AO200">
        <f t="shared" si="163"/>
        <v>1.422530567750153</v>
      </c>
      <c r="AP200" t="str">
        <f t="shared" si="144"/>
        <v>1+4,7025466087526i</v>
      </c>
      <c r="AQ200">
        <f t="shared" si="164"/>
        <v>4.8076963930234387</v>
      </c>
      <c r="AR200">
        <f t="shared" si="165"/>
        <v>1.3612667143270032</v>
      </c>
      <c r="AS200" s="42" t="str">
        <f t="shared" si="166"/>
        <v>-32,3541634847189+7,21346860060254i</v>
      </c>
      <c r="AT200">
        <f t="shared" si="167"/>
        <v>30.409289364843424</v>
      </c>
      <c r="AU200" s="44">
        <f t="shared" si="168"/>
        <v>167.43128016247408</v>
      </c>
      <c r="AV200" s="42" t="str">
        <f t="shared" si="145"/>
        <v>24,8967965331848+110,617074249138i</v>
      </c>
      <c r="AW200" s="20">
        <f t="shared" si="169"/>
        <v>41.09105444630309</v>
      </c>
      <c r="AX200" s="44">
        <f t="shared" si="170"/>
        <v>77.315694786300156</v>
      </c>
    </row>
    <row r="201" spans="14:50" x14ac:dyDescent="0.3">
      <c r="N201" s="8">
        <v>83</v>
      </c>
      <c r="O201" s="35">
        <f t="shared" si="171"/>
        <v>676.08297539198213</v>
      </c>
      <c r="P201" s="34" t="str">
        <f t="shared" si="136"/>
        <v>324,571428571429</v>
      </c>
      <c r="Q201" s="4" t="str">
        <f t="shared" si="137"/>
        <v>1+97,0961055409637i</v>
      </c>
      <c r="R201" s="4">
        <f t="shared" si="146"/>
        <v>97.101254941540091</v>
      </c>
      <c r="S201" s="4">
        <f t="shared" si="147"/>
        <v>1.5604976166694797</v>
      </c>
      <c r="T201" s="4" t="str">
        <f t="shared" si="138"/>
        <v>1+0,000849590923483432i</v>
      </c>
      <c r="U201" s="4">
        <f t="shared" si="148"/>
        <v>1.0000003609023036</v>
      </c>
      <c r="V201" s="4">
        <f t="shared" si="149"/>
        <v>8.4959071907060276E-4</v>
      </c>
      <c r="W201" t="str">
        <f t="shared" si="139"/>
        <v>1-0,00737492121079368i</v>
      </c>
      <c r="X201" s="4">
        <f t="shared" si="150"/>
        <v>1.0000271943616661</v>
      </c>
      <c r="Y201" s="4">
        <f t="shared" si="151"/>
        <v>-7.3747875091557192E-3</v>
      </c>
      <c r="Z201" t="str">
        <f t="shared" si="140"/>
        <v>0,999998171647242+0,0063232574461345i</v>
      </c>
      <c r="AA201" s="4">
        <f t="shared" si="152"/>
        <v>1.0000181632763263</v>
      </c>
      <c r="AB201" s="4">
        <f t="shared" si="153"/>
        <v>6.3231847333603576E-3</v>
      </c>
      <c r="AC201" s="48" t="str">
        <f t="shared" si="154"/>
        <v>-0,00852262274179859-3,34262849728628i</v>
      </c>
      <c r="AD201" s="20">
        <f t="shared" si="155"/>
        <v>10.481790460719733</v>
      </c>
      <c r="AE201" s="44">
        <f t="shared" si="156"/>
        <v>-90.146085410252255</v>
      </c>
      <c r="AF201" t="str">
        <f t="shared" si="141"/>
        <v>-20791,6666666667</v>
      </c>
      <c r="AG201" t="str">
        <f t="shared" si="157"/>
        <v>4247,95461741716i</v>
      </c>
      <c r="AH201">
        <f t="shared" si="158"/>
        <v>4247.9546174171601</v>
      </c>
      <c r="AI201">
        <f t="shared" si="159"/>
        <v>1.5707963267948966</v>
      </c>
      <c r="AJ201" t="str">
        <f t="shared" si="142"/>
        <v>0,663389652205868+4,98378106829154i</v>
      </c>
      <c r="AK201">
        <f t="shared" si="160"/>
        <v>5.0277390114558438</v>
      </c>
      <c r="AL201">
        <f t="shared" si="161"/>
        <v>1.4384645182787059</v>
      </c>
      <c r="AM201" t="str">
        <f t="shared" si="143"/>
        <v>1+6,85110120697039i</v>
      </c>
      <c r="AN201">
        <f t="shared" si="162"/>
        <v>6.9236975488644159</v>
      </c>
      <c r="AO201">
        <f t="shared" si="163"/>
        <v>1.4258579057002052</v>
      </c>
      <c r="AP201" t="str">
        <f t="shared" si="144"/>
        <v>1+4,81208299061016i</v>
      </c>
      <c r="AQ201">
        <f t="shared" si="164"/>
        <v>4.9148898979040849</v>
      </c>
      <c r="AR201">
        <f t="shared" si="165"/>
        <v>1.3659023481131554</v>
      </c>
      <c r="AS201" s="42" t="str">
        <f t="shared" si="166"/>
        <v>-32,3470056851944+7,1485746786246i</v>
      </c>
      <c r="AT201">
        <f t="shared" si="167"/>
        <v>30.403771830262173</v>
      </c>
      <c r="AU201" s="44">
        <f t="shared" si="168"/>
        <v>167.53813407918813</v>
      </c>
      <c r="AV201" s="42" t="str">
        <f t="shared" si="145"/>
        <v>24,1707107620314+108,063098400085i</v>
      </c>
      <c r="AW201" s="20">
        <f t="shared" si="169"/>
        <v>40.885562290981937</v>
      </c>
      <c r="AX201" s="44">
        <f t="shared" si="170"/>
        <v>77.3920486689359</v>
      </c>
    </row>
    <row r="202" spans="14:50" x14ac:dyDescent="0.3">
      <c r="N202" s="8">
        <v>84</v>
      </c>
      <c r="O202" s="35">
        <f t="shared" si="171"/>
        <v>691.83097091893671</v>
      </c>
      <c r="P202" s="34" t="str">
        <f t="shared" si="136"/>
        <v>324,571428571429</v>
      </c>
      <c r="Q202" s="4" t="str">
        <f t="shared" si="137"/>
        <v>1+99,3577643778206i</v>
      </c>
      <c r="R202" s="4">
        <f t="shared" si="146"/>
        <v>99.362796569734869</v>
      </c>
      <c r="S202" s="4">
        <f t="shared" si="147"/>
        <v>1.5607320279183752</v>
      </c>
      <c r="T202" s="4" t="str">
        <f t="shared" si="138"/>
        <v>1+0,00086938043830593i</v>
      </c>
      <c r="U202" s="4">
        <f t="shared" si="148"/>
        <v>1.0000003779111017</v>
      </c>
      <c r="V202" s="4">
        <f t="shared" si="149"/>
        <v>8.6938021927364167E-4</v>
      </c>
      <c r="W202" t="str">
        <f t="shared" si="139"/>
        <v>1-0,00754670519362786i</v>
      </c>
      <c r="X202" s="4">
        <f t="shared" si="150"/>
        <v>1.0000284759741993</v>
      </c>
      <c r="Y202" s="4">
        <f t="shared" si="151"/>
        <v>-7.5465619299619697E-3</v>
      </c>
      <c r="Z202" t="str">
        <f t="shared" si="140"/>
        <v>0,999998085479631+0,00647054503301652i</v>
      </c>
      <c r="AA202" s="4">
        <f t="shared" si="152"/>
        <v>1.0000190192771095</v>
      </c>
      <c r="AB202" s="4">
        <f t="shared" si="153"/>
        <v>6.4704671199551098E-3</v>
      </c>
      <c r="AC202" s="48" t="str">
        <f t="shared" si="154"/>
        <v>-0,0100719342669878-3,26654531555376i</v>
      </c>
      <c r="AD202" s="20">
        <f t="shared" si="155"/>
        <v>10.281815036076019</v>
      </c>
      <c r="AE202" s="44">
        <f t="shared" si="156"/>
        <v>-90.176662939133053</v>
      </c>
      <c r="AF202" t="str">
        <f t="shared" si="141"/>
        <v>-20791,6666666667</v>
      </c>
      <c r="AG202" t="str">
        <f t="shared" si="157"/>
        <v>4346,90219152965i</v>
      </c>
      <c r="AH202">
        <f t="shared" si="158"/>
        <v>4346.9021915296498</v>
      </c>
      <c r="AI202">
        <f t="shared" si="159"/>
        <v>1.5707963267948966</v>
      </c>
      <c r="AJ202" t="str">
        <f t="shared" si="142"/>
        <v>0,647525695255422+5,09986824224423i</v>
      </c>
      <c r="AK202">
        <f t="shared" si="160"/>
        <v>5.1408117660800681</v>
      </c>
      <c r="AL202">
        <f t="shared" si="161"/>
        <v>1.4445029954966504</v>
      </c>
      <c r="AM202" t="str">
        <f t="shared" si="143"/>
        <v>1+7,01068385449901i</v>
      </c>
      <c r="AN202">
        <f t="shared" si="162"/>
        <v>7.0816444494010788</v>
      </c>
      <c r="AO202">
        <f t="shared" si="163"/>
        <v>1.4291126301495163</v>
      </c>
      <c r="AP202" t="str">
        <f t="shared" si="144"/>
        <v>1+4,92417080256479i</v>
      </c>
      <c r="AQ202">
        <f t="shared" si="164"/>
        <v>5.024684874977889</v>
      </c>
      <c r="AR202">
        <f t="shared" si="165"/>
        <v>1.3704411085360284</v>
      </c>
      <c r="AS202" s="42" t="str">
        <f t="shared" si="166"/>
        <v>-32,3395457155554+7,0874209801908i</v>
      </c>
      <c r="AT202">
        <f t="shared" si="167"/>
        <v>30.398413630944191</v>
      </c>
      <c r="AU202" s="44">
        <f t="shared" si="168"/>
        <v>167.63868861078922</v>
      </c>
      <c r="AV202" s="42" t="str">
        <f t="shared" si="145"/>
        <v>23,477103580871+105,567207526049i</v>
      </c>
      <c r="AW202" s="20">
        <f t="shared" si="169"/>
        <v>40.680228667020188</v>
      </c>
      <c r="AX202" s="44">
        <f t="shared" si="170"/>
        <v>77.462025671656164</v>
      </c>
    </row>
    <row r="203" spans="14:50" x14ac:dyDescent="0.3">
      <c r="N203" s="8">
        <v>85</v>
      </c>
      <c r="O203" s="35">
        <f t="shared" si="171"/>
        <v>707.94578438413873</v>
      </c>
      <c r="P203" s="34" t="str">
        <f t="shared" si="136"/>
        <v>324,571428571429</v>
      </c>
      <c r="Q203" s="4" t="str">
        <f t="shared" si="137"/>
        <v>1+101,672104016506i</v>
      </c>
      <c r="R203" s="4">
        <f t="shared" si="146"/>
        <v>101.67702166735222</v>
      </c>
      <c r="S203" s="4">
        <f t="shared" si="147"/>
        <v>1.560961104384597</v>
      </c>
      <c r="T203" s="4" t="str">
        <f t="shared" si="138"/>
        <v>1+0,00088963091014443i</v>
      </c>
      <c r="U203" s="4">
        <f t="shared" si="148"/>
        <v>1.0000003957214998</v>
      </c>
      <c r="V203" s="4">
        <f t="shared" si="149"/>
        <v>8.8963067544710957E-4</v>
      </c>
      <c r="W203" t="str">
        <f t="shared" si="139"/>
        <v>1-0,00772249053944818i</v>
      </c>
      <c r="X203" s="4">
        <f t="shared" si="150"/>
        <v>1.0000298179855098</v>
      </c>
      <c r="Y203" s="4">
        <f t="shared" si="151"/>
        <v>-7.7223370299116479E-3</v>
      </c>
      <c r="Z203" t="str">
        <f t="shared" si="140"/>
        <v>0,999997995251065+0,00662126338852286i</v>
      </c>
      <c r="AA203" s="4">
        <f t="shared" si="152"/>
        <v>1.0000199156191887</v>
      </c>
      <c r="AB203" s="4">
        <f t="shared" si="153"/>
        <v>6.6211799032629901E-3</v>
      </c>
      <c r="AC203" s="48" t="str">
        <f t="shared" si="154"/>
        <v>-0,0115515227226299-3,1921926955019i</v>
      </c>
      <c r="AD203" s="20">
        <f t="shared" si="155"/>
        <v>10.081838859640264</v>
      </c>
      <c r="AE203" s="44">
        <f t="shared" si="156"/>
        <v>-90.207334165934185</v>
      </c>
      <c r="AF203" t="str">
        <f t="shared" si="141"/>
        <v>-20791,6666666667</v>
      </c>
      <c r="AG203" t="str">
        <f t="shared" si="157"/>
        <v>4448,15455072215i</v>
      </c>
      <c r="AH203">
        <f t="shared" si="158"/>
        <v>4448.1545507221499</v>
      </c>
      <c r="AI203">
        <f t="shared" si="159"/>
        <v>1.5707963267948966</v>
      </c>
      <c r="AJ203" t="str">
        <f t="shared" si="142"/>
        <v>0,630914093047559+5,21865943384369i</v>
      </c>
      <c r="AK203">
        <f t="shared" si="160"/>
        <v>5.256658527929293</v>
      </c>
      <c r="AL203">
        <f t="shared" si="161"/>
        <v>1.4504843947637718</v>
      </c>
      <c r="AM203" t="str">
        <f t="shared" si="143"/>
        <v>1+7,17398365940468i</v>
      </c>
      <c r="AN203">
        <f t="shared" si="162"/>
        <v>7.2433446380387956</v>
      </c>
      <c r="AO203">
        <f t="shared" si="163"/>
        <v>1.432296190827842</v>
      </c>
      <c r="AP203" t="str">
        <f t="shared" si="144"/>
        <v>1+5,03886947505805i</v>
      </c>
      <c r="AQ203">
        <f t="shared" si="164"/>
        <v>5.1371398254935388</v>
      </c>
      <c r="AR203">
        <f t="shared" si="165"/>
        <v>1.3748846537535704</v>
      </c>
      <c r="AS203" s="42" t="str">
        <f t="shared" si="166"/>
        <v>-32,3317683481385+7,02997238296301i</v>
      </c>
      <c r="AT203">
        <f t="shared" si="167"/>
        <v>30.393204110134377</v>
      </c>
      <c r="AU203" s="44">
        <f t="shared" si="168"/>
        <v>167.73298065493304</v>
      </c>
      <c r="AV203" s="42" t="str">
        <f t="shared" si="145"/>
        <v>22,8145076472109+103,128027867866i</v>
      </c>
      <c r="AW203" s="20">
        <f t="shared" si="169"/>
        <v>40.475042969774641</v>
      </c>
      <c r="AX203" s="44">
        <f t="shared" si="170"/>
        <v>77.525646488998888</v>
      </c>
    </row>
    <row r="204" spans="14:50" x14ac:dyDescent="0.3">
      <c r="N204" s="8">
        <v>86</v>
      </c>
      <c r="O204" s="35">
        <f t="shared" si="171"/>
        <v>724.43596007499025</v>
      </c>
      <c r="P204" s="34" t="str">
        <f t="shared" si="136"/>
        <v>324,571428571429</v>
      </c>
      <c r="Q204" s="4" t="str">
        <f t="shared" si="137"/>
        <v>1+104,040351550531i</v>
      </c>
      <c r="R204" s="4">
        <f t="shared" si="146"/>
        <v>104.04515726720815</v>
      </c>
      <c r="S204" s="4">
        <f t="shared" si="147"/>
        <v>1.5611849674312968</v>
      </c>
      <c r="T204" s="4" t="str">
        <f t="shared" si="138"/>
        <v>1+0,000910353076067144i</v>
      </c>
      <c r="U204" s="4">
        <f t="shared" si="148"/>
        <v>1.0000004143712757</v>
      </c>
      <c r="V204" s="4">
        <f t="shared" si="149"/>
        <v>9.1035282458444002E-4</v>
      </c>
      <c r="W204" t="str">
        <f t="shared" si="139"/>
        <v>1-0,00790237045197173i</v>
      </c>
      <c r="X204" s="4">
        <f t="shared" si="150"/>
        <v>1.0000312232419346</v>
      </c>
      <c r="Y204" s="4">
        <f t="shared" si="151"/>
        <v>-7.9022059638171709E-3</v>
      </c>
      <c r="Z204" t="str">
        <f t="shared" si="140"/>
        <v>0,999997900770159+0,00677549242552056i</v>
      </c>
      <c r="AA204" s="4">
        <f t="shared" si="152"/>
        <v>1.0000208542037177</v>
      </c>
      <c r="AB204" s="4">
        <f t="shared" si="153"/>
        <v>6.775402969553387E-3</v>
      </c>
      <c r="AC204" s="48" t="str">
        <f t="shared" si="154"/>
        <v>-0,0129645246486675-3,11953130807814i</v>
      </c>
      <c r="AD204" s="20">
        <f t="shared" si="155"/>
        <v>9.8818619819304363</v>
      </c>
      <c r="AE204" s="44">
        <f t="shared" si="156"/>
        <v>-90.238115343591332</v>
      </c>
      <c r="AF204" t="str">
        <f t="shared" si="141"/>
        <v>-20791,6666666667</v>
      </c>
      <c r="AG204" t="str">
        <f t="shared" si="157"/>
        <v>4551,76538033572i</v>
      </c>
      <c r="AH204">
        <f t="shared" si="158"/>
        <v>4551.7653803357198</v>
      </c>
      <c r="AI204">
        <f t="shared" si="159"/>
        <v>1.5707963267948966</v>
      </c>
      <c r="AJ204" t="str">
        <f t="shared" si="142"/>
        <v>0,613519610146842+5,34021762775209i</v>
      </c>
      <c r="AK204">
        <f t="shared" si="160"/>
        <v>5.3753446981369386</v>
      </c>
      <c r="AL204">
        <f t="shared" si="161"/>
        <v>1.4564111910846333</v>
      </c>
      <c r="AM204" t="str">
        <f t="shared" si="143"/>
        <v>1+7,34108720540544i</v>
      </c>
      <c r="AN204">
        <f t="shared" si="162"/>
        <v>7.4088839481643562</v>
      </c>
      <c r="AO204">
        <f t="shared" si="163"/>
        <v>1.4354100174413993</v>
      </c>
      <c r="AP204" t="str">
        <f t="shared" si="144"/>
        <v>1+5,1562398228443i</v>
      </c>
      <c r="AQ204">
        <f t="shared" si="164"/>
        <v>5.2523146431535706</v>
      </c>
      <c r="AR204">
        <f t="shared" si="165"/>
        <v>1.3792346375526314</v>
      </c>
      <c r="AS204" s="42" t="str">
        <f t="shared" si="166"/>
        <v>-32,3236577096853+6,9761954887063i</v>
      </c>
      <c r="AT204">
        <f t="shared" si="167"/>
        <v>30.388132871608747</v>
      </c>
      <c r="AU204" s="44">
        <f t="shared" si="168"/>
        <v>167.82104507544287</v>
      </c>
      <c r="AV204" s="42" t="str">
        <f t="shared" si="145"/>
        <v>22,1815210954051+100,744219158597i</v>
      </c>
      <c r="AW204" s="20">
        <f t="shared" si="169"/>
        <v>40.269994853539153</v>
      </c>
      <c r="AX204" s="44">
        <f t="shared" si="170"/>
        <v>77.582929731851493</v>
      </c>
    </row>
    <row r="205" spans="14:50" x14ac:dyDescent="0.3">
      <c r="N205" s="8">
        <v>87</v>
      </c>
      <c r="O205" s="35">
        <f t="shared" si="171"/>
        <v>741.31024130091828</v>
      </c>
      <c r="P205" s="34" t="str">
        <f t="shared" si="136"/>
        <v>324,571428571429</v>
      </c>
      <c r="Q205" s="4" t="str">
        <f t="shared" si="137"/>
        <v>1+106,463762656084i</v>
      </c>
      <c r="R205" s="4">
        <f t="shared" si="146"/>
        <v>106.46845898617575</v>
      </c>
      <c r="S205" s="4">
        <f t="shared" si="147"/>
        <v>1.5614037356638224</v>
      </c>
      <c r="T205" s="4" t="str">
        <f t="shared" si="138"/>
        <v>1+0,000931557923240736i</v>
      </c>
      <c r="U205" s="4">
        <f t="shared" si="148"/>
        <v>1.0000004338999882</v>
      </c>
      <c r="V205" s="4">
        <f t="shared" si="149"/>
        <v>9.3155765377217004E-4</v>
      </c>
      <c r="W205" t="str">
        <f t="shared" si="139"/>
        <v>1-0,00808644030590917i</v>
      </c>
      <c r="X205" s="4">
        <f t="shared" si="150"/>
        <v>1.000032694723938</v>
      </c>
      <c r="Y205" s="4">
        <f t="shared" si="151"/>
        <v>-8.0862640539872913E-3</v>
      </c>
      <c r="Z205" t="str">
        <f t="shared" si="140"/>
        <v>0,999997801836505+0,00693331391828651i</v>
      </c>
      <c r="AA205" s="4">
        <f t="shared" si="152"/>
        <v>1.000021837021438</v>
      </c>
      <c r="AB205" s="4">
        <f t="shared" si="153"/>
        <v>6.9332180646034577E-3</v>
      </c>
      <c r="AC205" s="48" t="str">
        <f t="shared" si="154"/>
        <v>-0,0143139355102095-3,04852271469283i</v>
      </c>
      <c r="AD205" s="20">
        <f t="shared" si="155"/>
        <v>9.6818844519781422</v>
      </c>
      <c r="AE205" s="44">
        <f t="shared" si="156"/>
        <v>-90.269022783430643</v>
      </c>
      <c r="AF205" t="str">
        <f t="shared" si="141"/>
        <v>-20791,6666666667</v>
      </c>
      <c r="AG205" t="str">
        <f t="shared" si="157"/>
        <v>4657,78961620368i</v>
      </c>
      <c r="AH205">
        <f t="shared" si="158"/>
        <v>4657.7896162036805</v>
      </c>
      <c r="AI205">
        <f t="shared" si="159"/>
        <v>1.5707963267948966</v>
      </c>
      <c r="AJ205" t="str">
        <f t="shared" si="142"/>
        <v>0,595305350522918+5,46460727573287i</v>
      </c>
      <c r="AK205">
        <f t="shared" si="160"/>
        <v>5.4969374326395455</v>
      </c>
      <c r="AL205">
        <f t="shared" si="161"/>
        <v>1.4622858691631802</v>
      </c>
      <c r="AM205" t="str">
        <f t="shared" si="143"/>
        <v>1+7,51208309301329i</v>
      </c>
      <c r="AN205">
        <f t="shared" si="162"/>
        <v>7.5783502423902336</v>
      </c>
      <c r="AO205">
        <f t="shared" si="163"/>
        <v>1.4384555193240203</v>
      </c>
      <c r="AP205" t="str">
        <f t="shared" si="144"/>
        <v>1+5,27634407723553i</v>
      </c>
      <c r="AQ205">
        <f t="shared" si="164"/>
        <v>5.370270646939356</v>
      </c>
      <c r="AR205">
        <f t="shared" si="165"/>
        <v>1.3834927075406052</v>
      </c>
      <c r="AS205" s="42" t="str">
        <f t="shared" si="166"/>
        <v>-32,3151972526354+6,92605859169027i</v>
      </c>
      <c r="AT205">
        <f t="shared" si="167"/>
        <v>30.383189762684601</v>
      </c>
      <c r="AU205" s="44">
        <f t="shared" si="168"/>
        <v>167.90291465909971</v>
      </c>
      <c r="AV205" s="42" t="str">
        <f t="shared" si="145"/>
        <v>21,5768045895351+98,414473698417i</v>
      </c>
      <c r="AW205" s="20">
        <f t="shared" si="169"/>
        <v>40.065074214662744</v>
      </c>
      <c r="AX205" s="44">
        <f t="shared" si="170"/>
        <v>77.633891875669107</v>
      </c>
    </row>
    <row r="206" spans="14:50" x14ac:dyDescent="0.3">
      <c r="N206" s="8">
        <v>88</v>
      </c>
      <c r="O206" s="35">
        <f t="shared" si="171"/>
        <v>758.57757502918378</v>
      </c>
      <c r="P206" s="34" t="str">
        <f t="shared" si="136"/>
        <v>324,571428571429</v>
      </c>
      <c r="Q206" s="4" t="str">
        <f t="shared" si="137"/>
        <v>1+108,943622257812i</v>
      </c>
      <c r="R206" s="4">
        <f t="shared" si="146"/>
        <v>108.94821169093518</v>
      </c>
      <c r="S206" s="4">
        <f t="shared" si="147"/>
        <v>1.5616175249921775</v>
      </c>
      <c r="T206" s="4" t="str">
        <f t="shared" si="138"/>
        <v>1+0,000953256694755858i</v>
      </c>
      <c r="U206" s="4">
        <f t="shared" si="148"/>
        <v>1.0000004543490599</v>
      </c>
      <c r="V206" s="4">
        <f t="shared" si="149"/>
        <v>9.5325640601509447E-4</v>
      </c>
      <c r="W206" t="str">
        <f t="shared" si="139"/>
        <v>1-0,00827479769753349i</v>
      </c>
      <c r="X206" s="4">
        <f t="shared" si="150"/>
        <v>1.000034235552431</v>
      </c>
      <c r="Y206" s="4">
        <f t="shared" si="151"/>
        <v>-8.2746088405458006E-3</v>
      </c>
      <c r="Z206" t="str">
        <f t="shared" si="140"/>
        <v>0,999997698240251+0,00709481154586521i</v>
      </c>
      <c r="AA206" s="4">
        <f t="shared" si="152"/>
        <v>1.0000228661569053</v>
      </c>
      <c r="AB206" s="4">
        <f t="shared" si="153"/>
        <v>7.0947088369198441E-3</v>
      </c>
      <c r="AC206" s="48" t="str">
        <f t="shared" si="154"/>
        <v>-0,0156026160368798-2,97912934725547i</v>
      </c>
      <c r="AD206" s="20">
        <f t="shared" si="155"/>
        <v>9.4819063174320544</v>
      </c>
      <c r="AE206" s="44">
        <f t="shared" si="156"/>
        <v>-90.300072863773238</v>
      </c>
      <c r="AF206" t="str">
        <f t="shared" si="141"/>
        <v>-20791,6666666667</v>
      </c>
      <c r="AG206" t="str">
        <f t="shared" si="157"/>
        <v>4766,28347377929i</v>
      </c>
      <c r="AH206">
        <f t="shared" si="158"/>
        <v>4766.28347377929</v>
      </c>
      <c r="AI206">
        <f t="shared" si="159"/>
        <v>1.5707963267948966</v>
      </c>
      <c r="AJ206" t="str">
        <f t="shared" si="142"/>
        <v>0,576232679289094+5,59189433082386i</v>
      </c>
      <c r="AK206">
        <f t="shared" si="160"/>
        <v>5.62150569756722</v>
      </c>
      <c r="AL206">
        <f t="shared" si="161"/>
        <v>1.4681109221286315</v>
      </c>
      <c r="AM206" t="str">
        <f t="shared" si="143"/>
        <v>1+7,68706198651123i</v>
      </c>
      <c r="AN206">
        <f t="shared" si="162"/>
        <v>7.7518334595414258</v>
      </c>
      <c r="AO206">
        <f t="shared" si="163"/>
        <v>1.4414340851435483</v>
      </c>
      <c r="AP206" t="str">
        <f t="shared" si="144"/>
        <v>1+5,39924591909718i</v>
      </c>
      <c r="AQ206">
        <f t="shared" si="164"/>
        <v>5.4910706146331387</v>
      </c>
      <c r="AR206">
        <f t="shared" si="165"/>
        <v>1.3876605034737832</v>
      </c>
      <c r="AS206" s="42" t="str">
        <f t="shared" si="166"/>
        <v>-32,3063697252786+6,87953164691343i</v>
      </c>
      <c r="AT206">
        <f t="shared" si="167"/>
        <v>30.378364857383488</v>
      </c>
      <c r="AU206" s="44">
        <f t="shared" si="168"/>
        <v>167.97862007604294</v>
      </c>
      <c r="AV206" s="42" t="str">
        <f t="shared" si="145"/>
        <v>20,9990785070616+96,1375154610628i</v>
      </c>
      <c r="AW206" s="20">
        <f t="shared" si="169"/>
        <v>39.860271174815544</v>
      </c>
      <c r="AX206" s="44">
        <f t="shared" si="170"/>
        <v>77.678547212269677</v>
      </c>
    </row>
    <row r="207" spans="14:50" x14ac:dyDescent="0.3">
      <c r="N207" s="8">
        <v>89</v>
      </c>
      <c r="O207" s="35">
        <f t="shared" si="171"/>
        <v>776.24711662869231</v>
      </c>
      <c r="P207" s="34" t="str">
        <f t="shared" si="136"/>
        <v>324,571428571429</v>
      </c>
      <c r="Q207" s="4" t="str">
        <f t="shared" si="137"/>
        <v>1+111,481245210101i</v>
      </c>
      <c r="R207" s="4">
        <f t="shared" si="146"/>
        <v>111.48573017922367</v>
      </c>
      <c r="S207" s="4">
        <f t="shared" si="147"/>
        <v>1.5618264486920777</v>
      </c>
      <c r="T207" s="4" t="str">
        <f t="shared" si="138"/>
        <v>1+0,000975460895588384i</v>
      </c>
      <c r="U207" s="4">
        <f t="shared" si="148"/>
        <v>1.0000004757618661</v>
      </c>
      <c r="V207" s="4">
        <f t="shared" si="149"/>
        <v>9.7546058619708961E-4</v>
      </c>
      <c r="W207" t="str">
        <f t="shared" si="139"/>
        <v>1-0,00846754249642694i</v>
      </c>
      <c r="X207" s="4">
        <f t="shared" si="150"/>
        <v>1.0000358489953891</v>
      </c>
      <c r="Y207" s="4">
        <f t="shared" si="151"/>
        <v>-8.4673401329104954E-3</v>
      </c>
      <c r="Z207" t="str">
        <f t="shared" si="140"/>
        <v>0,999997589761656+0,00726007093643646i</v>
      </c>
      <c r="AA207" s="4">
        <f t="shared" si="152"/>
        <v>1.000023943792909</v>
      </c>
      <c r="AB207" s="4">
        <f t="shared" si="153"/>
        <v>7.2599608819606176E-3</v>
      </c>
      <c r="AC207" s="48" t="str">
        <f t="shared" si="154"/>
        <v>-0,0168332982776392-2,91131448864487i</v>
      </c>
      <c r="AD207" s="20">
        <f t="shared" si="155"/>
        <v>9.2819276246589162</v>
      </c>
      <c r="AE207" s="44">
        <f t="shared" si="156"/>
        <v>-90.331282038575139</v>
      </c>
      <c r="AF207" t="str">
        <f t="shared" si="141"/>
        <v>-20791,6666666667</v>
      </c>
      <c r="AG207" t="str">
        <f t="shared" si="157"/>
        <v>4877,30447794192i</v>
      </c>
      <c r="AH207">
        <f t="shared" si="158"/>
        <v>4877.3044779419197</v>
      </c>
      <c r="AI207">
        <f t="shared" si="159"/>
        <v>1.5707963267948966</v>
      </c>
      <c r="AJ207" t="str">
        <f t="shared" si="142"/>
        <v>0,55626114075257+5,72214628230654i</v>
      </c>
      <c r="AK207">
        <f t="shared" si="160"/>
        <v>5.7491203268696607</v>
      </c>
      <c r="AL207">
        <f t="shared" si="161"/>
        <v>1.4738888503833649</v>
      </c>
      <c r="AM207" t="str">
        <f t="shared" si="143"/>
        <v>1+7,86611666202472i</v>
      </c>
      <c r="AN207">
        <f t="shared" si="162"/>
        <v>7.9294256627187654</v>
      </c>
      <c r="AO207">
        <f t="shared" si="163"/>
        <v>1.4443470826597249</v>
      </c>
      <c r="AP207" t="str">
        <f t="shared" si="144"/>
        <v>1+5,52501051261261i</v>
      </c>
      <c r="AQ207">
        <f t="shared" si="164"/>
        <v>5.6147788170576991</v>
      </c>
      <c r="AR207">
        <f t="shared" si="165"/>
        <v>1.3917396557159865</v>
      </c>
      <c r="AS207" s="42" t="str">
        <f t="shared" si="166"/>
        <v>-32,2971571407448+6,83658623806722i</v>
      </c>
      <c r="AT207">
        <f t="shared" si="167"/>
        <v>30.373648439744603</v>
      </c>
      <c r="AU207" s="44">
        <f t="shared" si="168"/>
        <v>168.04818984359588</v>
      </c>
      <c r="AV207" s="42" t="str">
        <f t="shared" si="145"/>
        <v>20,4471202474252+93,9120992305443i</v>
      </c>
      <c r="AW207" s="20">
        <f t="shared" si="169"/>
        <v>39.655576064403519</v>
      </c>
      <c r="AX207" s="44">
        <f t="shared" si="170"/>
        <v>77.716907805020725</v>
      </c>
    </row>
    <row r="208" spans="14:50" x14ac:dyDescent="0.3">
      <c r="N208" s="8">
        <v>90</v>
      </c>
      <c r="O208" s="35">
        <f t="shared" si="171"/>
        <v>794.32823472428208</v>
      </c>
      <c r="P208" s="34" t="str">
        <f t="shared" si="136"/>
        <v>324,571428571429</v>
      </c>
      <c r="Q208" s="4" t="str">
        <f t="shared" si="137"/>
        <v>1+114,077976994229i</v>
      </c>
      <c r="R208" s="4">
        <f t="shared" si="146"/>
        <v>114.08235987695838</v>
      </c>
      <c r="S208" s="4">
        <f t="shared" si="147"/>
        <v>1.562030617464637</v>
      </c>
      <c r="T208" s="4" t="str">
        <f t="shared" si="138"/>
        <v>1+0,000998182298699502i</v>
      </c>
      <c r="U208" s="4">
        <f t="shared" si="148"/>
        <v>1.0000004981838266</v>
      </c>
      <c r="V208" s="4">
        <f t="shared" si="149"/>
        <v>9.9818196718076614E-4</v>
      </c>
      <c r="W208" t="str">
        <f t="shared" si="139"/>
        <v>1-0,00866477689843318i</v>
      </c>
      <c r="X208" s="4">
        <f t="shared" si="150"/>
        <v>1.0000375384747813</v>
      </c>
      <c r="Y208" s="4">
        <f t="shared" si="151"/>
        <v>-8.6645600624582313E-3</v>
      </c>
      <c r="Z208" t="str">
        <f t="shared" si="140"/>
        <v>0,999997476170622+0,0074291797127166i</v>
      </c>
      <c r="AA208" s="4">
        <f t="shared" si="152"/>
        <v>1.0000250722151007</v>
      </c>
      <c r="AB208" s="4">
        <f t="shared" si="153"/>
        <v>7.4290617873803647E-3</v>
      </c>
      <c r="AC208" s="48" t="str">
        <f t="shared" si="154"/>
        <v>-0,0180085913838209-2,84504225360473i</v>
      </c>
      <c r="AD208" s="20">
        <f t="shared" si="155"/>
        <v>9.0819484188423818</v>
      </c>
      <c r="AE208" s="44">
        <f t="shared" si="156"/>
        <v>-90.36266684610743</v>
      </c>
      <c r="AF208" t="str">
        <f t="shared" si="141"/>
        <v>-20791,6666666667</v>
      </c>
      <c r="AG208" t="str">
        <f t="shared" si="157"/>
        <v>4990,91149349751i</v>
      </c>
      <c r="AH208">
        <f t="shared" si="158"/>
        <v>4990.9114934975096</v>
      </c>
      <c r="AI208">
        <f t="shared" si="159"/>
        <v>1.5707963267948966</v>
      </c>
      <c r="AJ208" t="str">
        <f t="shared" si="142"/>
        <v>0,535348372602476+5,85543219148965i</v>
      </c>
      <c r="AK208">
        <f t="shared" si="160"/>
        <v>5.8798540823035239</v>
      </c>
      <c r="AL208">
        <f t="shared" si="161"/>
        <v>1.4796221605658935</v>
      </c>
      <c r="AM208" t="str">
        <f t="shared" si="143"/>
        <v>1+8,04934205671278i</v>
      </c>
      <c r="AN208">
        <f t="shared" si="162"/>
        <v>8.1112210884653564</v>
      </c>
      <c r="AO208">
        <f t="shared" si="163"/>
        <v>1.4471958585299878</v>
      </c>
      <c r="AP208" t="str">
        <f t="shared" si="144"/>
        <v>1+5,65370453983398i</v>
      </c>
      <c r="AQ208">
        <f t="shared" si="164"/>
        <v>5.7414610530542962</v>
      </c>
      <c r="AR208">
        <f t="shared" si="165"/>
        <v>1.395731783821111</v>
      </c>
      <c r="AS208" s="42" t="str">
        <f t="shared" si="166"/>
        <v>-32,2875407448026+6,79719554515215i</v>
      </c>
      <c r="AT208">
        <f t="shared" si="167"/>
        <v>30.369030987282319</v>
      </c>
      <c r="AU208" s="44">
        <f t="shared" si="168"/>
        <v>168.11165029334154</v>
      </c>
      <c r="AV208" s="42" t="str">
        <f t="shared" si="145"/>
        <v>19,9197616600333+91,7370097668192i</v>
      </c>
      <c r="AW208" s="20">
        <f t="shared" si="169"/>
        <v>39.450979406124702</v>
      </c>
      <c r="AX208" s="44">
        <f t="shared" si="170"/>
        <v>77.748983447234153</v>
      </c>
    </row>
    <row r="209" spans="14:50" x14ac:dyDescent="0.3">
      <c r="N209" s="8">
        <v>91</v>
      </c>
      <c r="O209" s="35">
        <f t="shared" si="171"/>
        <v>812.83051616409978</v>
      </c>
      <c r="P209" s="34" t="str">
        <f t="shared" si="136"/>
        <v>324,571428571429</v>
      </c>
      <c r="Q209" s="4" t="str">
        <f t="shared" si="137"/>
        <v>1+116,735194431759i</v>
      </c>
      <c r="R209" s="4">
        <f t="shared" si="146"/>
        <v>116.73947755160026</v>
      </c>
      <c r="S209" s="4">
        <f t="shared" si="147"/>
        <v>1.5622301394947165</v>
      </c>
      <c r="T209" s="4" t="str">
        <f t="shared" si="138"/>
        <v>1+0,00102143295127789i</v>
      </c>
      <c r="U209" s="4">
        <f t="shared" si="148"/>
        <v>1.000000521662501</v>
      </c>
      <c r="V209" s="4">
        <f t="shared" si="149"/>
        <v>1.0214325960491745E-3</v>
      </c>
      <c r="W209" t="str">
        <f t="shared" si="139"/>
        <v>1-0,00886660547984283i</v>
      </c>
      <c r="X209" s="4">
        <f t="shared" si="150"/>
        <v>1.000039307573825</v>
      </c>
      <c r="Y209" s="4">
        <f t="shared" si="151"/>
        <v>-8.8663731364028373E-3</v>
      </c>
      <c r="Z209" t="str">
        <f t="shared" si="140"/>
        <v>0,999997357226208+0,00760222753841724i</v>
      </c>
      <c r="AA209" s="4">
        <f t="shared" si="152"/>
        <v>1.0000262538168416</v>
      </c>
      <c r="AB209" s="4">
        <f t="shared" si="153"/>
        <v>7.6021011793215723E-3</v>
      </c>
      <c r="AC209" s="48" t="str">
        <f t="shared" si="154"/>
        <v>-0,0191309871325365-2,78027757005556i</v>
      </c>
      <c r="AD209" s="20">
        <f t="shared" si="155"/>
        <v>8.8819687440778576</v>
      </c>
      <c r="AE209" s="44">
        <f t="shared" si="156"/>
        <v>-90.39424391768101</v>
      </c>
      <c r="AF209" t="str">
        <f t="shared" si="141"/>
        <v>-20791,6666666667</v>
      </c>
      <c r="AG209" t="str">
        <f t="shared" si="157"/>
        <v>5107,16475638947i</v>
      </c>
      <c r="AH209">
        <f t="shared" si="158"/>
        <v>5107.1647563894703</v>
      </c>
      <c r="AI209">
        <f t="shared" si="159"/>
        <v>1.5707963267948966</v>
      </c>
      <c r="AJ209" t="str">
        <f t="shared" si="142"/>
        <v>0,513450016053744+5,9918227283265i</v>
      </c>
      <c r="AK209">
        <f t="shared" si="160"/>
        <v>6.0137817159151705</v>
      </c>
      <c r="AL209">
        <f t="shared" si="161"/>
        <v>1.4853133646221193</v>
      </c>
      <c r="AM209" t="str">
        <f t="shared" si="143"/>
        <v>1+8,23683531910493i</v>
      </c>
      <c r="AN209">
        <f t="shared" si="162"/>
        <v>8.2973161970636262</v>
      </c>
      <c r="AO209">
        <f t="shared" si="163"/>
        <v>1.4499817381597955</v>
      </c>
      <c r="AP209" t="str">
        <f t="shared" si="144"/>
        <v>1+5,78539623603799i</v>
      </c>
      <c r="AQ209">
        <f t="shared" si="164"/>
        <v>5.8711846852200571</v>
      </c>
      <c r="AR209">
        <f t="shared" si="165"/>
        <v>1.3996384952333645</v>
      </c>
      <c r="AS209" s="42" t="str">
        <f t="shared" si="166"/>
        <v>-32,2775009824494+6,76133431165474i</v>
      </c>
      <c r="AT209">
        <f t="shared" si="167"/>
        <v>30.364503154583215</v>
      </c>
      <c r="AU209" s="44">
        <f t="shared" si="168"/>
        <v>168.1690255412893</v>
      </c>
      <c r="AV209" s="42" t="str">
        <f t="shared" si="145"/>
        <v>19,4158865863064+89,6110609992353i</v>
      </c>
      <c r="AW209" s="20">
        <f t="shared" si="169"/>
        <v>39.246471898661071</v>
      </c>
      <c r="AX209" s="44">
        <f t="shared" si="170"/>
        <v>77.774781623608291</v>
      </c>
    </row>
    <row r="210" spans="14:50" x14ac:dyDescent="0.3">
      <c r="N210" s="8">
        <v>92</v>
      </c>
      <c r="O210" s="35">
        <f t="shared" si="171"/>
        <v>831.7637711026714</v>
      </c>
      <c r="P210" s="34" t="str">
        <f t="shared" si="136"/>
        <v>324,571428571429</v>
      </c>
      <c r="Q210" s="4" t="str">
        <f t="shared" si="137"/>
        <v>1+119,454306414551i</v>
      </c>
      <c r="R210" s="4">
        <f t="shared" si="146"/>
        <v>119.45849204213755</v>
      </c>
      <c r="S210" s="4">
        <f t="shared" si="147"/>
        <v>1.5624251205079587</v>
      </c>
      <c r="T210" s="4" t="str">
        <f t="shared" si="138"/>
        <v>1+0,00104522518112732i</v>
      </c>
      <c r="U210" s="4">
        <f t="shared" si="148"/>
        <v>1.0000005462476904</v>
      </c>
      <c r="V210" s="4">
        <f t="shared" si="149"/>
        <v>1.0452248004929048E-3</v>
      </c>
      <c r="W210" t="str">
        <f t="shared" si="139"/>
        <v>1-0,0090731352528413i</v>
      </c>
      <c r="X210" s="4">
        <f t="shared" si="150"/>
        <v>1.0000411600445835</v>
      </c>
      <c r="Y210" s="4">
        <f t="shared" si="151"/>
        <v>-9.0728862929133174E-3</v>
      </c>
      <c r="Z210" t="str">
        <f t="shared" si="140"/>
        <v>0,999997232676116+0,00777930616578613i</v>
      </c>
      <c r="AA210" s="4">
        <f t="shared" si="152"/>
        <v>1.0000274911042752</v>
      </c>
      <c r="AB210" s="4">
        <f t="shared" si="153"/>
        <v>7.7791707697762212E-3</v>
      </c>
      <c r="AC210" s="48" t="str">
        <f t="shared" si="154"/>
        <v>-0,020202865202082-2,7169861608156i</v>
      </c>
      <c r="AD210" s="20">
        <f t="shared" si="155"/>
        <v>8.6819886434664166</v>
      </c>
      <c r="AE210" s="44">
        <f t="shared" si="156"/>
        <v>-90.426029986420161</v>
      </c>
      <c r="AF210" t="str">
        <f t="shared" si="141"/>
        <v>-20791,6666666667</v>
      </c>
      <c r="AG210" t="str">
        <f t="shared" si="157"/>
        <v>5226,12590563659i</v>
      </c>
      <c r="AH210">
        <f t="shared" si="158"/>
        <v>5226.1259056365898</v>
      </c>
      <c r="AI210">
        <f t="shared" si="159"/>
        <v>1.5707963267948966</v>
      </c>
      <c r="AJ210" t="str">
        <f t="shared" si="142"/>
        <v>0,490519621756167+6,13139020888505i</v>
      </c>
      <c r="AK210">
        <f t="shared" si="160"/>
        <v>6.1509800351601918</v>
      </c>
      <c r="AL210">
        <f t="shared" si="161"/>
        <v>1.4909649789781514</v>
      </c>
      <c r="AM210" t="str">
        <f t="shared" si="143"/>
        <v>1+8,42869586061069i</v>
      </c>
      <c r="AN210">
        <f t="shared" si="162"/>
        <v>8.487809723990976</v>
      </c>
      <c r="AO210">
        <f t="shared" si="163"/>
        <v>1.4527060255942619</v>
      </c>
      <c r="AP210" t="str">
        <f t="shared" si="144"/>
        <v>1+5,92015542590513i</v>
      </c>
      <c r="AQ210">
        <f t="shared" si="164"/>
        <v>6.0040186764261447</v>
      </c>
      <c r="AR210">
        <f t="shared" si="165"/>
        <v>1.4034613840990884</v>
      </c>
      <c r="AS210" s="42" t="str">
        <f t="shared" si="166"/>
        <v>-32,2670174632666+6,72897881118897i</v>
      </c>
      <c r="AT210">
        <f t="shared" si="167"/>
        <v>30.360055757033813</v>
      </c>
      <c r="AU210" s="44">
        <f t="shared" si="168"/>
        <v>168.22033746098211</v>
      </c>
      <c r="AV210" s="42" t="str">
        <f t="shared" si="145"/>
        <v>18,9344285107054+87,5330952466205i</v>
      </c>
      <c r="AW210" s="20">
        <f t="shared" si="169"/>
        <v>39.042044400500231</v>
      </c>
      <c r="AX210" s="44">
        <f t="shared" si="170"/>
        <v>77.79430747456199</v>
      </c>
    </row>
    <row r="211" spans="14:50" x14ac:dyDescent="0.3">
      <c r="N211" s="8">
        <v>93</v>
      </c>
      <c r="O211" s="35">
        <f t="shared" si="171"/>
        <v>851.13803820237763</v>
      </c>
      <c r="P211" s="34" t="str">
        <f t="shared" ref="P211:P274" si="172">COMPLEX(Adc,0)</f>
        <v>324,571428571429</v>
      </c>
      <c r="Q211" s="4" t="str">
        <f t="shared" ref="Q211:Q274" si="173">IMSUM(COMPLEX(1,0),IMDIV(COMPLEX(0,2*PI()*O211),COMPLEX(wp_lf,0)))</f>
        <v>1+122,236754651768i</v>
      </c>
      <c r="R211" s="4">
        <f t="shared" si="146"/>
        <v>122.24084500606385</v>
      </c>
      <c r="S211" s="4">
        <f t="shared" si="147"/>
        <v>1.5626156638265416</v>
      </c>
      <c r="T211" s="4" t="str">
        <f t="shared" ref="T211:T274" si="174">IMSUM(COMPLEX(1,0),IMDIV(COMPLEX(0,2*PI()*O211),COMPLEX(wz_esr,0)))</f>
        <v>1+0,00106957160320297i</v>
      </c>
      <c r="U211" s="4">
        <f t="shared" si="148"/>
        <v>1.0000005719915437</v>
      </c>
      <c r="V211" s="4">
        <f t="shared" si="149"/>
        <v>1.0695711953458585E-3</v>
      </c>
      <c r="W211" t="str">
        <f t="shared" ref="W211:W274" si="175">IMSUB(COMPLEX(1,0),IMDIV(COMPLEX(0,2*PI()*O211),COMPLEX(wz_rhp,0)))</f>
        <v>1-0,00928447572224799i</v>
      </c>
      <c r="X211" s="4">
        <f t="shared" si="150"/>
        <v>1.0000430998159213</v>
      </c>
      <c r="Y211" s="4">
        <f t="shared" si="151"/>
        <v>-9.2842089574998645E-3</v>
      </c>
      <c r="Z211" t="str">
        <f t="shared" ref="Z211:Z274" si="176">IMSUM(COMPLEX(1,0),IMDIV(COMPLEX(0,2*PI()*O211),COMPLEX(Q*(wsl/2),0)),IMDIV(IMPOWER(COMPLEX(0,2*PI()*O211),2),IMPOWER(COMPLEX(wsl/2,0),2)))</f>
        <v>0,99999710225616+0,00796050948425542i</v>
      </c>
      <c r="AA211" s="4">
        <f t="shared" si="152"/>
        <v>1.0000287867016457</v>
      </c>
      <c r="AB211" s="4">
        <f t="shared" si="153"/>
        <v>7.9603644050418969E-3</v>
      </c>
      <c r="AC211" s="48" t="str">
        <f t="shared" si="154"/>
        <v>-0,0212264982104431-2,65513452572206i</v>
      </c>
      <c r="AD211" s="20">
        <f t="shared" si="155"/>
        <v>8.4820081592064867</v>
      </c>
      <c r="AE211" s="44">
        <f t="shared" si="156"/>
        <v>-90.458041896089583</v>
      </c>
      <c r="AF211" t="str">
        <f t="shared" ref="AF211:AF274" si="177">COMPLEX(Adc_ea_iso,0)</f>
        <v>-20791,6666666667</v>
      </c>
      <c r="AG211" t="str">
        <f t="shared" si="157"/>
        <v>5347,85801601484i</v>
      </c>
      <c r="AH211">
        <f t="shared" si="158"/>
        <v>5347.8580160148404</v>
      </c>
      <c r="AI211">
        <f t="shared" si="159"/>
        <v>1.5707963267948966</v>
      </c>
      <c r="AJ211" t="str">
        <f t="shared" ref="AJ211:AJ274" si="178">IMSUM(IMPRODUCT(COMPLEX(wpA_ea_iso,0),IMPOWER(COMPLEX(0,2*PI()*O211),2)),COMPLEX(0,wpB_ea_iso*2*PI()*O211),COMPLEX(1,0))</f>
        <v>0,466508551269111+6,27420863369091i</v>
      </c>
      <c r="AK211">
        <f t="shared" si="160"/>
        <v>6.2915279708103302</v>
      </c>
      <c r="AL211">
        <f t="shared" si="161"/>
        <v>1.4965795238080712</v>
      </c>
      <c r="AM211" t="str">
        <f t="shared" ref="AM211:AM274" si="179">IMSUM(COMPLEX(1,0),IMDIV(COMPLEX(0,2*PI()*O211),COMPLEX(wz1_ea_iso,0)))</f>
        <v>1+8,62502540822873i</v>
      </c>
      <c r="AN211">
        <f t="shared" si="162"/>
        <v>8.6828027325622905</v>
      </c>
      <c r="AO211">
        <f t="shared" si="163"/>
        <v>1.4553700034480572</v>
      </c>
      <c r="AP211" t="str">
        <f t="shared" ref="AP211:AP274" si="180">IMSUM(COMPLEX(1,0),IMDIV(COMPLEX(0,2*PI()*O211),COMPLEX(wz2_ea_iso,0)))</f>
        <v>1+6,05805356054161i</v>
      </c>
      <c r="AQ211">
        <f t="shared" si="164"/>
        <v>6.1400336271384441</v>
      </c>
      <c r="AR211">
        <f t="shared" si="165"/>
        <v>1.407202030184231</v>
      </c>
      <c r="AS211" s="42" t="str">
        <f t="shared" si="166"/>
        <v>-32,2560689255194+6,70010681350101i</v>
      </c>
      <c r="AT211">
        <f t="shared" si="167"/>
        <v>30.355679754670319</v>
      </c>
      <c r="AU211" s="44">
        <f t="shared" si="168"/>
        <v>168.26560565941028</v>
      </c>
      <c r="AV211" s="42" t="str">
        <f t="shared" ref="AV211:AV274" si="181">IMPRODUCT(AC211,AS211)</f>
        <v>18,4743683158756+85,5019824629305i</v>
      </c>
      <c r="AW211" s="20">
        <f t="shared" si="169"/>
        <v>38.837687913876813</v>
      </c>
      <c r="AX211" s="44">
        <f t="shared" si="170"/>
        <v>77.807563763320701</v>
      </c>
    </row>
    <row r="212" spans="14:50" x14ac:dyDescent="0.3">
      <c r="N212" s="8">
        <v>94</v>
      </c>
      <c r="O212" s="35">
        <f t="shared" si="171"/>
        <v>870.96358995608091</v>
      </c>
      <c r="P212" s="34" t="str">
        <f t="shared" si="172"/>
        <v>324,571428571429</v>
      </c>
      <c r="Q212" s="4" t="str">
        <f t="shared" si="173"/>
        <v>1+125,084014434296i</v>
      </c>
      <c r="R212" s="4">
        <f t="shared" ref="R212:R275" si="182">IMABS(Q212)</f>
        <v>125.08801168377076</v>
      </c>
      <c r="S212" s="4">
        <f t="shared" ref="S212:S275" si="183">IMARGUMENT(Q212)</f>
        <v>1.5628018704236795</v>
      </c>
      <c r="T212" s="4" t="str">
        <f t="shared" si="174"/>
        <v>1+0,00109448512630009i</v>
      </c>
      <c r="U212" s="4">
        <f t="shared" ref="U212:U275" si="184">IMABS(T212)</f>
        <v>1.0000005989486664</v>
      </c>
      <c r="V212" s="4">
        <f t="shared" ref="V212:V275" si="185">IMARGUMENT(T212)</f>
        <v>1.0944846892733354E-3</v>
      </c>
      <c r="W212" t="str">
        <f t="shared" si="175"/>
        <v>1-0,00950073894357714i</v>
      </c>
      <c r="X212" s="4">
        <f t="shared" ref="X212:X275" si="186">IMABS(W212)</f>
        <v>1.0000451310018335</v>
      </c>
      <c r="Y212" s="4">
        <f t="shared" ref="Y212:Y275" si="187">IMARGUMENT(W212)</f>
        <v>-9.500453100696268E-3</v>
      </c>
      <c r="Z212" t="str">
        <f t="shared" si="176"/>
        <v>0,9999969656897+0,00814593357022303i</v>
      </c>
      <c r="AA212" s="4">
        <f t="shared" ref="AA212:AA275" si="188">IMABS(Z212)</f>
        <v>1.0000301433568579</v>
      </c>
      <c r="AB212" s="4">
        <f t="shared" ref="AB212:AB275" si="189">IMARGUMENT(Z212)</f>
        <v>8.1457781152973509E-3</v>
      </c>
      <c r="AC212" s="48" t="str">
        <f t="shared" ref="AC212:AC275" si="190">(IMDIV(IMPRODUCT(P212,T212,W212),IMPRODUCT(Q212,Z212)))</f>
        <v>-0,0222040565275141-2,59468992414422i</v>
      </c>
      <c r="AD212" s="20">
        <f t="shared" ref="AD212:AD275" si="191">20*LOG(IMABS(AC212))</f>
        <v>8.2820273326822615</v>
      </c>
      <c r="AE212" s="44">
        <f t="shared" ref="AE212:AE275" si="192">(180/PI())*IMARGUMENT(AC212)</f>
        <v>-90.490296609979183</v>
      </c>
      <c r="AF212" t="str">
        <f t="shared" si="177"/>
        <v>-20791,6666666667</v>
      </c>
      <c r="AG212" t="str">
        <f t="shared" ref="AG212:AG275" si="193">COMPLEX(0,1*2*PI()*O212)</f>
        <v>5472,42563150043i</v>
      </c>
      <c r="AH212">
        <f t="shared" ref="AH212:AH275" si="194">IMABS(AG212)</f>
        <v>5472.4256315004304</v>
      </c>
      <c r="AI212">
        <f t="shared" ref="AI212:AI275" si="195">IMARGUMENT(AG212)</f>
        <v>1.5707963267948966</v>
      </c>
      <c r="AJ212" t="str">
        <f t="shared" si="178"/>
        <v>0,441365873892856+6,42035372696331i</v>
      </c>
      <c r="AK212">
        <f t="shared" ref="AK212:AK275" si="196">IMABS(AJ212)</f>
        <v>6.4355066478070606</v>
      </c>
      <c r="AL212">
        <f t="shared" ref="AL212:AL275" si="197">IMARGUMENT(AJ212)</f>
        <v>1.5021595223901594</v>
      </c>
      <c r="AM212" t="str">
        <f t="shared" si="179"/>
        <v>1+8,82592805848389i</v>
      </c>
      <c r="AN212">
        <f t="shared" ref="AN212:AN275" si="198">IMABS(AM212)</f>
        <v>8.88239866778863</v>
      </c>
      <c r="AO212">
        <f t="shared" ref="AO212:AO275" si="199">IMARGUMENT(AM212)</f>
        <v>1.4579749328707063</v>
      </c>
      <c r="AP212" t="str">
        <f t="shared" si="180"/>
        <v>1+6,19916375536369i</v>
      </c>
      <c r="AQ212">
        <f t="shared" ref="AQ212:AQ275" si="200">IMABS(AP212)</f>
        <v>6.2793018135629417</v>
      </c>
      <c r="AR212">
        <f t="shared" ref="AR212:AR275" si="201">IMARGUMENT(AP212)</f>
        <v>1.4108619978916985</v>
      </c>
      <c r="AS212" s="42" t="str">
        <f t="shared" ref="AS212:AS275" si="202">IMDIV(IMPRODUCT(AF212,AM212,AP212),IMPRODUCT(AG212,AJ212))</f>
        <v>-32,2446331989852+6,6746975497321i</v>
      </c>
      <c r="AT212">
        <f t="shared" ref="AT212:AT275" si="203">20*LOG(IMABS(AS212))</f>
        <v>30.351366236141367</v>
      </c>
      <c r="AU212" s="44">
        <f t="shared" ref="AU212:AU275" si="204">(180/PI())*IMARGUMENT(AS212)</f>
        <v>168.30484745560696</v>
      </c>
      <c r="AV212" s="42" t="str">
        <f t="shared" si="181"/>
        <v>18,0347321372592+83,5166195074348i</v>
      </c>
      <c r="AW212" s="20">
        <f t="shared" ref="AW212:AW275" si="205">20*LOG(IMABS(AV212))</f>
        <v>38.633393568823628</v>
      </c>
      <c r="AX212" s="44">
        <f t="shared" ref="AX212:AX275" si="206">(180/PI())*IMARGUMENT(AV212)</f>
        <v>77.814550845627764</v>
      </c>
    </row>
    <row r="213" spans="14:50" x14ac:dyDescent="0.3">
      <c r="N213" s="8">
        <v>95</v>
      </c>
      <c r="O213" s="35">
        <f t="shared" si="171"/>
        <v>891.25093813374656</v>
      </c>
      <c r="P213" s="34" t="str">
        <f t="shared" si="172"/>
        <v>324,571428571429</v>
      </c>
      <c r="Q213" s="4" t="str">
        <f t="shared" si="173"/>
        <v>1+127,99759541696i</v>
      </c>
      <c r="R213" s="4">
        <f t="shared" si="182"/>
        <v>128.00150168073725</v>
      </c>
      <c r="S213" s="4">
        <f t="shared" si="183"/>
        <v>1.5629838389768944</v>
      </c>
      <c r="T213" s="4" t="str">
        <f t="shared" si="174"/>
        <v>1+0,0011199789598984i</v>
      </c>
      <c r="U213" s="4">
        <f t="shared" si="184"/>
        <v>1.0000006271762387</v>
      </c>
      <c r="V213" s="4">
        <f t="shared" si="185"/>
        <v>1.1199784916158112E-3</v>
      </c>
      <c r="W213" t="str">
        <f t="shared" si="175"/>
        <v>1-0,00972203958245135i</v>
      </c>
      <c r="X213" s="4">
        <f t="shared" si="186"/>
        <v>1.0000472579101662</v>
      </c>
      <c r="Y213" s="4">
        <f t="shared" si="187"/>
        <v>-9.7217332970679377E-3</v>
      </c>
      <c r="Z213" t="str">
        <f t="shared" si="176"/>
        <v>0,999996822687061+0,00833567673799378i</v>
      </c>
      <c r="AA213" s="4">
        <f t="shared" si="188"/>
        <v>1.0000315639473074</v>
      </c>
      <c r="AB213" s="4">
        <f t="shared" si="189"/>
        <v>8.3355101653230183E-3</v>
      </c>
      <c r="AC213" s="48" t="str">
        <f t="shared" si="190"/>
        <v>-0,0231376128711669-2,53562035788151i</v>
      </c>
      <c r="AD213" s="20">
        <f t="shared" si="191"/>
        <v>8.0820462045524923</v>
      </c>
      <c r="AE213" s="44">
        <f t="shared" si="192"/>
        <v>-90.522811219851292</v>
      </c>
      <c r="AF213" t="str">
        <f t="shared" si="177"/>
        <v>-20791,6666666667</v>
      </c>
      <c r="AG213" t="str">
        <f t="shared" si="193"/>
        <v>5599,89479949198i</v>
      </c>
      <c r="AH213">
        <f t="shared" si="194"/>
        <v>5599.8947994919799</v>
      </c>
      <c r="AI213">
        <f t="shared" si="195"/>
        <v>1.5707963267948966</v>
      </c>
      <c r="AJ213" t="str">
        <f t="shared" si="178"/>
        <v>0,415038258637742+6,56990297676518i</v>
      </c>
      <c r="AK213">
        <f t="shared" si="196"/>
        <v>6.5829994592314085</v>
      </c>
      <c r="AL213">
        <f t="shared" si="197"/>
        <v>1.5077075005452023</v>
      </c>
      <c r="AM213" t="str">
        <f t="shared" si="179"/>
        <v>1+9,03151033262066i</v>
      </c>
      <c r="AN213">
        <f t="shared" si="198"/>
        <v>9.086703411481734</v>
      </c>
      <c r="AO213">
        <f t="shared" si="199"/>
        <v>1.4605220535445658</v>
      </c>
      <c r="AP213" t="str">
        <f t="shared" si="180"/>
        <v>1+6,34356082886451i</v>
      </c>
      <c r="AQ213">
        <f t="shared" si="200"/>
        <v>6.4218972266382606</v>
      </c>
      <c r="AR213">
        <f t="shared" si="201"/>
        <v>1.4144428353729945</v>
      </c>
      <c r="AS213" s="42" t="str">
        <f t="shared" si="202"/>
        <v>-32,2326871664854+6,65273167682719i</v>
      </c>
      <c r="AT213">
        <f t="shared" si="203"/>
        <v>30.347106402770912</v>
      </c>
      <c r="AU213" s="44">
        <f t="shared" si="204"/>
        <v>168.33807786181541</v>
      </c>
      <c r="AV213" s="42" t="str">
        <f t="shared" si="181"/>
        <v>17,6145893127418+81,5759294384923i</v>
      </c>
      <c r="AW213" s="20">
        <f t="shared" si="205"/>
        <v>38.42915260732341</v>
      </c>
      <c r="AX213" s="44">
        <f t="shared" si="206"/>
        <v>77.815266641964115</v>
      </c>
    </row>
    <row r="214" spans="14:50" x14ac:dyDescent="0.3">
      <c r="N214" s="8">
        <v>96</v>
      </c>
      <c r="O214" s="35">
        <f t="shared" si="171"/>
        <v>912.01083935590987</v>
      </c>
      <c r="P214" s="34" t="str">
        <f t="shared" si="172"/>
        <v>324,571428571429</v>
      </c>
      <c r="Q214" s="4" t="str">
        <f t="shared" si="173"/>
        <v>1+130,979042418962i</v>
      </c>
      <c r="R214" s="4">
        <f t="shared" si="182"/>
        <v>130.98285976794156</v>
      </c>
      <c r="S214" s="4">
        <f t="shared" si="183"/>
        <v>1.5631616659200906</v>
      </c>
      <c r="T214" s="4" t="str">
        <f t="shared" si="174"/>
        <v>1+0,00114606662116591i</v>
      </c>
      <c r="U214" s="4">
        <f t="shared" si="184"/>
        <v>1.0000006567341344</v>
      </c>
      <c r="V214" s="4">
        <f t="shared" si="185"/>
        <v>1.1460661193920937E-3</v>
      </c>
      <c r="W214" t="str">
        <f t="shared" si="175"/>
        <v>1-0,00994849497539856i</v>
      </c>
      <c r="X214" s="4">
        <f t="shared" si="186"/>
        <v>1.0000494850517525</v>
      </c>
      <c r="Y214" s="4">
        <f t="shared" si="187"/>
        <v>-9.9481667855744037E-3</v>
      </c>
      <c r="Z214" t="str">
        <f t="shared" si="176"/>
        <v>0,999996672944916+0,00852983959190672i</v>
      </c>
      <c r="AA214" s="4">
        <f t="shared" si="188"/>
        <v>1.0000330514859821</v>
      </c>
      <c r="AB214" s="4">
        <f t="shared" si="189"/>
        <v>8.5296611063920176E-3</v>
      </c>
      <c r="AC214" s="48" t="str">
        <f t="shared" si="190"/>
        <v>-0,0240291466968507-2,47789455443752i</v>
      </c>
      <c r="AD214" s="20">
        <f t="shared" si="191"/>
        <v>7.8820648148358829</v>
      </c>
      <c r="AE214" s="44">
        <f t="shared" si="192"/>
        <v>-90.555602954954637</v>
      </c>
      <c r="AF214" t="str">
        <f t="shared" si="177"/>
        <v>-20791,6666666667</v>
      </c>
      <c r="AG214" t="str">
        <f t="shared" si="193"/>
        <v>5730,33310582957i</v>
      </c>
      <c r="AH214">
        <f t="shared" si="194"/>
        <v>5730.3331058295698</v>
      </c>
      <c r="AI214">
        <f t="shared" si="195"/>
        <v>1.5707963267948966</v>
      </c>
      <c r="AJ214" t="str">
        <f t="shared" si="178"/>
        <v>0,387469861102014+6,72293567608827i</v>
      </c>
      <c r="AK214">
        <f t="shared" si="196"/>
        <v>6.7340921435693808</v>
      </c>
      <c r="AL214">
        <f t="shared" si="197"/>
        <v>1.5132259861506157</v>
      </c>
      <c r="AM214" t="str">
        <f t="shared" si="179"/>
        <v>1+9,24188123308192i</v>
      </c>
      <c r="AN214">
        <f t="shared" si="198"/>
        <v>9.295825338634101</v>
      </c>
      <c r="AO214">
        <f t="shared" si="199"/>
        <v>1.4630125837129131</v>
      </c>
      <c r="AP214" t="str">
        <f t="shared" si="180"/>
        <v>1+6,49132134228374i</v>
      </c>
      <c r="AQ214">
        <f t="shared" si="200"/>
        <v>6.5678956118979528</v>
      </c>
      <c r="AR214">
        <f t="shared" si="201"/>
        <v>1.4179460737287328</v>
      </c>
      <c r="AS214" s="42" t="str">
        <f t="shared" si="202"/>
        <v>-32,2202067241118+6,63419124097309i</v>
      </c>
      <c r="AT214">
        <f t="shared" si="203"/>
        <v>30.342891552711272</v>
      </c>
      <c r="AU214" s="44">
        <f t="shared" si="204"/>
        <v>168.36530956712997</v>
      </c>
      <c r="AV214" s="42" t="str">
        <f t="shared" si="181"/>
        <v>17,2130504230808+79,6788608299835i</v>
      </c>
      <c r="AW214" s="20">
        <f t="shared" si="205"/>
        <v>38.224956367547158</v>
      </c>
      <c r="AX214" s="44">
        <f t="shared" si="206"/>
        <v>77.809706612175376</v>
      </c>
    </row>
    <row r="215" spans="14:50" x14ac:dyDescent="0.3">
      <c r="N215" s="8">
        <v>97</v>
      </c>
      <c r="O215" s="35">
        <f t="shared" si="171"/>
        <v>933.25430079699106</v>
      </c>
      <c r="P215" s="34" t="str">
        <f t="shared" si="172"/>
        <v>324,571428571429</v>
      </c>
      <c r="Q215" s="4" t="str">
        <f t="shared" si="173"/>
        <v>1+134,029936242967i</v>
      </c>
      <c r="R215" s="4">
        <f t="shared" si="182"/>
        <v>134.03366670092183</v>
      </c>
      <c r="S215" s="4">
        <f t="shared" si="183"/>
        <v>1.5633354454944548</v>
      </c>
      <c r="T215" s="4" t="str">
        <f t="shared" si="174"/>
        <v>1+0,00117276194212596i</v>
      </c>
      <c r="U215" s="4">
        <f t="shared" si="184"/>
        <v>1.00000068768505</v>
      </c>
      <c r="V215" s="4">
        <f t="shared" si="185"/>
        <v>1.1727614044656489E-3</v>
      </c>
      <c r="W215" t="str">
        <f t="shared" si="175"/>
        <v>1-0,0101802251920656i</v>
      </c>
      <c r="X215" s="4">
        <f t="shared" si="186"/>
        <v>1.0000518171499722</v>
      </c>
      <c r="Y215" s="4">
        <f t="shared" si="187"/>
        <v>-1.0179873531317333E-2</v>
      </c>
      <c r="Z215" t="str">
        <f t="shared" si="176"/>
        <v>0,99999651614564+0,00872852507967707i</v>
      </c>
      <c r="AA215" s="4">
        <f t="shared" si="188"/>
        <v>1.000034609127846</v>
      </c>
      <c r="AB215" s="4">
        <f t="shared" si="189"/>
        <v>8.7283338293588832E-3</v>
      </c>
      <c r="AC215" s="48" t="str">
        <f t="shared" si="190"/>
        <v>-0,0248805483899808-2,42148195066307i</v>
      </c>
      <c r="AD215" s="20">
        <f t="shared" si="191"/>
        <v>7.6820832029961439</v>
      </c>
      <c r="AE215" s="44">
        <f t="shared" si="192"/>
        <v>-90.58868919110985</v>
      </c>
      <c r="AF215" t="str">
        <f t="shared" si="177"/>
        <v>-20791,6666666667</v>
      </c>
      <c r="AG215" t="str">
        <f t="shared" si="193"/>
        <v>5863,80971062981i</v>
      </c>
      <c r="AH215">
        <f t="shared" si="194"/>
        <v>5863.8097106298101</v>
      </c>
      <c r="AI215">
        <f t="shared" si="195"/>
        <v>1.5707963267948966</v>
      </c>
      <c r="AJ215" t="str">
        <f t="shared" si="178"/>
        <v>0,358602205018336+6,8795329648954i</v>
      </c>
      <c r="AK215">
        <f t="shared" si="196"/>
        <v>6.8888728654640241</v>
      </c>
      <c r="AL215">
        <f t="shared" si="197"/>
        <v>1.5187175087242653</v>
      </c>
      <c r="AM215" t="str">
        <f t="shared" si="179"/>
        <v>1+9,45715230130375i</v>
      </c>
      <c r="AN215">
        <f t="shared" si="198"/>
        <v>9.509875375106386</v>
      </c>
      <c r="AO215">
        <f t="shared" si="199"/>
        <v>1.4654477202357479</v>
      </c>
      <c r="AP215" t="str">
        <f t="shared" si="180"/>
        <v>1+6,64252364020145i</v>
      </c>
      <c r="AQ215">
        <f t="shared" si="200"/>
        <v>6.717374510226084</v>
      </c>
      <c r="AR215">
        <f t="shared" si="201"/>
        <v>1.4213732262928258</v>
      </c>
      <c r="AS215" s="42" t="str">
        <f t="shared" si="202"/>
        <v>-32,2071667401317+6,61905963994286i</v>
      </c>
      <c r="AT215">
        <f t="shared" si="203"/>
        <v>30.338713065173014</v>
      </c>
      <c r="AU215" s="44">
        <f t="shared" si="204"/>
        <v>168.38655292352558</v>
      </c>
      <c r="AV215" s="42" t="str">
        <f t="shared" si="181"/>
        <v>16,8292654190661+77,8243871095571i</v>
      </c>
      <c r="AW215" s="20">
        <f t="shared" si="205"/>
        <v>38.020796268169164</v>
      </c>
      <c r="AX215" s="44">
        <f t="shared" si="206"/>
        <v>77.797863732415721</v>
      </c>
    </row>
    <row r="216" spans="14:50" x14ac:dyDescent="0.3">
      <c r="N216" s="8">
        <v>98</v>
      </c>
      <c r="O216" s="35">
        <f t="shared" si="171"/>
        <v>954.99258602143675</v>
      </c>
      <c r="P216" s="34" t="str">
        <f t="shared" si="172"/>
        <v>324,571428571429</v>
      </c>
      <c r="Q216" s="4" t="str">
        <f t="shared" si="173"/>
        <v>1+137,151894513265i</v>
      </c>
      <c r="R216" s="4">
        <f t="shared" si="182"/>
        <v>137.15554005791299</v>
      </c>
      <c r="S216" s="4">
        <f t="shared" si="183"/>
        <v>1.5635052697982095</v>
      </c>
      <c r="T216" s="4" t="str">
        <f t="shared" si="174"/>
        <v>1+0,00120007907699107i</v>
      </c>
      <c r="U216" s="4">
        <f t="shared" si="184"/>
        <v>1.0000007200946361</v>
      </c>
      <c r="V216" s="4">
        <f t="shared" si="185"/>
        <v>1.2000785008776894E-3</v>
      </c>
      <c r="W216" t="str">
        <f t="shared" si="175"/>
        <v>1-0,0104173530988808i</v>
      </c>
      <c r="X216" s="4">
        <f t="shared" si="186"/>
        <v>1.0000542591507657</v>
      </c>
      <c r="Y216" s="4">
        <f t="shared" si="187"/>
        <v>-1.0416976288704305E-2</v>
      </c>
      <c r="Z216" t="str">
        <f t="shared" si="176"/>
        <v>0,999996351956643+0,00893183854698037i</v>
      </c>
      <c r="AA216" s="4">
        <f t="shared" si="188"/>
        <v>1.0000362401765366</v>
      </c>
      <c r="AB216" s="4">
        <f t="shared" si="189"/>
        <v>8.931633618972314E-3</v>
      </c>
      <c r="AC216" s="48" t="str">
        <f t="shared" si="190"/>
        <v>-0,0256936232699505-2,36635267676038i</v>
      </c>
      <c r="AD216" s="20">
        <f t="shared" si="191"/>
        <v>7.4821014080256232</v>
      </c>
      <c r="AE216" s="44">
        <f t="shared" si="192"/>
        <v>-90.622087459870698</v>
      </c>
      <c r="AF216" t="str">
        <f t="shared" si="177"/>
        <v>-20791,6666666667</v>
      </c>
      <c r="AG216" t="str">
        <f t="shared" si="193"/>
        <v>6000,39538495533i</v>
      </c>
      <c r="AH216">
        <f t="shared" si="194"/>
        <v>6000.39538495533</v>
      </c>
      <c r="AI216">
        <f t="shared" si="195"/>
        <v>1.5707963267948966</v>
      </c>
      <c r="AJ216" t="str">
        <f t="shared" si="178"/>
        <v>0,328374058217801+7,03977787314191i</v>
      </c>
      <c r="AK216">
        <f t="shared" si="196"/>
        <v>7.0474323001564798</v>
      </c>
      <c r="AL216">
        <f t="shared" si="197"/>
        <v>1.5241845990719507</v>
      </c>
      <c r="AM216" t="str">
        <f t="shared" si="179"/>
        <v>1+9,67743767685595i</v>
      </c>
      <c r="AN216">
        <f t="shared" si="198"/>
        <v>9.7289670566525768</v>
      </c>
      <c r="AO216">
        <f t="shared" si="199"/>
        <v>1.4678286386710171</v>
      </c>
      <c r="AP216" t="str">
        <f t="shared" si="180"/>
        <v>1+6,7972478920774i</v>
      </c>
      <c r="AQ216">
        <f t="shared" si="200"/>
        <v>6.8704132995294138</v>
      </c>
      <c r="AR216">
        <f t="shared" si="201"/>
        <v>1.4247257879953226</v>
      </c>
      <c r="AS216" s="42" t="str">
        <f t="shared" si="202"/>
        <v>-32,1935410125598+6,60732158421712i</v>
      </c>
      <c r="AT216">
        <f t="shared" si="203"/>
        <v>30.334562384718097</v>
      </c>
      <c r="AU216" s="44">
        <f t="shared" si="204"/>
        <v>168.4018159342026</v>
      </c>
      <c r="AV216" s="42" t="str">
        <f t="shared" si="181"/>
        <v>16,4624218315312+76,0115059178577i</v>
      </c>
      <c r="AW216" s="20">
        <f t="shared" si="205"/>
        <v>37.816663792743725</v>
      </c>
      <c r="AX216" s="44">
        <f t="shared" si="206"/>
        <v>77.779728474331918</v>
      </c>
    </row>
    <row r="217" spans="14:50" x14ac:dyDescent="0.3">
      <c r="N217" s="8">
        <v>99</v>
      </c>
      <c r="O217" s="35">
        <f t="shared" si="171"/>
        <v>977.23722095581138</v>
      </c>
      <c r="P217" s="34" t="str">
        <f t="shared" si="172"/>
        <v>324,571428571429</v>
      </c>
      <c r="Q217" s="4" t="str">
        <f t="shared" si="173"/>
        <v>1+140,346572533453i</v>
      </c>
      <c r="R217" s="4">
        <f t="shared" si="182"/>
        <v>140.35013509750459</v>
      </c>
      <c r="S217" s="4">
        <f t="shared" si="183"/>
        <v>1.5636712288352435</v>
      </c>
      <c r="T217" s="4" t="str">
        <f t="shared" si="174"/>
        <v>1+0,00122803250966771i</v>
      </c>
      <c r="U217" s="4">
        <f t="shared" si="184"/>
        <v>1.000000754031638</v>
      </c>
      <c r="V217" s="4">
        <f t="shared" si="185"/>
        <v>1.2280318923511258E-3</v>
      </c>
      <c r="W217" t="str">
        <f t="shared" si="175"/>
        <v>1-0,0106600044241989i</v>
      </c>
      <c r="X217" s="4">
        <f t="shared" si="186"/>
        <v>1.0000568162331198</v>
      </c>
      <c r="Y217" s="4">
        <f t="shared" si="187"/>
        <v>-1.0659600666059265E-2</v>
      </c>
      <c r="Z217" t="str">
        <f t="shared" si="176"/>
        <v>0,999996180029656+0,00913988779330813i</v>
      </c>
      <c r="AA217" s="4">
        <f t="shared" si="188"/>
        <v>1.0000379480913604</v>
      </c>
      <c r="AB217" s="4">
        <f t="shared" si="189"/>
        <v>9.1396682094401441E-3</v>
      </c>
      <c r="AC217" s="48" t="str">
        <f t="shared" si="190"/>
        <v>-0,0264700954142125-2,31247754064091i</v>
      </c>
      <c r="AD217" s="20">
        <f t="shared" si="191"/>
        <v>7.2821194685279718</v>
      </c>
      <c r="AE217" s="44">
        <f t="shared" si="192"/>
        <v>-90.655815457766252</v>
      </c>
      <c r="AF217" t="str">
        <f t="shared" si="177"/>
        <v>-20791,6666666667</v>
      </c>
      <c r="AG217" t="str">
        <f t="shared" si="193"/>
        <v>6140,16254833857i</v>
      </c>
      <c r="AH217">
        <f t="shared" si="194"/>
        <v>6140.1625483385696</v>
      </c>
      <c r="AI217">
        <f t="shared" si="195"/>
        <v>1.5707963267948966</v>
      </c>
      <c r="AJ217" t="str">
        <f t="shared" si="178"/>
        <v>0,296721302748287+7,20375536479922i</v>
      </c>
      <c r="AK217">
        <f t="shared" si="196"/>
        <v>7.2098637218312387</v>
      </c>
      <c r="AL217">
        <f t="shared" si="197"/>
        <v>1.5296297889926598</v>
      </c>
      <c r="AM217" t="str">
        <f t="shared" si="179"/>
        <v>1+9,90285415796044i</v>
      </c>
      <c r="AN217">
        <f t="shared" si="198"/>
        <v>9.9532165893159572</v>
      </c>
      <c r="AO217">
        <f t="shared" si="199"/>
        <v>1.4701564933791398</v>
      </c>
      <c r="AP217" t="str">
        <f t="shared" si="180"/>
        <v>1+6,95557613475793i</v>
      </c>
      <c r="AQ217">
        <f t="shared" si="200"/>
        <v>7.0270932373502824</v>
      </c>
      <c r="AR217">
        <f t="shared" si="201"/>
        <v>1.428005234799087</v>
      </c>
      <c r="AS217" s="42" t="str">
        <f t="shared" si="202"/>
        <v>-32,1793022253917+6,59896305674672i</v>
      </c>
      <c r="AT217">
        <f t="shared" si="203"/>
        <v>30.33043100560279</v>
      </c>
      <c r="AU217" s="44">
        <f t="shared" si="204"/>
        <v>168.41110424418716</v>
      </c>
      <c r="AV217" s="42" t="str">
        <f t="shared" si="181"/>
        <v>16,1117430605148+74,2392384879674i</v>
      </c>
      <c r="AW217" s="20">
        <f t="shared" si="205"/>
        <v>37.612550474130757</v>
      </c>
      <c r="AX217" s="44">
        <f t="shared" si="206"/>
        <v>77.755288786420891</v>
      </c>
    </row>
    <row r="218" spans="14:50" x14ac:dyDescent="0.3">
      <c r="N218" s="8">
        <v>100</v>
      </c>
      <c r="O218" s="35">
        <f t="shared" si="171"/>
        <v>1000</v>
      </c>
      <c r="P218" s="34" t="str">
        <f t="shared" si="172"/>
        <v>324,571428571429</v>
      </c>
      <c r="Q218" s="4" t="str">
        <f t="shared" si="173"/>
        <v>1+143,615664164105i</v>
      </c>
      <c r="R218" s="4">
        <f t="shared" si="182"/>
        <v>143.61914563628693</v>
      </c>
      <c r="S218" s="4">
        <f t="shared" si="183"/>
        <v>1.5638334105626466</v>
      </c>
      <c r="T218" s="4" t="str">
        <f t="shared" si="174"/>
        <v>1+0,00125663706143592i</v>
      </c>
      <c r="U218" s="4">
        <f t="shared" si="184"/>
        <v>1.0000007895680403</v>
      </c>
      <c r="V218" s="4">
        <f t="shared" si="185"/>
        <v>1.2566363999693109E-3</v>
      </c>
      <c r="W218" t="str">
        <f t="shared" si="175"/>
        <v>1-0,0109083078249646i</v>
      </c>
      <c r="X218" s="4">
        <f t="shared" si="186"/>
        <v>1.0000594938200449</v>
      </c>
      <c r="Y218" s="4">
        <f t="shared" si="187"/>
        <v>-1.0907875191713377E-2</v>
      </c>
      <c r="Z218" t="str">
        <f t="shared" si="176"/>
        <v>0,999996+0,00935278312912461i</v>
      </c>
      <c r="AA218" s="4">
        <f t="shared" si="188"/>
        <v>1.0000397364946358</v>
      </c>
      <c r="AB218" s="4">
        <f t="shared" si="189"/>
        <v>9.3525478412745337E-3</v>
      </c>
      <c r="AC218" s="48" t="str">
        <f t="shared" si="190"/>
        <v>-0,0272116113104985-2,25982801262944i</v>
      </c>
      <c r="AD218" s="20">
        <f t="shared" si="191"/>
        <v>7.0821374227996534</v>
      </c>
      <c r="AE218" s="44">
        <f t="shared" si="192"/>
        <v>-90.689891055628038</v>
      </c>
      <c r="AF218" t="str">
        <f t="shared" si="177"/>
        <v>-20791,6666666667</v>
      </c>
      <c r="AG218" t="str">
        <f t="shared" si="193"/>
        <v>6283,18530717959i</v>
      </c>
      <c r="AH218">
        <f t="shared" si="194"/>
        <v>6283.1853071795904</v>
      </c>
      <c r="AI218">
        <f t="shared" si="195"/>
        <v>1.5707963267948966</v>
      </c>
      <c r="AJ218" t="str">
        <f t="shared" si="178"/>
        <v>0,263576798871686+7,37155238290393i</v>
      </c>
      <c r="AK218">
        <f t="shared" si="196"/>
        <v>7.3762630960941236</v>
      </c>
      <c r="AL218">
        <f t="shared" si="197"/>
        <v>1.5350556110357982</v>
      </c>
      <c r="AM218" t="str">
        <f t="shared" si="179"/>
        <v>1+10,1335212634192i</v>
      </c>
      <c r="AN218">
        <f t="shared" si="198"/>
        <v>10.182742911228244</v>
      </c>
      <c r="AO218">
        <f t="shared" si="199"/>
        <v>1.4724324176488195</v>
      </c>
      <c r="AP218" t="str">
        <f t="shared" si="180"/>
        <v>1+7,11759231597304i</v>
      </c>
      <c r="AQ218">
        <f t="shared" si="200"/>
        <v>7.1874975044446776</v>
      </c>
      <c r="AR218">
        <f t="shared" si="201"/>
        <v>1.4312130232057054</v>
      </c>
      <c r="AS218" s="42" t="str">
        <f t="shared" si="202"/>
        <v>-32,1644219034982+6,59397127121399i</v>
      </c>
      <c r="AT218">
        <f t="shared" si="203"/>
        <v>30.326310456156733</v>
      </c>
      <c r="AU218" s="44">
        <f t="shared" si="204"/>
        <v>168.41442113314062</v>
      </c>
      <c r="AV218" s="42" t="str">
        <f t="shared" si="181"/>
        <v>15,776486740028+72,5066290443323i</v>
      </c>
      <c r="AW218" s="20">
        <f t="shared" si="205"/>
        <v>37.408447878956387</v>
      </c>
      <c r="AX218" s="44">
        <f t="shared" si="206"/>
        <v>77.724530077512597</v>
      </c>
    </row>
    <row r="219" spans="14:50" x14ac:dyDescent="0.3">
      <c r="N219" s="8">
        <v>1</v>
      </c>
      <c r="O219" s="35">
        <f>10^(3+(N219/100))</f>
        <v>1023.2929922807547</v>
      </c>
      <c r="P219" s="34" t="str">
        <f t="shared" si="172"/>
        <v>324,571428571429</v>
      </c>
      <c r="Q219" s="4" t="str">
        <f t="shared" si="173"/>
        <v>1+146,960902720875i</v>
      </c>
      <c r="R219" s="4">
        <f t="shared" si="182"/>
        <v>146.96430494693087</v>
      </c>
      <c r="S219" s="4">
        <f t="shared" si="183"/>
        <v>1.563991900937171</v>
      </c>
      <c r="T219" s="4" t="str">
        <f t="shared" si="174"/>
        <v>1+0,00128590789880765i</v>
      </c>
      <c r="U219" s="4">
        <f t="shared" si="184"/>
        <v>1.0000008267792204</v>
      </c>
      <c r="V219" s="4">
        <f t="shared" si="185"/>
        <v>1.2859071900334401E-3</v>
      </c>
      <c r="W219" t="str">
        <f t="shared" si="175"/>
        <v>1-0,0111623949549276i</v>
      </c>
      <c r="X219" s="4">
        <f t="shared" si="186"/>
        <v>1.0000622975900701</v>
      </c>
      <c r="Y219" s="4">
        <f t="shared" si="187"/>
        <v>-1.1161931381606472E-2</v>
      </c>
      <c r="Z219" t="str">
        <f t="shared" si="176"/>
        <v>0,999995811485808+0,00957063743435487i</v>
      </c>
      <c r="AA219" s="4">
        <f t="shared" si="188"/>
        <v>1.0000416091793678</v>
      </c>
      <c r="AB219" s="4">
        <f t="shared" si="189"/>
        <v>9.5703853194462531E-3</v>
      </c>
      <c r="AC219" s="48" t="str">
        <f t="shared" si="190"/>
        <v>-0,0279197433448782-2,20837621050737i</v>
      </c>
      <c r="AD219" s="20">
        <f t="shared" si="191"/>
        <v>6.8821553089113987</v>
      </c>
      <c r="AE219" s="44">
        <f t="shared" si="192"/>
        <v>-90.724332308007106</v>
      </c>
      <c r="AF219" t="str">
        <f t="shared" si="177"/>
        <v>-20791,6666666667</v>
      </c>
      <c r="AG219" t="str">
        <f t="shared" si="193"/>
        <v>6429,53949403827i</v>
      </c>
      <c r="AH219">
        <f t="shared" si="194"/>
        <v>6429.5394940382703</v>
      </c>
      <c r="AI219">
        <f t="shared" si="195"/>
        <v>1.5707963267948966</v>
      </c>
      <c r="AJ219" t="str">
        <f t="shared" si="178"/>
        <v>0,228870242651514+7,54325789565609i</v>
      </c>
      <c r="AK219">
        <f t="shared" si="196"/>
        <v>7.5467291768255027</v>
      </c>
      <c r="AL219">
        <f t="shared" si="197"/>
        <v>1.5404645983047007</v>
      </c>
      <c r="AM219" t="str">
        <f t="shared" si="179"/>
        <v>1+10,3695612959849i</v>
      </c>
      <c r="AN219">
        <f t="shared" si="198"/>
        <v>10.417667755845741</v>
      </c>
      <c r="AO219">
        <f t="shared" si="199"/>
        <v>1.4746575238422639</v>
      </c>
      <c r="AP219" t="str">
        <f t="shared" si="180"/>
        <v>1+7,28338233884655i</v>
      </c>
      <c r="AQ219">
        <f t="shared" si="200"/>
        <v>7.3517112493501706</v>
      </c>
      <c r="AR219">
        <f t="shared" si="201"/>
        <v>1.4343505898262028</v>
      </c>
      <c r="AS219" s="42" t="str">
        <f t="shared" si="202"/>
        <v>-32,148870366177+6,59233462864336i</v>
      </c>
      <c r="AT219">
        <f t="shared" si="203"/>
        <v>30.322192283182147</v>
      </c>
      <c r="AU219" s="44">
        <f t="shared" si="204"/>
        <v>168.41176751034089</v>
      </c>
      <c r="AV219" s="42" t="str">
        <f t="shared" si="181"/>
        <v>15,4559431750514+70,8127442204754i</v>
      </c>
      <c r="AW219" s="20">
        <f t="shared" si="205"/>
        <v>37.204347592093548</v>
      </c>
      <c r="AX219" s="44">
        <f t="shared" si="206"/>
        <v>77.687435202333745</v>
      </c>
    </row>
    <row r="220" spans="14:50" x14ac:dyDescent="0.3">
      <c r="N220" s="8">
        <v>2</v>
      </c>
      <c r="O220" s="35">
        <f t="shared" ref="O220:O283" si="207">10^(3+(N220/100))</f>
        <v>1047.1285480509</v>
      </c>
      <c r="P220" s="34" t="str">
        <f t="shared" si="172"/>
        <v>324,571428571429</v>
      </c>
      <c r="Q220" s="4" t="str">
        <f t="shared" si="173"/>
        <v>1+150,384061893525i</v>
      </c>
      <c r="R220" s="4">
        <f t="shared" si="182"/>
        <v>150.38738667719298</v>
      </c>
      <c r="S220" s="4">
        <f t="shared" si="183"/>
        <v>1.5641467839606438</v>
      </c>
      <c r="T220" s="4" t="str">
        <f t="shared" si="174"/>
        <v>1+0,00131586054156834i</v>
      </c>
      <c r="U220" s="4">
        <f t="shared" si="184"/>
        <v>1.0000008657441077</v>
      </c>
      <c r="V220" s="4">
        <f t="shared" si="185"/>
        <v>1.3158597821031266E-3</v>
      </c>
      <c r="W220" t="str">
        <f t="shared" si="175"/>
        <v>1-0,0114224005344474i</v>
      </c>
      <c r="X220" s="4">
        <f t="shared" si="186"/>
        <v>1.0000652334892806</v>
      </c>
      <c r="Y220" s="4">
        <f t="shared" si="187"/>
        <v>-1.1421903808434353E-2</v>
      </c>
      <c r="Z220" t="str">
        <f t="shared" si="176"/>
        <v>0,999995614087215+0,0097935662182352i</v>
      </c>
      <c r="AA220" s="4">
        <f t="shared" si="188"/>
        <v>1.0000435701172909</v>
      </c>
      <c r="AB220" s="4">
        <f t="shared" si="189"/>
        <v>9.793296072877461E-3</v>
      </c>
      <c r="AC220" s="48" t="str">
        <f t="shared" si="190"/>
        <v>-0,0285959931330261-2,15809488488786i</v>
      </c>
      <c r="AD220" s="20">
        <f t="shared" si="191"/>
        <v>6.682173164788729</v>
      </c>
      <c r="AE220" s="44">
        <f t="shared" si="192"/>
        <v>-90.759157462685948</v>
      </c>
      <c r="AF220" t="str">
        <f t="shared" si="177"/>
        <v>-20791,6666666667</v>
      </c>
      <c r="AG220" t="str">
        <f t="shared" si="193"/>
        <v>6579,30270784171i</v>
      </c>
      <c r="AH220">
        <f t="shared" si="194"/>
        <v>6579.3027078417099</v>
      </c>
      <c r="AI220">
        <f t="shared" si="195"/>
        <v>1.5707963267948966</v>
      </c>
      <c r="AJ220" t="str">
        <f t="shared" si="178"/>
        <v>0,192528016828836+7,71896294359134i</v>
      </c>
      <c r="AK220">
        <f t="shared" si="196"/>
        <v>7.7213636076667393</v>
      </c>
      <c r="AL220">
        <f t="shared" si="197"/>
        <v>1.5458592843008323</v>
      </c>
      <c r="AM220" t="str">
        <f t="shared" si="179"/>
        <v>1+10,6110994072071i</v>
      </c>
      <c r="AN220">
        <f t="shared" si="198"/>
        <v>10.658115716656058</v>
      </c>
      <c r="AO220">
        <f t="shared" si="199"/>
        <v>1.4768329035580361</v>
      </c>
      <c r="AP220" t="str">
        <f t="shared" si="180"/>
        <v>1+7,45303410744309i</v>
      </c>
      <c r="AQ220">
        <f t="shared" si="200"/>
        <v>7.5198216339691202</v>
      </c>
      <c r="AR220">
        <f t="shared" si="201"/>
        <v>1.437419351012361</v>
      </c>
      <c r="AS220" s="42" t="str">
        <f t="shared" si="202"/>
        <v>-32,1326166793741+6,59404267220352i</v>
      </c>
      <c r="AT220">
        <f t="shared" si="203"/>
        <v>30.31806803635962</v>
      </c>
      <c r="AU220" s="44">
        <f t="shared" si="204"/>
        <v>168.40314191181676</v>
      </c>
      <c r="AV220" s="42" t="str">
        <f t="shared" si="181"/>
        <v>15,1494338475242+69,1566724948464i</v>
      </c>
      <c r="AW220" s="20">
        <f t="shared" si="205"/>
        <v>37.000241201148349</v>
      </c>
      <c r="AX220" s="44">
        <f t="shared" si="206"/>
        <v>77.643984449130869</v>
      </c>
    </row>
    <row r="221" spans="14:50" x14ac:dyDescent="0.3">
      <c r="N221" s="8">
        <v>3</v>
      </c>
      <c r="O221" s="35">
        <f t="shared" si="207"/>
        <v>1071.5193052376069</v>
      </c>
      <c r="P221" s="34" t="str">
        <f t="shared" si="172"/>
        <v>324,571428571429</v>
      </c>
      <c r="Q221" s="4" t="str">
        <f t="shared" si="173"/>
        <v>1+153,886956686359i</v>
      </c>
      <c r="R221" s="4">
        <f t="shared" si="182"/>
        <v>153.89020579032746</v>
      </c>
      <c r="S221" s="4">
        <f t="shared" si="183"/>
        <v>1.5642981417243533</v>
      </c>
      <c r="T221" s="4" t="str">
        <f t="shared" si="174"/>
        <v>1+0,00134651087100564i</v>
      </c>
      <c r="U221" s="4">
        <f t="shared" si="184"/>
        <v>1.0000009065453519</v>
      </c>
      <c r="V221" s="4">
        <f t="shared" si="185"/>
        <v>1.3465100572240421E-3</v>
      </c>
      <c r="W221" t="str">
        <f t="shared" si="175"/>
        <v>1-0,011688462421924i</v>
      </c>
      <c r="X221" s="4">
        <f t="shared" si="186"/>
        <v>1.0000683077439203</v>
      </c>
      <c r="Y221" s="4">
        <f t="shared" si="187"/>
        <v>-1.1687930172375049E-2</v>
      </c>
      <c r="Z221" t="str">
        <f t="shared" si="176"/>
        <v>0,999995407385514+0,0100216876805576i</v>
      </c>
      <c r="AA221" s="4">
        <f t="shared" si="188"/>
        <v>1.000045623467293</v>
      </c>
      <c r="AB221" s="4">
        <f t="shared" si="189"/>
        <v>1.0021398215302882E-2</v>
      </c>
      <c r="AC221" s="48" t="str">
        <f t="shared" si="190"/>
        <v>-0,0292417947017222-2,10895740491594i</v>
      </c>
      <c r="AD221" s="20">
        <f t="shared" si="191"/>
        <v>6.4821910282922524</v>
      </c>
      <c r="AE221" s="44">
        <f t="shared" si="192"/>
        <v>-90.794384970289585</v>
      </c>
      <c r="AF221" t="str">
        <f t="shared" si="177"/>
        <v>-20791,6666666667</v>
      </c>
      <c r="AG221" t="str">
        <f t="shared" si="193"/>
        <v>6732,55435502821i</v>
      </c>
      <c r="AH221">
        <f t="shared" si="194"/>
        <v>6732.55435502821</v>
      </c>
      <c r="AI221">
        <f t="shared" si="195"/>
        <v>1.5707963267948966</v>
      </c>
      <c r="AJ221" t="str">
        <f t="shared" si="178"/>
        <v>0,1544730346702+7,89876068785184i</v>
      </c>
      <c r="AK221">
        <f t="shared" si="196"/>
        <v>7.9002710284137647</v>
      </c>
      <c r="AL221">
        <f t="shared" si="197"/>
        <v>1.551242202803166</v>
      </c>
      <c r="AM221" t="str">
        <f t="shared" si="179"/>
        <v>1+10,8582636637895i</v>
      </c>
      <c r="AN221">
        <f t="shared" si="198"/>
        <v>10.904214313391467</v>
      </c>
      <c r="AO221">
        <f t="shared" si="199"/>
        <v>1.4789596278098995</v>
      </c>
      <c r="AP221" t="str">
        <f t="shared" si="180"/>
        <v>1+7,62663757337596i</v>
      </c>
      <c r="AQ221">
        <f t="shared" si="200"/>
        <v>7.6919178801928165</v>
      </c>
      <c r="AR221">
        <f t="shared" si="201"/>
        <v>1.4404207025446134</v>
      </c>
      <c r="AS221" s="42" t="str">
        <f t="shared" si="202"/>
        <v>-32,1156286065841+6,59908604003749i</v>
      </c>
      <c r="AT221">
        <f t="shared" si="203"/>
        <v>30.313929252644535</v>
      </c>
      <c r="AU221" s="44">
        <f t="shared" si="204"/>
        <v>168.38854049962325</v>
      </c>
      <c r="AV221" s="42" t="str">
        <f t="shared" si="181"/>
        <v>14,856309988245+67,537523644184i</v>
      </c>
      <c r="AW221" s="20">
        <f t="shared" si="205"/>
        <v>36.79612028093679</v>
      </c>
      <c r="AX221" s="44">
        <f t="shared" si="206"/>
        <v>77.594155529333648</v>
      </c>
    </row>
    <row r="222" spans="14:50" x14ac:dyDescent="0.3">
      <c r="N222" s="8">
        <v>4</v>
      </c>
      <c r="O222" s="35">
        <f t="shared" si="207"/>
        <v>1096.4781961431863</v>
      </c>
      <c r="P222" s="34" t="str">
        <f t="shared" si="172"/>
        <v>324,571428571429</v>
      </c>
      <c r="Q222" s="4" t="str">
        <f t="shared" si="173"/>
        <v>1+157,471444380563i</v>
      </c>
      <c r="R222" s="4">
        <f t="shared" si="182"/>
        <v>157.47461952740434</v>
      </c>
      <c r="S222" s="4">
        <f t="shared" si="183"/>
        <v>1.5644460544524337</v>
      </c>
      <c r="T222" s="4" t="str">
        <f t="shared" si="174"/>
        <v>1+0,00137787513832993i</v>
      </c>
      <c r="U222" s="4">
        <f t="shared" si="184"/>
        <v>1.0000009492694979</v>
      </c>
      <c r="V222" s="4">
        <f t="shared" si="185"/>
        <v>1.3778742663472822E-3</v>
      </c>
      <c r="W222" t="str">
        <f t="shared" si="175"/>
        <v>1-0,0119607216868917i</v>
      </c>
      <c r="X222" s="4">
        <f t="shared" si="186"/>
        <v>1.0000715268735889</v>
      </c>
      <c r="Y222" s="4">
        <f t="shared" si="187"/>
        <v>-1.1960151373427794E-2</v>
      </c>
      <c r="Z222" t="str">
        <f t="shared" si="176"/>
        <v>0,999995190942262+0,010255122774341i</v>
      </c>
      <c r="AA222" s="4">
        <f t="shared" si="188"/>
        <v>1.0000477735842261</v>
      </c>
      <c r="AB222" s="4">
        <f t="shared" si="189"/>
        <v>1.0254812607530485E-2</v>
      </c>
      <c r="AC222" s="48" t="str">
        <f t="shared" si="190"/>
        <v>-0,0298585175273068-2,06093774428669i</v>
      </c>
      <c r="AD222" s="20">
        <f t="shared" si="191"/>
        <v>6.2822089372977485</v>
      </c>
      <c r="AE222" s="44">
        <f t="shared" si="192"/>
        <v>-90.830033494000887</v>
      </c>
      <c r="AF222" t="str">
        <f t="shared" si="177"/>
        <v>-20791,6666666667</v>
      </c>
      <c r="AG222" t="str">
        <f t="shared" si="193"/>
        <v>6889,37569164964i</v>
      </c>
      <c r="AH222">
        <f t="shared" si="194"/>
        <v>6889.3756916496404</v>
      </c>
      <c r="AI222">
        <f t="shared" si="195"/>
        <v>1.5707963267948966</v>
      </c>
      <c r="AJ222" t="str">
        <f t="shared" si="178"/>
        <v>0,114624576456322+8,08274645958151i</v>
      </c>
      <c r="AK222">
        <f t="shared" si="196"/>
        <v>8.0835591866086585</v>
      </c>
      <c r="AL222">
        <f t="shared" si="197"/>
        <v>1.5566158877773102</v>
      </c>
      <c r="AM222" t="str">
        <f t="shared" si="179"/>
        <v>1+11,1111851154925i</v>
      </c>
      <c r="AN222">
        <f t="shared" si="198"/>
        <v>11.15609405978374</v>
      </c>
      <c r="AO222">
        <f t="shared" si="199"/>
        <v>1.4810387472200923</v>
      </c>
      <c r="AP222" t="str">
        <f t="shared" si="180"/>
        <v>1+7,80428478350071i</v>
      </c>
      <c r="AQ222">
        <f t="shared" si="200"/>
        <v>7.8680913175928957</v>
      </c>
      <c r="AR222">
        <f t="shared" si="201"/>
        <v>1.4433560193726975</v>
      </c>
      <c r="AS222" s="42" t="str">
        <f t="shared" si="202"/>
        <v>-32,0978725584513+6,60745641594745i</v>
      </c>
      <c r="AT222">
        <f t="shared" si="203"/>
        <v>30.309767440639547</v>
      </c>
      <c r="AU222" s="44">
        <f t="shared" si="204"/>
        <v>168.36795706326271</v>
      </c>
      <c r="AV222" s="42" t="str">
        <f t="shared" si="181"/>
        <v>14,5759512117311+65,9544282138098i</v>
      </c>
      <c r="AW222" s="20">
        <f t="shared" si="205"/>
        <v>36.5919763779373</v>
      </c>
      <c r="AX222" s="44">
        <f t="shared" si="206"/>
        <v>77.537923569261864</v>
      </c>
    </row>
    <row r="223" spans="14:50" x14ac:dyDescent="0.3">
      <c r="N223" s="8">
        <v>5</v>
      </c>
      <c r="O223" s="35">
        <f t="shared" si="207"/>
        <v>1122.0184543019636</v>
      </c>
      <c r="P223" s="34" t="str">
        <f t="shared" si="172"/>
        <v>324,571428571429</v>
      </c>
      <c r="Q223" s="4" t="str">
        <f t="shared" si="173"/>
        <v>1+161,139425518959i</v>
      </c>
      <c r="R223" s="4">
        <f t="shared" si="182"/>
        <v>161.14252839204224</v>
      </c>
      <c r="S223" s="4">
        <f t="shared" si="183"/>
        <v>1.5645906005442676</v>
      </c>
      <c r="T223" s="4" t="str">
        <f t="shared" si="174"/>
        <v>1+0,00140996997329089i</v>
      </c>
      <c r="U223" s="4">
        <f t="shared" si="184"/>
        <v>1.0000009940071688</v>
      </c>
      <c r="V223" s="4">
        <f t="shared" si="185"/>
        <v>1.4099690389446993E-3</v>
      </c>
      <c r="W223" t="str">
        <f t="shared" si="175"/>
        <v>1-0,0122393226848168i</v>
      </c>
      <c r="X223" s="4">
        <f t="shared" si="186"/>
        <v>1.0000748977050584</v>
      </c>
      <c r="Y223" s="4">
        <f t="shared" si="187"/>
        <v>-1.2238711585401968E-2</v>
      </c>
      <c r="Z223" t="str">
        <f t="shared" si="176"/>
        <v>0,999994964298353+0,0104939952699619i</v>
      </c>
      <c r="AA223" s="4">
        <f t="shared" si="188"/>
        <v>1.0000500250281432</v>
      </c>
      <c r="AB223" s="4">
        <f t="shared" si="189"/>
        <v>1.0493662921132088E-2</v>
      </c>
      <c r="AC223" s="48" t="str">
        <f t="shared" si="190"/>
        <v>-0,0304474694375094-2,01401046757483i</v>
      </c>
      <c r="AD223" s="20">
        <f t="shared" si="191"/>
        <v>6.0822269297766525</v>
      </c>
      <c r="AE223" s="44">
        <f t="shared" si="192"/>
        <v>-90.866121919384952</v>
      </c>
      <c r="AF223" t="str">
        <f t="shared" si="177"/>
        <v>-20791,6666666667</v>
      </c>
      <c r="AG223" t="str">
        <f t="shared" si="193"/>
        <v>7049,84986645445i</v>
      </c>
      <c r="AH223">
        <f t="shared" si="194"/>
        <v>7049.8498664544504</v>
      </c>
      <c r="AI223">
        <f t="shared" si="195"/>
        <v>1.5707963267948966</v>
      </c>
      <c r="AJ223" t="str">
        <f t="shared" si="178"/>
        <v>0,07289811826476+8,27101781047182i</v>
      </c>
      <c r="AK223">
        <f t="shared" si="196"/>
        <v>8.2713390546385295</v>
      </c>
      <c r="AL223">
        <f t="shared" si="197"/>
        <v>1.5619828733090113</v>
      </c>
      <c r="AM223" t="str">
        <f t="shared" si="179"/>
        <v>1+11,3699978646177i</v>
      </c>
      <c r="AN223">
        <f t="shared" si="198"/>
        <v>11.413888532897589</v>
      </c>
      <c r="AO223">
        <f t="shared" si="199"/>
        <v>1.4830712922255957</v>
      </c>
      <c r="AP223" t="str">
        <f t="shared" si="180"/>
        <v>1+7,9860699287196i</v>
      </c>
      <c r="AQ223">
        <f t="shared" si="200"/>
        <v>8.0484354322066523</v>
      </c>
      <c r="AR223">
        <f t="shared" si="201"/>
        <v>1.4462266554054248</v>
      </c>
      <c r="AS223" s="42" t="str">
        <f t="shared" si="202"/>
        <v>-32,0793135410975+6,61914647775444i</v>
      </c>
      <c r="AT223">
        <f t="shared" si="203"/>
        <v>30.30557406492769</v>
      </c>
      <c r="AU223" s="44">
        <f t="shared" si="204"/>
        <v>168.34138302326758</v>
      </c>
      <c r="AV223" s="42" t="str">
        <f t="shared" si="181"/>
        <v>14,3077642112274+64,4065370043015i</v>
      </c>
      <c r="AW223" s="20">
        <f t="shared" si="205"/>
        <v>36.387800994704342</v>
      </c>
      <c r="AX223" s="44">
        <f t="shared" si="206"/>
        <v>77.475261103882588</v>
      </c>
    </row>
    <row r="224" spans="14:50" x14ac:dyDescent="0.3">
      <c r="N224" s="8">
        <v>6</v>
      </c>
      <c r="O224" s="35">
        <f t="shared" si="207"/>
        <v>1148.1536214968839</v>
      </c>
      <c r="P224" s="34" t="str">
        <f t="shared" si="172"/>
        <v>324,571428571429</v>
      </c>
      <c r="Q224" s="4" t="str">
        <f t="shared" si="173"/>
        <v>1+164,892844913697i</v>
      </c>
      <c r="R224" s="4">
        <f t="shared" si="182"/>
        <v>164.89587715807974</v>
      </c>
      <c r="S224" s="4">
        <f t="shared" si="183"/>
        <v>1.5647318566159321</v>
      </c>
      <c r="T224" s="4" t="str">
        <f t="shared" si="174"/>
        <v>1+0,00144281239299485i</v>
      </c>
      <c r="U224" s="4">
        <f t="shared" si="184"/>
        <v>1.0000010408532589</v>
      </c>
      <c r="V224" s="4">
        <f t="shared" si="185"/>
        <v>1.4428113918249252E-3</v>
      </c>
      <c r="W224" t="str">
        <f t="shared" si="175"/>
        <v>1-0,0125244131336359i</v>
      </c>
      <c r="X224" s="4">
        <f t="shared" si="186"/>
        <v>1.0000784273867436</v>
      </c>
      <c r="Y224" s="4">
        <f t="shared" si="187"/>
        <v>-1.2523758331588848E-2</v>
      </c>
      <c r="Z224" t="str">
        <f t="shared" si="176"/>
        <v>0,999994726973046+0,0107384318207794i</v>
      </c>
      <c r="AA224" s="4">
        <f t="shared" si="188"/>
        <v>1.0000523825739662</v>
      </c>
      <c r="AB224" s="4">
        <f t="shared" si="189"/>
        <v>1.0738075703596937E-2</v>
      </c>
      <c r="AC224" s="48" t="str">
        <f t="shared" si="190"/>
        <v>-0,0310098993827741-1,96815071686889i</v>
      </c>
      <c r="AD224" s="20">
        <f t="shared" si="191"/>
        <v>5.8822450438762806</v>
      </c>
      <c r="AE224" s="44">
        <f t="shared" si="192"/>
        <v>-90.902669364327323</v>
      </c>
      <c r="AF224" t="str">
        <f t="shared" si="177"/>
        <v>-20791,6666666667</v>
      </c>
      <c r="AG224" t="str">
        <f t="shared" si="193"/>
        <v>7214,06196497425i</v>
      </c>
      <c r="AH224">
        <f t="shared" si="194"/>
        <v>7214.0619649742503</v>
      </c>
      <c r="AI224">
        <f t="shared" si="195"/>
        <v>1.5707963267948966</v>
      </c>
      <c r="AJ224" t="str">
        <f t="shared" si="178"/>
        <v>0,029205152683321+8,46367456448513i</v>
      </c>
      <c r="AK224">
        <f t="shared" si="196"/>
        <v>8.4637249526704146</v>
      </c>
      <c r="AL224">
        <f t="shared" si="197"/>
        <v>1.5673456935567289</v>
      </c>
      <c r="AM224" t="str">
        <f t="shared" si="179"/>
        <v>1+11,6348391371105i</v>
      </c>
      <c r="AN224">
        <f t="shared" si="198"/>
        <v>11.677734444079391</v>
      </c>
      <c r="AO224">
        <f t="shared" si="199"/>
        <v>1.4850582732960356</v>
      </c>
      <c r="AP224" t="str">
        <f t="shared" si="180"/>
        <v>1+8,17208939392283i</v>
      </c>
      <c r="AQ224">
        <f t="shared" si="200"/>
        <v>8.2330459164434409</v>
      </c>
      <c r="AR224">
        <f t="shared" si="201"/>
        <v>1.449033943346113</v>
      </c>
      <c r="AS224" s="42" t="str">
        <f t="shared" si="202"/>
        <v>-32,0599151032112+6,63414984314348i</v>
      </c>
      <c r="AT224">
        <f t="shared" si="203"/>
        <v>30.301340530350778</v>
      </c>
      <c r="AU224" s="44">
        <f t="shared" si="204"/>
        <v>168.30880743697409</v>
      </c>
      <c r="AV224" s="42" t="str">
        <f t="shared" si="181"/>
        <v>14,0511815111693+62,8930205740148i</v>
      </c>
      <c r="AW224" s="20">
        <f t="shared" si="205"/>
        <v>36.183585574227067</v>
      </c>
      <c r="AX224" s="44">
        <f t="shared" si="206"/>
        <v>77.406138072646812</v>
      </c>
    </row>
    <row r="225" spans="14:50" x14ac:dyDescent="0.3">
      <c r="N225" s="8">
        <v>7</v>
      </c>
      <c r="O225" s="35">
        <f t="shared" si="207"/>
        <v>1174.8975549395295</v>
      </c>
      <c r="P225" s="34" t="str">
        <f t="shared" si="172"/>
        <v>324,571428571429</v>
      </c>
      <c r="Q225" s="4" t="str">
        <f t="shared" si="173"/>
        <v>1+168,733692677423i</v>
      </c>
      <c r="R225" s="4">
        <f t="shared" si="182"/>
        <v>168.73665590072309</v>
      </c>
      <c r="S225" s="4">
        <f t="shared" si="183"/>
        <v>1.5648698975407045</v>
      </c>
      <c r="T225" s="4" t="str">
        <f t="shared" si="174"/>
        <v>1+0,00147641981092745i</v>
      </c>
      <c r="U225" s="4">
        <f t="shared" si="184"/>
        <v>1.0000010899071352</v>
      </c>
      <c r="V225" s="4">
        <f t="shared" si="185"/>
        <v>1.476418738154611E-3</v>
      </c>
      <c r="W225" t="str">
        <f t="shared" si="175"/>
        <v>1-0,0128161441920786i</v>
      </c>
      <c r="X225" s="4">
        <f t="shared" si="186"/>
        <v>1.0000821234038493</v>
      </c>
      <c r="Y225" s="4">
        <f t="shared" si="187"/>
        <v>-1.2815442562155799E-2</v>
      </c>
      <c r="Z225" t="str">
        <f t="shared" si="176"/>
        <v>0,999994478462942+0,0109885620302882i</v>
      </c>
      <c r="AA225" s="4">
        <f t="shared" si="188"/>
        <v>1.0000548512216041</v>
      </c>
      <c r="AB225" s="4">
        <f t="shared" si="189"/>
        <v>1.0988180444979607E-2</v>
      </c>
      <c r="AC225" s="48" t="str">
        <f t="shared" si="190"/>
        <v>-0,0315470000829445-1,92333419870361i</v>
      </c>
      <c r="AD225" s="20">
        <f t="shared" si="191"/>
        <v>5.6822633180006168</v>
      </c>
      <c r="AE225" s="44">
        <f t="shared" si="192"/>
        <v>-90.939695189090997</v>
      </c>
      <c r="AF225" t="str">
        <f t="shared" si="177"/>
        <v>-20791,6666666667</v>
      </c>
      <c r="AG225" t="str">
        <f t="shared" si="193"/>
        <v>7382,09905463727i</v>
      </c>
      <c r="AH225">
        <f t="shared" si="194"/>
        <v>7382.0990546372695</v>
      </c>
      <c r="AI225">
        <f t="shared" si="195"/>
        <v>1.5707963267948966</v>
      </c>
      <c r="AJ225" t="str">
        <f t="shared" si="178"/>
        <v>-0,0165469989260101+8,66081887078249i</v>
      </c>
      <c r="AK225">
        <f t="shared" si="196"/>
        <v>8.660834677770703</v>
      </c>
      <c r="AL225">
        <f t="shared" si="197"/>
        <v>1.5727068827180102</v>
      </c>
      <c r="AM225" t="str">
        <f t="shared" si="179"/>
        <v>1+11,905849355319i</v>
      </c>
      <c r="AN225">
        <f t="shared" si="198"/>
        <v>11.947771711559854</v>
      </c>
      <c r="AO225">
        <f t="shared" si="199"/>
        <v>1.4870006811619592</v>
      </c>
      <c r="AP225" t="str">
        <f t="shared" si="180"/>
        <v>1+8,3624418090931i</v>
      </c>
      <c r="AQ225">
        <f t="shared" si="200"/>
        <v>8.422020720140047</v>
      </c>
      <c r="AR225">
        <f t="shared" si="201"/>
        <v>1.4517791945704144</v>
      </c>
      <c r="AS225" s="42" t="str">
        <f t="shared" si="202"/>
        <v>-32,0396392819425+6,65246101279828i</v>
      </c>
      <c r="AT225">
        <f t="shared" si="203"/>
        <v>30.29705816621831</v>
      </c>
      <c r="AU225" s="44">
        <f t="shared" si="204"/>
        <v>168.27021700652739</v>
      </c>
      <c r="AV225" s="42" t="str">
        <f t="shared" si="181"/>
        <v>13,8056602745423+61,4130687569651i</v>
      </c>
      <c r="AW225" s="20">
        <f t="shared" si="205"/>
        <v>35.979321484218936</v>
      </c>
      <c r="AX225" s="44">
        <f t="shared" si="206"/>
        <v>77.330521817436463</v>
      </c>
    </row>
    <row r="226" spans="14:50" x14ac:dyDescent="0.3">
      <c r="N226" s="8">
        <v>8</v>
      </c>
      <c r="O226" s="35">
        <f t="shared" si="207"/>
        <v>1202.2644346174138</v>
      </c>
      <c r="P226" s="34" t="str">
        <f t="shared" si="172"/>
        <v>324,571428571429</v>
      </c>
      <c r="Q226" s="4" t="str">
        <f t="shared" si="173"/>
        <v>1+172,664005278462i</v>
      </c>
      <c r="R226" s="4">
        <f t="shared" si="182"/>
        <v>172.66690105170926</v>
      </c>
      <c r="S226" s="4">
        <f t="shared" si="183"/>
        <v>1.5650047964886553</v>
      </c>
      <c r="T226" s="4" t="str">
        <f t="shared" si="174"/>
        <v>1+0,00151081004618654i</v>
      </c>
      <c r="U226" s="4">
        <f t="shared" si="184"/>
        <v>1.0000011412728467</v>
      </c>
      <c r="V226" s="4">
        <f t="shared" si="185"/>
        <v>1.5108088966898038E-3</v>
      </c>
      <c r="W226" t="str">
        <f t="shared" si="175"/>
        <v>1-0,0131146705398137i</v>
      </c>
      <c r="X226" s="4">
        <f t="shared" si="186"/>
        <v>1.0000859935942348</v>
      </c>
      <c r="Y226" s="4">
        <f t="shared" si="187"/>
        <v>-1.3113918733297664E-2</v>
      </c>
      <c r="Z226" t="str">
        <f t="shared" si="176"/>
        <v>0,999994218240917+0,0112445185208363i</v>
      </c>
      <c r="AA226" s="4">
        <f t="shared" si="188"/>
        <v>1.0000574362065553</v>
      </c>
      <c r="AB226" s="4">
        <f t="shared" si="189"/>
        <v>1.1244109646076446E-2</v>
      </c>
      <c r="AC226" s="48" t="str">
        <f t="shared" si="190"/>
        <v>-0,0320599105548942-1,87953717128411i</v>
      </c>
      <c r="AD226" s="20">
        <f t="shared" si="191"/>
        <v>5.4822817908915766</v>
      </c>
      <c r="AE226" s="44">
        <f t="shared" si="192"/>
        <v>-90.977219006497137</v>
      </c>
      <c r="AF226" t="str">
        <f t="shared" si="177"/>
        <v>-20791,6666666667</v>
      </c>
      <c r="AG226" t="str">
        <f t="shared" si="193"/>
        <v>7554,05023093271i</v>
      </c>
      <c r="AH226">
        <f t="shared" si="194"/>
        <v>7554.0502309327103</v>
      </c>
      <c r="AI226">
        <f t="shared" si="195"/>
        <v>1.5707963267948966</v>
      </c>
      <c r="AJ226" t="str">
        <f t="shared" si="178"/>
        <v>-0,06445538301089+8,86255525788464i</v>
      </c>
      <c r="AK226">
        <f t="shared" si="196"/>
        <v>8.8627896395806296</v>
      </c>
      <c r="AL226">
        <f t="shared" si="197"/>
        <v>1.5780689750044297</v>
      </c>
      <c r="AM226" t="str">
        <f t="shared" si="179"/>
        <v>1+12,1831722124483i</v>
      </c>
      <c r="AN226">
        <f t="shared" si="198"/>
        <v>12.224143534750089</v>
      </c>
      <c r="AO226">
        <f t="shared" si="199"/>
        <v>1.4888994870523178</v>
      </c>
      <c r="AP226" t="str">
        <f t="shared" si="180"/>
        <v>1+8,55722810160057i</v>
      </c>
      <c r="AQ226">
        <f t="shared" si="200"/>
        <v>8.6154601027932625</v>
      </c>
      <c r="AR226">
        <f t="shared" si="201"/>
        <v>1.4544636990434354</v>
      </c>
      <c r="AS226" s="42" t="str">
        <f t="shared" si="202"/>
        <v>-32,0184465476628+6,67407531061887i</v>
      </c>
      <c r="AT226">
        <f t="shared" si="203"/>
        <v>30.292718210433218</v>
      </c>
      <c r="AU226" s="44">
        <f t="shared" si="204"/>
        <v>168.22559608917615</v>
      </c>
      <c r="AV226" s="42" t="str">
        <f t="shared" si="181"/>
        <v>13,5706811626824+59,9658901956105i</v>
      </c>
      <c r="AW226" s="20">
        <f t="shared" si="205"/>
        <v>35.775000001324791</v>
      </c>
      <c r="AX226" s="44">
        <f t="shared" si="206"/>
        <v>77.248377082679042</v>
      </c>
    </row>
    <row r="227" spans="14:50" x14ac:dyDescent="0.3">
      <c r="N227" s="8">
        <v>9</v>
      </c>
      <c r="O227" s="35">
        <f t="shared" si="207"/>
        <v>1230.2687708123824</v>
      </c>
      <c r="P227" s="34" t="str">
        <f t="shared" si="172"/>
        <v>324,571428571429</v>
      </c>
      <c r="Q227" s="4" t="str">
        <f t="shared" si="173"/>
        <v>1+176,685866620577i</v>
      </c>
      <c r="R227" s="4">
        <f t="shared" si="182"/>
        <v>176.68869647904569</v>
      </c>
      <c r="S227" s="4">
        <f t="shared" si="183"/>
        <v>1.565136624965342</v>
      </c>
      <c r="T227" s="4" t="str">
        <f t="shared" si="174"/>
        <v>1+0,00154600133293005i</v>
      </c>
      <c r="U227" s="4">
        <f t="shared" si="184"/>
        <v>1.0000011950593466</v>
      </c>
      <c r="V227" s="4">
        <f t="shared" si="185"/>
        <v>1.5460001012221852E-3</v>
      </c>
      <c r="W227" t="str">
        <f t="shared" si="175"/>
        <v>1-0,0134201504594622i</v>
      </c>
      <c r="X227" s="4">
        <f t="shared" si="186"/>
        <v>1.0000900461650213</v>
      </c>
      <c r="Y227" s="4">
        <f t="shared" si="187"/>
        <v>-1.3419344888183807E-2</v>
      </c>
      <c r="Z227" t="str">
        <f t="shared" si="176"/>
        <v>0,999993945755006+0,0115064370039429i</v>
      </c>
      <c r="AA227" s="4">
        <f t="shared" si="188"/>
        <v>1.000060143011005</v>
      </c>
      <c r="AB227" s="4">
        <f t="shared" si="189"/>
        <v>1.1505998888163518E-2</v>
      </c>
      <c r="AC227" s="48" t="str">
        <f t="shared" si="190"/>
        <v>-0,0325497185264491-1,83673643199562i</v>
      </c>
      <c r="AD227" s="20">
        <f t="shared" si="191"/>
        <v>5.2823005017111937</v>
      </c>
      <c r="AE227" s="44">
        <f t="shared" si="192"/>
        <v>-91.015260692234591</v>
      </c>
      <c r="AF227" t="str">
        <f t="shared" si="177"/>
        <v>-20791,6666666667</v>
      </c>
      <c r="AG227" t="str">
        <f t="shared" si="193"/>
        <v>7730,00666465025i</v>
      </c>
      <c r="AH227">
        <f t="shared" si="194"/>
        <v>7730.0066646502501</v>
      </c>
      <c r="AI227">
        <f t="shared" si="195"/>
        <v>1.5707963267948966</v>
      </c>
      <c r="AJ227" t="str">
        <f t="shared" si="178"/>
        <v>-0,11462161967716+9,0689906890943i</v>
      </c>
      <c r="AK227">
        <f t="shared" si="196"/>
        <v>9.0697150029411908</v>
      </c>
      <c r="AL227">
        <f t="shared" si="197"/>
        <v>1.5834345046198852</v>
      </c>
      <c r="AM227" t="str">
        <f t="shared" si="179"/>
        <v>1+12,4669547487479i</v>
      </c>
      <c r="AN227">
        <f t="shared" si="198"/>
        <v>12.506996470269264</v>
      </c>
      <c r="AO227">
        <f t="shared" si="199"/>
        <v>1.4907556429400433</v>
      </c>
      <c r="AP227" t="str">
        <f t="shared" si="180"/>
        <v>1+8,7565515497158i</v>
      </c>
      <c r="AQ227">
        <f t="shared" si="200"/>
        <v>8.8134666869983782</v>
      </c>
      <c r="AR227">
        <f t="shared" si="201"/>
        <v>1.4570887252732159</v>
      </c>
      <c r="AS227" s="42" t="str">
        <f t="shared" si="202"/>
        <v>-31,9962957476473+6,69898882080914i</v>
      </c>
      <c r="AT227">
        <f t="shared" si="203"/>
        <v>30.288311793518172</v>
      </c>
      <c r="AU227" s="44">
        <f t="shared" si="204"/>
        <v>168.17492670992067</v>
      </c>
      <c r="AV227" s="42" t="str">
        <f t="shared" si="181"/>
        <v>13,3457472451865+58,5507118880812i</v>
      </c>
      <c r="AW227" s="20">
        <f t="shared" si="205"/>
        <v>35.570612295229374</v>
      </c>
      <c r="AX227" s="44">
        <f t="shared" si="206"/>
        <v>77.159666017686064</v>
      </c>
    </row>
    <row r="228" spans="14:50" x14ac:dyDescent="0.3">
      <c r="N228" s="8">
        <v>10</v>
      </c>
      <c r="O228" s="35">
        <f t="shared" si="207"/>
        <v>1258.925411794168</v>
      </c>
      <c r="P228" s="34" t="str">
        <f t="shared" si="172"/>
        <v>324,571428571429</v>
      </c>
      <c r="Q228" s="4" t="str">
        <f t="shared" si="173"/>
        <v>1+180,801409147889i</v>
      </c>
      <c r="R228" s="4">
        <f t="shared" si="182"/>
        <v>180.80417459191133</v>
      </c>
      <c r="S228" s="4">
        <f t="shared" si="183"/>
        <v>1.5652654528496293</v>
      </c>
      <c r="T228" s="4" t="str">
        <f t="shared" si="174"/>
        <v>1+0,00158201233004403i</v>
      </c>
      <c r="U228" s="4">
        <f t="shared" si="184"/>
        <v>1.0000012513807233</v>
      </c>
      <c r="V228" s="4">
        <f t="shared" si="185"/>
        <v>1.5820110102453635E-3</v>
      </c>
      <c r="W228" t="str">
        <f t="shared" si="175"/>
        <v>1-0,0137327459205211i</v>
      </c>
      <c r="X228" s="4">
        <f t="shared" si="186"/>
        <v>1.000094289709984</v>
      </c>
      <c r="Y228" s="4">
        <f t="shared" si="187"/>
        <v>-1.3731882739739838E-2</v>
      </c>
      <c r="Z228" t="str">
        <f t="shared" si="176"/>
        <v>0,99999366042723+0,0117744563522547i</v>
      </c>
      <c r="AA228" s="4">
        <f t="shared" si="188"/>
        <v>1.0000629773754459</v>
      </c>
      <c r="AB228" s="4">
        <f t="shared" si="189"/>
        <v>1.1773986904331546E-2</v>
      </c>
      <c r="AC228" s="48" t="str">
        <f t="shared" si="190"/>
        <v>-0,0330174627417018-1,79490930519247i</v>
      </c>
      <c r="AD228" s="20">
        <f t="shared" si="191"/>
        <v>5.0823194901242292</v>
      </c>
      <c r="AE228" s="44">
        <f t="shared" si="192"/>
        <v>-91.053840395303155</v>
      </c>
      <c r="AF228" t="str">
        <f t="shared" si="177"/>
        <v>-20791,6666666667</v>
      </c>
      <c r="AG228" t="str">
        <f t="shared" si="193"/>
        <v>7910,06165022013i</v>
      </c>
      <c r="AH228">
        <f t="shared" si="194"/>
        <v>7910.0616502201301</v>
      </c>
      <c r="AI228">
        <f t="shared" si="195"/>
        <v>1.5707963267948966</v>
      </c>
      <c r="AJ228" t="str">
        <f t="shared" si="178"/>
        <v>-0,16715211823869+9,28023461920961i</v>
      </c>
      <c r="AK228">
        <f t="shared" si="196"/>
        <v>9.2817398378864411</v>
      </c>
      <c r="AL228">
        <f t="shared" si="197"/>
        <v>1.5888060057370312</v>
      </c>
      <c r="AM228" t="str">
        <f t="shared" si="179"/>
        <v>1+12,757347429475i</v>
      </c>
      <c r="AN228">
        <f t="shared" si="198"/>
        <v>12.796480509746903</v>
      </c>
      <c r="AO228">
        <f t="shared" si="199"/>
        <v>1.492570081794719</v>
      </c>
      <c r="AP228" t="str">
        <f t="shared" si="180"/>
        <v>1+8,96051783736936i</v>
      </c>
      <c r="AQ228">
        <f t="shared" si="200"/>
        <v>9.0161455131233605</v>
      </c>
      <c r="AR228">
        <f t="shared" si="201"/>
        <v>1.4596555202978019</v>
      </c>
      <c r="AS228" s="42" t="str">
        <f t="shared" si="202"/>
        <v>-31,9731440487666+6,72719832161088i</v>
      </c>
      <c r="AT228">
        <f t="shared" si="203"/>
        <v>30.283829922530579</v>
      </c>
      <c r="AU228" s="44">
        <f t="shared" si="204"/>
        <v>168.11818857659981</v>
      </c>
      <c r="AV228" s="42" t="str">
        <f t="shared" si="181"/>
        <v>13,1303829576997+57,1667787494506i</v>
      </c>
      <c r="AW228" s="20">
        <f t="shared" si="205"/>
        <v>35.366149412654806</v>
      </c>
      <c r="AX228" s="44">
        <f t="shared" si="206"/>
        <v>77.064348181296694</v>
      </c>
    </row>
    <row r="229" spans="14:50" x14ac:dyDescent="0.3">
      <c r="N229" s="8">
        <v>11</v>
      </c>
      <c r="O229" s="35">
        <f t="shared" si="207"/>
        <v>1288.2495516931347</v>
      </c>
      <c r="P229" s="34" t="str">
        <f t="shared" si="172"/>
        <v>324,571428571429</v>
      </c>
      <c r="Q229" s="4" t="str">
        <f t="shared" si="173"/>
        <v>1+185,01281497552i</v>
      </c>
      <c r="R229" s="4">
        <f t="shared" si="182"/>
        <v>185.0155174712813</v>
      </c>
      <c r="S229" s="4">
        <f t="shared" si="183"/>
        <v>1.5653913484306521</v>
      </c>
      <c r="T229" s="4" t="str">
        <f t="shared" si="174"/>
        <v>1+0,0016188621310358i</v>
      </c>
      <c r="U229" s="4">
        <f t="shared" si="184"/>
        <v>1.0000013103564411</v>
      </c>
      <c r="V229" s="4">
        <f t="shared" si="185"/>
        <v>1.6188607168461501E-3</v>
      </c>
      <c r="W229" t="str">
        <f t="shared" si="175"/>
        <v>1-0,0140526226652413i</v>
      </c>
      <c r="X229" s="4">
        <f t="shared" si="186"/>
        <v>1.0000987332277607</v>
      </c>
      <c r="Y229" s="4">
        <f t="shared" si="187"/>
        <v>-1.4051697755301793E-2</v>
      </c>
      <c r="Z229" t="str">
        <f t="shared" si="176"/>
        <v>0,99999336165237+0,0120487186731779i</v>
      </c>
      <c r="AA229" s="4">
        <f t="shared" si="188"/>
        <v>1.0000659453108445</v>
      </c>
      <c r="AB229" s="4">
        <f t="shared" si="189"/>
        <v>1.2048215652452106E-2</v>
      </c>
      <c r="AC229" s="48" t="str">
        <f t="shared" si="190"/>
        <v>-0,0334641351625945-1,75403363026053i</v>
      </c>
      <c r="AD229" s="20">
        <f t="shared" si="191"/>
        <v>4.8823387963824718</v>
      </c>
      <c r="AE229" s="44">
        <f t="shared" si="192"/>
        <v>-91.092978548595667</v>
      </c>
      <c r="AF229" t="str">
        <f t="shared" si="177"/>
        <v>-20791,6666666667</v>
      </c>
      <c r="AG229" t="str">
        <f t="shared" si="193"/>
        <v>8094,31065517899i</v>
      </c>
      <c r="AH229">
        <f t="shared" si="194"/>
        <v>8094.3106551789897</v>
      </c>
      <c r="AI229">
        <f t="shared" si="195"/>
        <v>1.5707963267948966</v>
      </c>
      <c r="AJ229" t="str">
        <f t="shared" si="178"/>
        <v>-0,2221583029258+9,49639905255844i</v>
      </c>
      <c r="AK229">
        <f t="shared" si="196"/>
        <v>9.4989972774494298</v>
      </c>
      <c r="AL229">
        <f t="shared" si="197"/>
        <v>1.59418601246665</v>
      </c>
      <c r="AM229" t="str">
        <f t="shared" si="179"/>
        <v>1+13,0545042246727i</v>
      </c>
      <c r="AN229">
        <f t="shared" si="198"/>
        <v>13.092749159439256</v>
      </c>
      <c r="AO229">
        <f t="shared" si="199"/>
        <v>1.4943437178413794</v>
      </c>
      <c r="AP229" t="str">
        <f t="shared" si="180"/>
        <v>1+9,16923511018676i</v>
      </c>
      <c r="AQ229">
        <f t="shared" si="200"/>
        <v>9.2236040952483211</v>
      </c>
      <c r="AR229">
        <f t="shared" si="201"/>
        <v>1.4621653097032952</v>
      </c>
      <c r="AS229" s="42" t="str">
        <f t="shared" si="202"/>
        <v>-31,9489468792758+6,75870121545439i</v>
      </c>
      <c r="AT229">
        <f t="shared" si="203"/>
        <v>30.279263464852061</v>
      </c>
      <c r="AU229" s="44">
        <f t="shared" si="204"/>
        <v>168.05535909750802</v>
      </c>
      <c r="AV229" s="42" t="str">
        <f t="shared" si="181"/>
        <v>12,9241331054604+55,8133531866594i</v>
      </c>
      <c r="AW229" s="20">
        <f t="shared" si="205"/>
        <v>35.161602261234542</v>
      </c>
      <c r="AX229" s="44">
        <f t="shared" si="206"/>
        <v>76.962380548912307</v>
      </c>
    </row>
    <row r="230" spans="14:50" x14ac:dyDescent="0.3">
      <c r="N230" s="8">
        <v>12</v>
      </c>
      <c r="O230" s="35">
        <f t="shared" si="207"/>
        <v>1318.2567385564089</v>
      </c>
      <c r="P230" s="34" t="str">
        <f t="shared" si="172"/>
        <v>324,571428571429</v>
      </c>
      <c r="Q230" s="4" t="str">
        <f t="shared" si="173"/>
        <v>1+189,322317046585i</v>
      </c>
      <c r="R230" s="4">
        <f t="shared" si="182"/>
        <v>189.32495802690053</v>
      </c>
      <c r="S230" s="4">
        <f t="shared" si="183"/>
        <v>1.5655143784439414</v>
      </c>
      <c r="T230" s="4" t="str">
        <f t="shared" si="174"/>
        <v>1+0,00165657027415762i</v>
      </c>
      <c r="U230" s="4">
        <f t="shared" si="184"/>
        <v>1.0000013721115952</v>
      </c>
      <c r="V230" s="4">
        <f t="shared" si="185"/>
        <v>1.656568758826221E-3</v>
      </c>
      <c r="W230" t="str">
        <f t="shared" si="175"/>
        <v>1-0,0143799502965071i</v>
      </c>
      <c r="X230" s="4">
        <f t="shared" si="186"/>
        <v>1.0001033861409181</v>
      </c>
      <c r="Y230" s="4">
        <f t="shared" si="187"/>
        <v>-1.4378959243184504E-2</v>
      </c>
      <c r="Z230" t="str">
        <f t="shared" si="176"/>
        <v>0,999993048796685+0,0123293693842252i</v>
      </c>
      <c r="AA230" s="4">
        <f t="shared" si="188"/>
        <v>1.0000690531113849</v>
      </c>
      <c r="AB230" s="4">
        <f t="shared" si="189"/>
        <v>1.2328830389811229E-2</v>
      </c>
      <c r="AC230" s="48" t="str">
        <f t="shared" si="190"/>
        <v>-0,0338906830714201-1,71408774994688i</v>
      </c>
      <c r="AD230" s="20">
        <f t="shared" si="191"/>
        <v>4.6823584614094651</v>
      </c>
      <c r="AE230" s="44">
        <f t="shared" si="192"/>
        <v>-91.132695879624109</v>
      </c>
      <c r="AF230" t="str">
        <f t="shared" si="177"/>
        <v>-20791,6666666667</v>
      </c>
      <c r="AG230" t="str">
        <f t="shared" si="193"/>
        <v>8282,85137078811i</v>
      </c>
      <c r="AH230">
        <f t="shared" si="194"/>
        <v>8282.8513707881102</v>
      </c>
      <c r="AI230">
        <f t="shared" si="195"/>
        <v>1.5707963267948966</v>
      </c>
      <c r="AJ230" t="str">
        <f t="shared" si="178"/>
        <v>-0,27975684923105+9,71759860238465i</v>
      </c>
      <c r="AK230">
        <f t="shared" si="196"/>
        <v>9.7216246837532143</v>
      </c>
      <c r="AL230">
        <f t="shared" si="197"/>
        <v>1.5995770588147331</v>
      </c>
      <c r="AM230" t="str">
        <f t="shared" si="179"/>
        <v>1+13,3585826908071i</v>
      </c>
      <c r="AN230">
        <f t="shared" si="198"/>
        <v>13.395959521703963</v>
      </c>
      <c r="AO230">
        <f t="shared" si="199"/>
        <v>1.4960774468245737</v>
      </c>
      <c r="AP230" t="str">
        <f t="shared" si="180"/>
        <v>1+9,38281403282877i</v>
      </c>
      <c r="AQ230">
        <f t="shared" si="200"/>
        <v>9.4359524784013455</v>
      </c>
      <c r="AR230">
        <f t="shared" si="201"/>
        <v>1.4646192976704189</v>
      </c>
      <c r="AS230" s="42" t="str">
        <f t="shared" si="202"/>
        <v>-31,9236578698071+6,79349545528535i</v>
      </c>
      <c r="AT230">
        <f t="shared" si="203"/>
        <v>30.274603131839481</v>
      </c>
      <c r="AU230" s="44">
        <f t="shared" si="204"/>
        <v>167.98641340165204</v>
      </c>
      <c r="AV230" s="42" t="str">
        <f t="shared" si="181"/>
        <v>12,7265619105705+54,4897146867095i</v>
      </c>
      <c r="AW230" s="20">
        <f t="shared" si="205"/>
        <v>34.956961593248948</v>
      </c>
      <c r="AX230" s="44">
        <f t="shared" si="206"/>
        <v>76.853717522027949</v>
      </c>
    </row>
    <row r="231" spans="14:50" x14ac:dyDescent="0.3">
      <c r="N231" s="8">
        <v>13</v>
      </c>
      <c r="O231" s="35">
        <f t="shared" si="207"/>
        <v>1348.9628825916541</v>
      </c>
      <c r="P231" s="34" t="str">
        <f t="shared" si="172"/>
        <v>324,571428571429</v>
      </c>
      <c r="Q231" s="4" t="str">
        <f t="shared" si="173"/>
        <v>1+193,732200316126i</v>
      </c>
      <c r="R231" s="4">
        <f t="shared" si="182"/>
        <v>193.7347811812003</v>
      </c>
      <c r="S231" s="4">
        <f t="shared" si="183"/>
        <v>1.5656346081067323</v>
      </c>
      <c r="T231" s="4" t="str">
        <f t="shared" si="174"/>
        <v>1+0,0016951567527661i</v>
      </c>
      <c r="U231" s="4">
        <f t="shared" si="184"/>
        <v>1.0000014367771761</v>
      </c>
      <c r="V231" s="4">
        <f t="shared" si="185"/>
        <v>1.6951551290593783E-3</v>
      </c>
      <c r="W231" t="str">
        <f t="shared" si="175"/>
        <v>1-0,0147149023677613i</v>
      </c>
      <c r="X231" s="4">
        <f t="shared" si="186"/>
        <v>1.0001082583159149</v>
      </c>
      <c r="Y231" s="4">
        <f t="shared" si="187"/>
        <v>-1.4713840441201874E-2</v>
      </c>
      <c r="Z231" t="str">
        <f t="shared" si="176"/>
        <v>0,999992721196566+0,0126165572901185i</v>
      </c>
      <c r="AA231" s="4">
        <f t="shared" si="188"/>
        <v>1.0000723073678062</v>
      </c>
      <c r="AB231" s="4">
        <f t="shared" si="189"/>
        <v>1.261597974944775E-2</v>
      </c>
      <c r="AC231" s="48" t="str">
        <f t="shared" si="190"/>
        <v>-0,0342980110786963-1,67505049895122i</v>
      </c>
      <c r="AD231" s="20">
        <f t="shared" si="191"/>
        <v>4.4823785268873655</v>
      </c>
      <c r="AE231" s="44">
        <f t="shared" si="192"/>
        <v>-91.17301342139497</v>
      </c>
      <c r="AF231" t="str">
        <f t="shared" si="177"/>
        <v>-20791,6666666667</v>
      </c>
      <c r="AG231" t="str">
        <f t="shared" si="193"/>
        <v>8475,7837638305i</v>
      </c>
      <c r="AH231">
        <f t="shared" si="194"/>
        <v>8475.7837638305009</v>
      </c>
      <c r="AI231">
        <f t="shared" si="195"/>
        <v>1.5707963267948966</v>
      </c>
      <c r="AJ231" t="str">
        <f t="shared" si="178"/>
        <v>-0,3400699313935+9,94395055161746i</v>
      </c>
      <c r="AK231">
        <f t="shared" si="196"/>
        <v>9.9497638228880163</v>
      </c>
      <c r="AL231">
        <f t="shared" si="197"/>
        <v>1.6049816786219944</v>
      </c>
      <c r="AM231" t="str">
        <f t="shared" si="179"/>
        <v>1+13,6697440543058i</v>
      </c>
      <c r="AN231">
        <f t="shared" si="198"/>
        <v>13.70627237837585</v>
      </c>
      <c r="AO231">
        <f t="shared" si="199"/>
        <v>1.4977721462768676</v>
      </c>
      <c r="AP231" t="str">
        <f t="shared" si="180"/>
        <v>1+9,60136784766719i</v>
      </c>
      <c r="AQ231">
        <f t="shared" si="200"/>
        <v>9.6533032971215231</v>
      </c>
      <c r="AR231">
        <f t="shared" si="201"/>
        <v>1.4670186670472756</v>
      </c>
      <c r="AS231" s="42" t="str">
        <f t="shared" si="202"/>
        <v>-31,8972287936957+6,83157946682116i</v>
      </c>
      <c r="AT231">
        <f t="shared" si="203"/>
        <v>30.269839462327251</v>
      </c>
      <c r="AU231" s="44">
        <f t="shared" si="204"/>
        <v>167.91132436176957</v>
      </c>
      <c r="AV231" s="42" t="str">
        <f t="shared" si="181"/>
        <v>12,5372521010696+53,1951594178032i</v>
      </c>
      <c r="AW231" s="20">
        <f t="shared" si="205"/>
        <v>34.752217989214621</v>
      </c>
      <c r="AX231" s="44">
        <f t="shared" si="206"/>
        <v>76.738310940374589</v>
      </c>
    </row>
    <row r="232" spans="14:50" x14ac:dyDescent="0.3">
      <c r="N232" s="8">
        <v>14</v>
      </c>
      <c r="O232" s="35">
        <f t="shared" si="207"/>
        <v>1380.3842646028863</v>
      </c>
      <c r="P232" s="34" t="str">
        <f t="shared" si="172"/>
        <v>324,571428571429</v>
      </c>
      <c r="Q232" s="4" t="str">
        <f t="shared" si="173"/>
        <v>1+198,244802962623i</v>
      </c>
      <c r="R232" s="4">
        <f t="shared" si="182"/>
        <v>198.247325080792</v>
      </c>
      <c r="S232" s="4">
        <f t="shared" si="183"/>
        <v>1.565752101152472</v>
      </c>
      <c r="T232" s="4" t="str">
        <f t="shared" si="174"/>
        <v>1+0,00173464202592295i</v>
      </c>
      <c r="U232" s="4">
        <f t="shared" si="184"/>
        <v>1.0000015044903474</v>
      </c>
      <c r="V232" s="4">
        <f t="shared" si="185"/>
        <v>1.734640286089993E-3</v>
      </c>
      <c r="W232" t="str">
        <f t="shared" si="175"/>
        <v>1-0,0150576564750256i</v>
      </c>
      <c r="X232" s="4">
        <f t="shared" si="186"/>
        <v>1.0001133600840058</v>
      </c>
      <c r="Y232" s="4">
        <f t="shared" si="187"/>
        <v>-1.505651860718211E-2</v>
      </c>
      <c r="Z232" t="str">
        <f t="shared" si="176"/>
        <v>0,999992378157128+0,0129104346616869i</v>
      </c>
      <c r="AA232" s="4">
        <f t="shared" si="188"/>
        <v>1.0000757149813719</v>
      </c>
      <c r="AB232" s="4">
        <f t="shared" si="189"/>
        <v>1.2909815818232306E-2</v>
      </c>
      <c r="AC232" s="48" t="str">
        <f t="shared" si="190"/>
        <v>-0,0346869830406508-1,63690119277313i</v>
      </c>
      <c r="AD232" s="20">
        <f t="shared" si="191"/>
        <v>4.2823990353452226</v>
      </c>
      <c r="AE232" s="44">
        <f t="shared" si="192"/>
        <v>-91.213952523438749</v>
      </c>
      <c r="AF232" t="str">
        <f t="shared" si="177"/>
        <v>-20791,6666666667</v>
      </c>
      <c r="AG232" t="str">
        <f t="shared" si="193"/>
        <v>8673,21012961475i</v>
      </c>
      <c r="AH232">
        <f t="shared" si="194"/>
        <v>8673.2101296147503</v>
      </c>
      <c r="AI232">
        <f t="shared" si="195"/>
        <v>1.5707963267948966</v>
      </c>
      <c r="AJ232" t="str">
        <f t="shared" si="178"/>
        <v>-0,40322548154675+10,1755749150565i</v>
      </c>
      <c r="AK232">
        <f t="shared" si="196"/>
        <v>10.183561049107315</v>
      </c>
      <c r="AL232">
        <f t="shared" si="197"/>
        <v>1.6104024054805555</v>
      </c>
      <c r="AM232" t="str">
        <f t="shared" si="179"/>
        <v>1+13,9881532970427i</v>
      </c>
      <c r="AN232">
        <f t="shared" si="198"/>
        <v>14.023852276088997</v>
      </c>
      <c r="AO232">
        <f t="shared" si="199"/>
        <v>1.4994286757910349</v>
      </c>
      <c r="AP232" t="str">
        <f t="shared" si="180"/>
        <v>1+9,82501243482759i</v>
      </c>
      <c r="AQ232">
        <f t="shared" si="200"/>
        <v>9.8757718353816166</v>
      </c>
      <c r="AR232">
        <f t="shared" si="201"/>
        <v>1.4693645794461216</v>
      </c>
      <c r="AS232" s="42" t="str">
        <f t="shared" si="202"/>
        <v>-31,8696095067742+6,87295206648161i</v>
      </c>
      <c r="AT232">
        <f t="shared" si="203"/>
        <v>30.264962805968473</v>
      </c>
      <c r="AU232" s="44">
        <f t="shared" si="204"/>
        <v>167.83006262024276</v>
      </c>
      <c r="AV232" s="42" t="str">
        <f t="shared" si="181"/>
        <v>12,3558040399699+51,9289998430833i</v>
      </c>
      <c r="AW232" s="20">
        <f t="shared" si="205"/>
        <v>34.547361841313695</v>
      </c>
      <c r="AX232" s="44">
        <f t="shared" si="206"/>
        <v>76.61611009680405</v>
      </c>
    </row>
    <row r="233" spans="14:50" x14ac:dyDescent="0.3">
      <c r="N233" s="8">
        <v>15</v>
      </c>
      <c r="O233" s="35">
        <f t="shared" si="207"/>
        <v>1412.5375446227545</v>
      </c>
      <c r="P233" s="34" t="str">
        <f t="shared" si="172"/>
        <v>324,571428571429</v>
      </c>
      <c r="Q233" s="4" t="str">
        <f t="shared" si="173"/>
        <v>1+202,862517627731i</v>
      </c>
      <c r="R233" s="4">
        <f t="shared" si="182"/>
        <v>202.86498233618701</v>
      </c>
      <c r="S233" s="4">
        <f t="shared" si="183"/>
        <v>1.5658669198645454</v>
      </c>
      <c r="T233" s="4" t="str">
        <f t="shared" si="174"/>
        <v>1+0,00177504702924264i</v>
      </c>
      <c r="U233" s="4">
        <f t="shared" si="184"/>
        <v>1.0000015753947371</v>
      </c>
      <c r="V233" s="4">
        <f t="shared" si="185"/>
        <v>1.7750451649781974E-3</v>
      </c>
      <c r="W233" t="str">
        <f t="shared" si="175"/>
        <v>1-0,0154083943510646i</v>
      </c>
      <c r="X233" s="4">
        <f t="shared" si="186"/>
        <v>1.0001187022631253</v>
      </c>
      <c r="Y233" s="4">
        <f t="shared" si="187"/>
        <v>-1.5407175111518996E-2</v>
      </c>
      <c r="Z233" t="str">
        <f t="shared" si="176"/>
        <v>0,99999201895074+0,0132111573166028i</v>
      </c>
      <c r="AA233" s="4">
        <f t="shared" si="188"/>
        <v>1.0000792831784993</v>
      </c>
      <c r="AB233" s="4">
        <f t="shared" si="189"/>
        <v>1.3210494216725857E-2</v>
      </c>
      <c r="AC233" s="48" t="str">
        <f t="shared" si="190"/>
        <v>-0,0350584238903783-1,59961961680955i</v>
      </c>
      <c r="AD233" s="20">
        <f t="shared" si="191"/>
        <v>4.0824200302485476</v>
      </c>
      <c r="AE233" s="44">
        <f t="shared" si="192"/>
        <v>-91.255534862999383</v>
      </c>
      <c r="AF233" t="str">
        <f t="shared" si="177"/>
        <v>-20791,6666666667</v>
      </c>
      <c r="AG233" t="str">
        <f t="shared" si="193"/>
        <v>8875,23514621322i</v>
      </c>
      <c r="AH233">
        <f t="shared" si="194"/>
        <v>8875.2351462132192</v>
      </c>
      <c r="AI233">
        <f t="shared" si="195"/>
        <v>1.5707963267948966</v>
      </c>
      <c r="AJ233" t="str">
        <f t="shared" si="178"/>
        <v>-0,46935746108007+10,4125945030051i</v>
      </c>
      <c r="AK233">
        <f t="shared" si="196"/>
        <v>10.423167498907592</v>
      </c>
      <c r="AL233">
        <f t="shared" si="197"/>
        <v>1.615841772622415</v>
      </c>
      <c r="AM233" t="str">
        <f t="shared" si="179"/>
        <v>1+14,3139792438127i</v>
      </c>
      <c r="AN233">
        <f t="shared" si="198"/>
        <v>14.348867613588915</v>
      </c>
      <c r="AO233">
        <f t="shared" si="199"/>
        <v>1.5010478772952283</v>
      </c>
      <c r="AP233" t="str">
        <f t="shared" si="180"/>
        <v>1+10,0538663736303i</v>
      </c>
      <c r="AQ233">
        <f t="shared" si="200"/>
        <v>10.103476087902324</v>
      </c>
      <c r="AR233">
        <f t="shared" si="201"/>
        <v>1.4716581753620994</v>
      </c>
      <c r="AS233" s="42" t="str">
        <f t="shared" si="202"/>
        <v>-31,8407478867989+6,91761237473048i</v>
      </c>
      <c r="AT233">
        <f t="shared" si="203"/>
        <v>30.259963306405457</v>
      </c>
      <c r="AU233" s="44">
        <f t="shared" si="204"/>
        <v>167.74259661805752</v>
      </c>
      <c r="AV233" s="42" t="str">
        <f t="shared" si="181"/>
        <v>12,1818348925054+50,6905643466681i</v>
      </c>
      <c r="AW233" s="20">
        <f t="shared" si="205"/>
        <v>34.342383336654002</v>
      </c>
      <c r="AX233" s="44">
        <f t="shared" si="206"/>
        <v>76.487061755058178</v>
      </c>
    </row>
    <row r="234" spans="14:50" x14ac:dyDescent="0.3">
      <c r="N234" s="8">
        <v>16</v>
      </c>
      <c r="O234" s="35">
        <f t="shared" si="207"/>
        <v>1445.4397707459289</v>
      </c>
      <c r="P234" s="34" t="str">
        <f t="shared" si="172"/>
        <v>324,571428571429</v>
      </c>
      <c r="Q234" s="4" t="str">
        <f t="shared" si="173"/>
        <v>1+207,587792684888i</v>
      </c>
      <c r="R234" s="4">
        <f t="shared" si="182"/>
        <v>207.59020129038856</v>
      </c>
      <c r="S234" s="4">
        <f t="shared" si="183"/>
        <v>1.565979125109237</v>
      </c>
      <c r="T234" s="4" t="str">
        <f t="shared" si="174"/>
        <v>1+0,00181639318599277i</v>
      </c>
      <c r="U234" s="4">
        <f t="shared" si="184"/>
        <v>1.0000016496407425</v>
      </c>
      <c r="V234" s="4">
        <f t="shared" si="185"/>
        <v>1.8163911883976075E-3</v>
      </c>
      <c r="W234" t="str">
        <f t="shared" si="175"/>
        <v>1-0,0157673019617428i</v>
      </c>
      <c r="X234" s="4">
        <f t="shared" si="186"/>
        <v>1.0001242961808061</v>
      </c>
      <c r="Y234" s="4">
        <f t="shared" si="187"/>
        <v>-1.576599553180098E-2</v>
      </c>
      <c r="Z234" t="str">
        <f t="shared" si="176"/>
        <v>0,999991642815477+0,0135188847019983i</v>
      </c>
      <c r="AA234" s="4">
        <f t="shared" si="188"/>
        <v>1.0000830195260706</v>
      </c>
      <c r="AB234" s="4">
        <f t="shared" si="189"/>
        <v>1.3518174180855888E-2</v>
      </c>
      <c r="AC234" s="48" t="str">
        <f t="shared" si="190"/>
        <v>-0,0354131213865431-1,5631860156972i</v>
      </c>
      <c r="AD234" s="20">
        <f t="shared" si="191"/>
        <v>3.8824415560913565</v>
      </c>
      <c r="AE234" s="44">
        <f t="shared" si="192"/>
        <v>-91.297782456388518</v>
      </c>
      <c r="AF234" t="str">
        <f t="shared" si="177"/>
        <v>-20791,6666666667</v>
      </c>
      <c r="AG234" t="str">
        <f t="shared" si="193"/>
        <v>9081,96592996385i</v>
      </c>
      <c r="AH234">
        <f t="shared" si="194"/>
        <v>9081.9659299638497</v>
      </c>
      <c r="AI234">
        <f t="shared" si="195"/>
        <v>1.5707963267948966</v>
      </c>
      <c r="AJ234" t="str">
        <f t="shared" si="178"/>
        <v>-0,53860614478853+10,6551349863863i</v>
      </c>
      <c r="AK234">
        <f t="shared" si="196"/>
        <v>10.668739295592395</v>
      </c>
      <c r="AL234">
        <f t="shared" si="197"/>
        <v>1.6213023127743196</v>
      </c>
      <c r="AM234" t="str">
        <f t="shared" si="179"/>
        <v>1+14,6473946518457i</v>
      </c>
      <c r="AN234">
        <f t="shared" si="198"/>
        <v>14.68149073108443</v>
      </c>
      <c r="AO234">
        <f t="shared" si="199"/>
        <v>1.5026305753304974</v>
      </c>
      <c r="AP234" t="str">
        <f t="shared" si="180"/>
        <v>1+10,288051005463i</v>
      </c>
      <c r="AQ234">
        <f t="shared" si="200"/>
        <v>10.336536822892292</v>
      </c>
      <c r="AR234">
        <f t="shared" si="201"/>
        <v>1.4739005743120119</v>
      </c>
      <c r="AS234" s="42" t="str">
        <f t="shared" si="202"/>
        <v>-31,810589772694+6,96555972455977i</v>
      </c>
      <c r="AT234">
        <f t="shared" si="203"/>
        <v>30.254830884262006</v>
      </c>
      <c r="AU234" s="44">
        <f t="shared" si="204"/>
        <v>167.64889262697085</v>
      </c>
      <c r="AV234" s="42" t="str">
        <f t="shared" si="181"/>
        <v>12,0149778299334+49,4791968717046i</v>
      </c>
      <c r="AW234" s="20">
        <f t="shared" si="205"/>
        <v>34.137272440353364</v>
      </c>
      <c r="AX234" s="44">
        <f t="shared" si="206"/>
        <v>76.351110170582331</v>
      </c>
    </row>
    <row r="235" spans="14:50" x14ac:dyDescent="0.3">
      <c r="N235" s="8">
        <v>17</v>
      </c>
      <c r="O235" s="35">
        <f t="shared" si="207"/>
        <v>1479.1083881682086</v>
      </c>
      <c r="P235" s="34" t="str">
        <f t="shared" si="172"/>
        <v>324,571428571429</v>
      </c>
      <c r="Q235" s="4" t="str">
        <f t="shared" si="173"/>
        <v>1+212,423133537476i</v>
      </c>
      <c r="R235" s="4">
        <f t="shared" si="182"/>
        <v>212.4254873170363</v>
      </c>
      <c r="S235" s="4">
        <f t="shared" si="183"/>
        <v>1.566088776367945</v>
      </c>
      <c r="T235" s="4" t="str">
        <f t="shared" si="174"/>
        <v>1+0,00185870241845291i</v>
      </c>
      <c r="U235" s="4">
        <f t="shared" si="184"/>
        <v>1.0000017273858481</v>
      </c>
      <c r="V235" s="4">
        <f t="shared" si="185"/>
        <v>1.858700277991329E-3</v>
      </c>
      <c r="W235" t="str">
        <f t="shared" si="175"/>
        <v>1-0,016134569604626i</v>
      </c>
      <c r="X235" s="4">
        <f t="shared" si="186"/>
        <v>1.0001301536981708</v>
      </c>
      <c r="Y235" s="4">
        <f t="shared" si="187"/>
        <v>-1.6133169749561221E-2</v>
      </c>
      <c r="Z235" t="str">
        <f t="shared" si="176"/>
        <v>0,999991248953504+0,0138337799790063i</v>
      </c>
      <c r="AA235" s="4">
        <f t="shared" si="188"/>
        <v>1.0000869319474663</v>
      </c>
      <c r="AB235" s="4">
        <f t="shared" si="189"/>
        <v>1.3833018645450099E-2</v>
      </c>
      <c r="AC235" s="48" t="str">
        <f t="shared" si="190"/>
        <v>-0,0357518277833267-1,52758108289447i</v>
      </c>
      <c r="AD235" s="20">
        <f t="shared" si="191"/>
        <v>3.6824636584903518</v>
      </c>
      <c r="AE235" s="44">
        <f t="shared" si="192"/>
        <v>-91.340717670510017</v>
      </c>
      <c r="AF235" t="str">
        <f t="shared" si="177"/>
        <v>-20791,6666666667</v>
      </c>
      <c r="AG235" t="str">
        <f t="shared" si="193"/>
        <v>9293,51209226457i</v>
      </c>
      <c r="AH235">
        <f t="shared" si="194"/>
        <v>9293.5120922645692</v>
      </c>
      <c r="AI235">
        <f t="shared" si="195"/>
        <v>1.5707963267948966</v>
      </c>
      <c r="AJ235" t="str">
        <f t="shared" si="178"/>
        <v>-0,61111841841461+10,9033249633745i</v>
      </c>
      <c r="AK235">
        <f t="shared" si="196"/>
        <v>10.920437764955723</v>
      </c>
      <c r="AL235">
        <f t="shared" si="197"/>
        <v>1.6267865579735323</v>
      </c>
      <c r="AM235" t="str">
        <f t="shared" si="179"/>
        <v>1+14,9885763024043i</v>
      </c>
      <c r="AN235">
        <f t="shared" si="198"/>
        <v>15.021898001683935</v>
      </c>
      <c r="AO235">
        <f t="shared" si="199"/>
        <v>1.5041775773300454</v>
      </c>
      <c r="AP235" t="str">
        <f t="shared" si="180"/>
        <v>1+10,5276904981173i</v>
      </c>
      <c r="AQ235">
        <f t="shared" si="200"/>
        <v>10.575077646246825</v>
      </c>
      <c r="AR235">
        <f t="shared" si="201"/>
        <v>1.4760928749913225</v>
      </c>
      <c r="AS235" s="42" t="str">
        <f t="shared" si="202"/>
        <v>-31,7790789038155+7,01679356484068i</v>
      </c>
      <c r="AT235">
        <f t="shared" si="203"/>
        <v>30.249555219949158</v>
      </c>
      <c r="AU235" s="44">
        <f t="shared" si="204"/>
        <v>167.54891478506158</v>
      </c>
      <c r="AV235" s="42" t="str">
        <f t="shared" si="181"/>
        <v>11,8548812683082+48,2942565701579i</v>
      </c>
      <c r="AW235" s="20">
        <f t="shared" si="205"/>
        <v>33.9320188784395</v>
      </c>
      <c r="AX235" s="44">
        <f t="shared" si="206"/>
        <v>76.208197114551595</v>
      </c>
    </row>
    <row r="236" spans="14:50" x14ac:dyDescent="0.3">
      <c r="N236" s="8">
        <v>18</v>
      </c>
      <c r="O236" s="35">
        <f t="shared" si="207"/>
        <v>1513.5612484362093</v>
      </c>
      <c r="P236" s="34" t="str">
        <f t="shared" si="172"/>
        <v>324,571428571429</v>
      </c>
      <c r="Q236" s="4" t="str">
        <f t="shared" si="173"/>
        <v>1+217,371103947218i</v>
      </c>
      <c r="R236" s="4">
        <f t="shared" si="182"/>
        <v>217.37340414878781</v>
      </c>
      <c r="S236" s="4">
        <f t="shared" si="183"/>
        <v>1.5661959317686651</v>
      </c>
      <c r="T236" s="4" t="str">
        <f t="shared" si="174"/>
        <v>1+0,00190199715953816i</v>
      </c>
      <c r="U236" s="4">
        <f t="shared" si="184"/>
        <v>1.0000018087949616</v>
      </c>
      <c r="V236" s="4">
        <f t="shared" si="185"/>
        <v>1.9019948659924778E-3</v>
      </c>
      <c r="W236" t="str">
        <f t="shared" si="175"/>
        <v>1-0,0165103920098798i</v>
      </c>
      <c r="X236" s="4">
        <f t="shared" si="186"/>
        <v>1.0001362872350548</v>
      </c>
      <c r="Y236" s="4">
        <f t="shared" si="187"/>
        <v>-1.6508892049192505E-2</v>
      </c>
      <c r="Z236" t="str">
        <f t="shared" si="176"/>
        <v>0,999990836529389+0,014156010109271i</v>
      </c>
      <c r="AA236" s="4">
        <f t="shared" si="188"/>
        <v>1.000091028739365</v>
      </c>
      <c r="AB236" s="4">
        <f t="shared" si="189"/>
        <v>1.4155194329667373E-2</v>
      </c>
      <c r="AC236" s="48" t="str">
        <f t="shared" si="190"/>
        <v>-0,0360752614251529-1,49278595049748i</v>
      </c>
      <c r="AD236" s="20">
        <f t="shared" si="191"/>
        <v>3.4824863842811964</v>
      </c>
      <c r="AE236" s="44">
        <f t="shared" si="192"/>
        <v>-91.384363234560297</v>
      </c>
      <c r="AF236" t="str">
        <f t="shared" si="177"/>
        <v>-20791,6666666667</v>
      </c>
      <c r="AG236" t="str">
        <f t="shared" si="193"/>
        <v>9509,98579769078i</v>
      </c>
      <c r="AH236">
        <f t="shared" si="194"/>
        <v>9509.9857976907806</v>
      </c>
      <c r="AI236">
        <f t="shared" si="195"/>
        <v>1.5707963267948966</v>
      </c>
      <c r="AJ236" t="str">
        <f t="shared" si="178"/>
        <v>-0,68704809021255+11,157296027581i</v>
      </c>
      <c r="AK236">
        <f t="shared" si="196"/>
        <v>11.178429662762989</v>
      </c>
      <c r="AL236">
        <f t="shared" si="197"/>
        <v>1.6322970393389296</v>
      </c>
      <c r="AM236" t="str">
        <f t="shared" si="179"/>
        <v>1+15,3377050945157i</v>
      </c>
      <c r="AN236">
        <f t="shared" si="198"/>
        <v>15.370269924966601</v>
      </c>
      <c r="AO236">
        <f t="shared" si="199"/>
        <v>1.505689673899679</v>
      </c>
      <c r="AP236" t="str">
        <f t="shared" si="180"/>
        <v>1+10,7729119116241i</v>
      </c>
      <c r="AQ236">
        <f t="shared" si="200"/>
        <v>10.819225067240835</v>
      </c>
      <c r="AR236">
        <f t="shared" si="201"/>
        <v>1.4782361554476964</v>
      </c>
      <c r="AS236" s="42" t="str">
        <f t="shared" si="202"/>
        <v>-31,7461568594632+7,07131335825889i</v>
      </c>
      <c r="AT236">
        <f t="shared" si="203"/>
        <v>30.244125736277937</v>
      </c>
      <c r="AU236" s="44">
        <f t="shared" si="204"/>
        <v>167.44262513585812</v>
      </c>
      <c r="AV236" s="42" t="str">
        <f t="shared" si="181"/>
        <v>11,7012081407231+47,1351174640775i</v>
      </c>
      <c r="AW236" s="20">
        <f t="shared" si="205"/>
        <v>33.726612120559132</v>
      </c>
      <c r="AX236" s="44">
        <f t="shared" si="206"/>
        <v>76.058261901297797</v>
      </c>
    </row>
    <row r="237" spans="14:50" x14ac:dyDescent="0.3">
      <c r="N237" s="8">
        <v>19</v>
      </c>
      <c r="O237" s="35">
        <f t="shared" si="207"/>
        <v>1548.8166189124822</v>
      </c>
      <c r="P237" s="34" t="str">
        <f t="shared" si="172"/>
        <v>324,571428571429</v>
      </c>
      <c r="Q237" s="4" t="str">
        <f t="shared" si="173"/>
        <v>1+222,434327393519i</v>
      </c>
      <c r="R237" s="4">
        <f t="shared" si="182"/>
        <v>222.43657523664399</v>
      </c>
      <c r="S237" s="4">
        <f t="shared" si="183"/>
        <v>1.5663006481167603</v>
      </c>
      <c r="T237" s="4" t="str">
        <f t="shared" si="174"/>
        <v>1+0,00194630036469329i</v>
      </c>
      <c r="U237" s="4">
        <f t="shared" si="184"/>
        <v>1.0000018940407611</v>
      </c>
      <c r="V237" s="4">
        <f t="shared" si="185"/>
        <v>1.9462979071150656E-3</v>
      </c>
      <c r="W237" t="str">
        <f t="shared" si="175"/>
        <v>1-0,0168949684435182i</v>
      </c>
      <c r="X237" s="4">
        <f t="shared" si="186"/>
        <v>1.0001427097963107</v>
      </c>
      <c r="Y237" s="4">
        <f t="shared" si="187"/>
        <v>-1.6893361219070577E-2</v>
      </c>
      <c r="Z237" t="str">
        <f t="shared" si="176"/>
        <v>0,999990404668324+0,0144857459434725i</v>
      </c>
      <c r="AA237" s="4">
        <f t="shared" si="188"/>
        <v>1.000095318589312</v>
      </c>
      <c r="AB237" s="4">
        <f t="shared" si="189"/>
        <v>1.4484871824365933E-2</v>
      </c>
      <c r="AC237" s="48" t="str">
        <f t="shared" si="190"/>
        <v>-0,0363841082695679-1,45878217928527i</v>
      </c>
      <c r="AD237" s="20">
        <f t="shared" si="191"/>
        <v>3.2825097816176281</v>
      </c>
      <c r="AE237" s="44">
        <f t="shared" si="192"/>
        <v>-91.428742251909839</v>
      </c>
      <c r="AF237" t="str">
        <f t="shared" si="177"/>
        <v>-20791,6666666667</v>
      </c>
      <c r="AG237" t="str">
        <f t="shared" si="193"/>
        <v>9731,50182346647i</v>
      </c>
      <c r="AH237">
        <f t="shared" si="194"/>
        <v>9731.5018234664694</v>
      </c>
      <c r="AI237">
        <f t="shared" si="195"/>
        <v>1.5707963267948966</v>
      </c>
      <c r="AJ237" t="str">
        <f t="shared" si="178"/>
        <v>-0,76655621719631+11,4171828378255i</v>
      </c>
      <c r="AK237">
        <f t="shared" si="196"/>
        <v>11.442887414741939</v>
      </c>
      <c r="AL237">
        <f t="shared" si="197"/>
        <v>1.6378362867917815</v>
      </c>
      <c r="AM237" t="str">
        <f t="shared" si="179"/>
        <v>1+15,6949661408867i</v>
      </c>
      <c r="AN237">
        <f t="shared" si="198"/>
        <v>15.726791222737711</v>
      </c>
      <c r="AO237">
        <f t="shared" si="199"/>
        <v>1.5071676390989437</v>
      </c>
      <c r="AP237" t="str">
        <f t="shared" si="180"/>
        <v>1+11,0238452656228i</v>
      </c>
      <c r="AQ237">
        <f t="shared" si="200"/>
        <v>11.069108565751545</v>
      </c>
      <c r="AR237">
        <f t="shared" si="201"/>
        <v>1.4803314732695017</v>
      </c>
      <c r="AS237" s="42" t="str">
        <f t="shared" si="202"/>
        <v>-31,7117629989077+7,12911847355252i</v>
      </c>
      <c r="AT237">
        <f t="shared" si="203"/>
        <v>30.238531580877634</v>
      </c>
      <c r="AU237" s="44">
        <f t="shared" si="204"/>
        <v>167.32998367124421</v>
      </c>
      <c r="AV237" s="42" t="str">
        <f t="shared" si="181"/>
        <v>11,553635201603+46,0011681181163i</v>
      </c>
      <c r="AW237" s="20">
        <f t="shared" si="205"/>
        <v>33.521041362495268</v>
      </c>
      <c r="AX237" s="44">
        <f t="shared" si="206"/>
        <v>75.901241419334355</v>
      </c>
    </row>
    <row r="238" spans="14:50" x14ac:dyDescent="0.3">
      <c r="N238" s="8">
        <v>20</v>
      </c>
      <c r="O238" s="35">
        <f t="shared" si="207"/>
        <v>1584.8931924611156</v>
      </c>
      <c r="P238" s="34" t="str">
        <f t="shared" si="172"/>
        <v>324,571428571429</v>
      </c>
      <c r="Q238" s="4" t="str">
        <f t="shared" si="173"/>
        <v>1+227,615488464472i</v>
      </c>
      <c r="R238" s="4">
        <f t="shared" si="182"/>
        <v>227.61768514094021</v>
      </c>
      <c r="S238" s="4">
        <f t="shared" si="183"/>
        <v>1.5664029809250328</v>
      </c>
      <c r="T238" s="4" t="str">
        <f t="shared" si="174"/>
        <v>1+0,00199163552406413i</v>
      </c>
      <c r="U238" s="4">
        <f t="shared" si="184"/>
        <v>1.0000019833040636</v>
      </c>
      <c r="V238" s="4">
        <f t="shared" si="185"/>
        <v>1.9916328907219004E-3</v>
      </c>
      <c r="W238" t="str">
        <f t="shared" si="175"/>
        <v>1-0,0172885028130567i</v>
      </c>
      <c r="X238" s="4">
        <f t="shared" si="186"/>
        <v>1.0001494349993489</v>
      </c>
      <c r="Y238" s="4">
        <f t="shared" si="187"/>
        <v>-1.7286780654930178E-2</v>
      </c>
      <c r="Z238" t="str">
        <f t="shared" si="176"/>
        <v>0,999989952454274+0,0148231623119148i</v>
      </c>
      <c r="AA238" s="4">
        <f t="shared" si="188"/>
        <v>1.0000998105941359</v>
      </c>
      <c r="AB238" s="4">
        <f t="shared" si="189"/>
        <v>1.4822225681452077E-2</v>
      </c>
      <c r="AC238" s="48" t="str">
        <f t="shared" si="190"/>
        <v>-0,0366790233414947-1,4255517489889i</v>
      </c>
      <c r="AD238" s="20">
        <f t="shared" si="191"/>
        <v>3.0825339000726615</v>
      </c>
      <c r="AE238" s="44">
        <f t="shared" si="192"/>
        <v>-91.473878212171286</v>
      </c>
      <c r="AF238" t="str">
        <f t="shared" si="177"/>
        <v>-20791,6666666667</v>
      </c>
      <c r="AG238" t="str">
        <f t="shared" si="193"/>
        <v>9958,17762032063i</v>
      </c>
      <c r="AH238">
        <f t="shared" si="194"/>
        <v>9958.17762032063</v>
      </c>
      <c r="AI238">
        <f t="shared" si="195"/>
        <v>1.5707963267948966</v>
      </c>
      <c r="AJ238" t="str">
        <f t="shared" si="178"/>
        <v>-0,84981144676306+11,6831231895349i</v>
      </c>
      <c r="AK238">
        <f t="shared" si="196"/>
        <v>11.71398936984739</v>
      </c>
      <c r="AL238">
        <f t="shared" si="197"/>
        <v>1.6434068287204247</v>
      </c>
      <c r="AM238" t="str">
        <f t="shared" si="179"/>
        <v>1+16,0605488660531i</v>
      </c>
      <c r="AN238">
        <f t="shared" si="198"/>
        <v>16.09165093701947</v>
      </c>
      <c r="AO238">
        <f t="shared" si="199"/>
        <v>1.5086122307224823</v>
      </c>
      <c r="AP238" t="str">
        <f t="shared" si="180"/>
        <v>1+11,2806236082992i</v>
      </c>
      <c r="AQ238">
        <f t="shared" si="200"/>
        <v>11.324860661046442</v>
      </c>
      <c r="AR238">
        <f t="shared" si="201"/>
        <v>1.4823798657877771</v>
      </c>
      <c r="AS238" s="42" t="str">
        <f t="shared" si="202"/>
        <v>-31,6758344022051+7,19020807176044i</v>
      </c>
      <c r="AT238">
        <f t="shared" si="203"/>
        <v>30.232761608413632</v>
      </c>
      <c r="AU238" s="44">
        <f t="shared" si="204"/>
        <v>167.21094837836435</v>
      </c>
      <c r="AV238" s="42" t="str">
        <f t="shared" si="181"/>
        <v>11,411852361692+44,8918113230519i</v>
      </c>
      <c r="AW238" s="20">
        <f t="shared" si="205"/>
        <v>33.315295508486287</v>
      </c>
      <c r="AX238" s="44">
        <f t="shared" si="206"/>
        <v>75.737070166193035</v>
      </c>
    </row>
    <row r="239" spans="14:50" x14ac:dyDescent="0.3">
      <c r="N239" s="8">
        <v>21</v>
      </c>
      <c r="O239" s="35">
        <f t="shared" si="207"/>
        <v>1621.8100973589308</v>
      </c>
      <c r="P239" s="34" t="str">
        <f t="shared" si="172"/>
        <v>324,571428571429</v>
      </c>
      <c r="Q239" s="4" t="str">
        <f t="shared" si="173"/>
        <v>1+232,917334280254i</v>
      </c>
      <c r="R239" s="4">
        <f t="shared" si="182"/>
        <v>232.91948095472733</v>
      </c>
      <c r="S239" s="4">
        <f t="shared" si="183"/>
        <v>1.5665029844431146</v>
      </c>
      <c r="T239" s="4" t="str">
        <f t="shared" si="174"/>
        <v>1+0,00203802667495222i</v>
      </c>
      <c r="U239" s="4">
        <f t="shared" si="184"/>
        <v>1.0000020767742075</v>
      </c>
      <c r="V239" s="4">
        <f t="shared" si="185"/>
        <v>2.0380238532755005E-3</v>
      </c>
      <c r="W239" t="str">
        <f t="shared" si="175"/>
        <v>1-0,0176912037756269i</v>
      </c>
      <c r="X239" s="4">
        <f t="shared" si="186"/>
        <v>1.0001564771029734</v>
      </c>
      <c r="Y239" s="4">
        <f t="shared" si="187"/>
        <v>-1.7689358465539994E-2</v>
      </c>
      <c r="Z239" t="str">
        <f t="shared" si="176"/>
        <v>0,999989478928032+0,0151684381172225i</v>
      </c>
      <c r="AA239" s="4">
        <f t="shared" si="188"/>
        <v>1.0001045142792193</v>
      </c>
      <c r="AB239" s="4">
        <f t="shared" si="189"/>
        <v>1.5167434505249157E-2</v>
      </c>
      <c r="AC239" s="48" t="str">
        <f t="shared" si="190"/>
        <v>-0,0369606321219467-1,39307704877986i</v>
      </c>
      <c r="AD239" s="20">
        <f t="shared" si="191"/>
        <v>2.882558790744048</v>
      </c>
      <c r="AE239" s="44">
        <f t="shared" si="192"/>
        <v>-91.519795003459762</v>
      </c>
      <c r="AF239" t="str">
        <f t="shared" si="177"/>
        <v>-20791,6666666667</v>
      </c>
      <c r="AG239" t="str">
        <f t="shared" si="193"/>
        <v>10190,1333747611i</v>
      </c>
      <c r="AH239">
        <f t="shared" si="194"/>
        <v>10190.133374761101</v>
      </c>
      <c r="AI239">
        <f t="shared" si="195"/>
        <v>1.5707963267948966</v>
      </c>
      <c r="AJ239" t="str">
        <f t="shared" si="178"/>
        <v>-0,93699037441693+11,9552580878039i</v>
      </c>
      <c r="AK239">
        <f t="shared" si="196"/>
        <v>11.991920067601791</v>
      </c>
      <c r="AL239">
        <f t="shared" si="197"/>
        <v>1.6490111915829815</v>
      </c>
      <c r="AM239" t="str">
        <f t="shared" si="179"/>
        <v>1+16,4346471068147i</v>
      </c>
      <c r="AN239">
        <f t="shared" si="198"/>
        <v>16.465042530328699</v>
      </c>
      <c r="AO239">
        <f t="shared" si="199"/>
        <v>1.5100241905811804</v>
      </c>
      <c r="AP239" t="str">
        <f t="shared" si="180"/>
        <v>1+11,5433830869294i</v>
      </c>
      <c r="AQ239">
        <f t="shared" si="200"/>
        <v>11.586616982174206</v>
      </c>
      <c r="AR239">
        <f t="shared" si="201"/>
        <v>1.4843823502902942</v>
      </c>
      <c r="AS239" s="42" t="str">
        <f t="shared" si="202"/>
        <v>-31,6383058121258+7,25458098619376i</v>
      </c>
      <c r="AT239">
        <f t="shared" si="203"/>
        <v>30.226804362607069</v>
      </c>
      <c r="AU239" s="44">
        <f t="shared" si="204"/>
        <v>167.08547529075986</v>
      </c>
      <c r="AV239" s="42" t="str">
        <f t="shared" si="181"/>
        <v>11,2755620524649+43,8064637901213i</v>
      </c>
      <c r="AW239" s="20">
        <f t="shared" si="205"/>
        <v>33.109363153351111</v>
      </c>
      <c r="AX239" s="44">
        <f t="shared" si="206"/>
        <v>75.565680287300111</v>
      </c>
    </row>
    <row r="240" spans="14:50" x14ac:dyDescent="0.3">
      <c r="N240" s="8">
        <v>22</v>
      </c>
      <c r="O240" s="35">
        <f t="shared" si="207"/>
        <v>1659.5869074375626</v>
      </c>
      <c r="P240" s="34" t="str">
        <f t="shared" si="172"/>
        <v>324,571428571429</v>
      </c>
      <c r="Q240" s="4" t="str">
        <f t="shared" si="173"/>
        <v>1+238,342675949698i</v>
      </c>
      <c r="R240" s="4">
        <f t="shared" si="182"/>
        <v>238.3447737603297</v>
      </c>
      <c r="S240" s="4">
        <f t="shared" si="183"/>
        <v>1.5666007116861889</v>
      </c>
      <c r="T240" s="4" t="str">
        <f t="shared" si="174"/>
        <v>1+0,00208549841455986i</v>
      </c>
      <c r="U240" s="4">
        <f t="shared" si="184"/>
        <v>1.0000021746494541</v>
      </c>
      <c r="V240" s="4">
        <f t="shared" si="185"/>
        <v>2.0854953910791367E-3</v>
      </c>
      <c r="W240" t="str">
        <f t="shared" si="175"/>
        <v>1-0,0181032848486099i</v>
      </c>
      <c r="X240" s="4">
        <f t="shared" si="186"/>
        <v>1.0001638510375737</v>
      </c>
      <c r="Y240" s="4">
        <f t="shared" si="187"/>
        <v>-1.8101307580722162E-2</v>
      </c>
      <c r="Z240" t="str">
        <f t="shared" si="176"/>
        <v>0,999988983085187+0,0155217564291981i</v>
      </c>
      <c r="AA240" s="4">
        <f t="shared" si="188"/>
        <v>1.000109439618682</v>
      </c>
      <c r="AB240" s="4">
        <f t="shared" si="189"/>
        <v>1.5520681045932251E-2</v>
      </c>
      <c r="AC240" s="48" t="str">
        <f t="shared" si="190"/>
        <v>-0,0372295318741324-1,36134086797248i</v>
      </c>
      <c r="AD240" s="20">
        <f t="shared" si="191"/>
        <v>2.6825845063614451</v>
      </c>
      <c r="AE240" s="44">
        <f t="shared" si="192"/>
        <v>-91.566516924851044</v>
      </c>
      <c r="AF240" t="str">
        <f t="shared" si="177"/>
        <v>-20791,6666666667</v>
      </c>
      <c r="AG240" t="str">
        <f t="shared" si="193"/>
        <v>10427,4920727993i</v>
      </c>
      <c r="AH240">
        <f t="shared" si="194"/>
        <v>10427.492072799299</v>
      </c>
      <c r="AI240">
        <f t="shared" si="195"/>
        <v>1.5707963267948966</v>
      </c>
      <c r="AJ240" t="str">
        <f t="shared" si="178"/>
        <v>-1,02827791835177+12,2337318221575i</v>
      </c>
      <c r="AK240">
        <f t="shared" si="196"/>
        <v>12.276870520366293</v>
      </c>
      <c r="AL240">
        <f t="shared" si="197"/>
        <v>1.6546518994421326</v>
      </c>
      <c r="AM240" t="str">
        <f t="shared" si="179"/>
        <v>1+16,8174592150107i</v>
      </c>
      <c r="AN240">
        <f t="shared" si="198"/>
        <v>16.84716398829632</v>
      </c>
      <c r="AO240">
        <f t="shared" si="199"/>
        <v>1.5114042447827214</v>
      </c>
      <c r="AP240" t="str">
        <f t="shared" si="180"/>
        <v>1+11,812263020067i</v>
      </c>
      <c r="AQ240">
        <f t="shared" si="200"/>
        <v>11.854516339996433</v>
      </c>
      <c r="AR240">
        <f t="shared" si="201"/>
        <v>1.4863399242464175</v>
      </c>
      <c r="AS240" s="42" t="str">
        <f t="shared" si="202"/>
        <v>-31,5991095775467+7,32223559584056i</v>
      </c>
      <c r="AT240">
        <f t="shared" si="203"/>
        <v>30.220648058058025</v>
      </c>
      <c r="AU240" s="44">
        <f t="shared" si="204"/>
        <v>166.95351854398245</v>
      </c>
      <c r="AV240" s="42" t="str">
        <f t="shared" si="181"/>
        <v>11,1444786187521+42,7445558559497i</v>
      </c>
      <c r="AW240" s="20">
        <f t="shared" si="205"/>
        <v>32.903232564419476</v>
      </c>
      <c r="AX240" s="44">
        <f t="shared" si="206"/>
        <v>75.38700161913134</v>
      </c>
    </row>
    <row r="241" spans="14:50" x14ac:dyDescent="0.3">
      <c r="N241" s="8">
        <v>23</v>
      </c>
      <c r="O241" s="35">
        <f t="shared" si="207"/>
        <v>1698.2436524617447</v>
      </c>
      <c r="P241" s="34" t="str">
        <f t="shared" si="172"/>
        <v>324,571428571429</v>
      </c>
      <c r="Q241" s="4" t="str">
        <f t="shared" si="173"/>
        <v>1+243,894390060768i</v>
      </c>
      <c r="R241" s="4">
        <f t="shared" si="182"/>
        <v>243.89644011980587</v>
      </c>
      <c r="S241" s="4">
        <f t="shared" si="183"/>
        <v>1.5666962144630623</v>
      </c>
      <c r="T241" s="4" t="str">
        <f t="shared" si="174"/>
        <v>1+0,00213407591303172i</v>
      </c>
      <c r="U241" s="4">
        <f t="shared" si="184"/>
        <v>1.0000022771374086</v>
      </c>
      <c r="V241" s="4">
        <f t="shared" si="185"/>
        <v>2.1340726733141547E-3</v>
      </c>
      <c r="W241" t="str">
        <f t="shared" si="175"/>
        <v>1-0,0185249645228448i</v>
      </c>
      <c r="X241" s="4">
        <f t="shared" si="186"/>
        <v>1.0001715724367357</v>
      </c>
      <c r="Y241" s="4">
        <f t="shared" si="187"/>
        <v>-1.8522845861760225E-2</v>
      </c>
      <c r="Z241" t="str">
        <f t="shared" si="176"/>
        <v>0,999988463873988+0,0158833045818871i</v>
      </c>
      <c r="AA241" s="4">
        <f t="shared" si="188"/>
        <v>1.0001145970565068</v>
      </c>
      <c r="AB241" s="4">
        <f t="shared" si="189"/>
        <v>1.5882152295069098E-2</v>
      </c>
      <c r="AC241" s="48" t="str">
        <f t="shared" si="190"/>
        <v>-0,0374862929097632-1,33032638693604i</v>
      </c>
      <c r="AD241" s="20">
        <f t="shared" si="191"/>
        <v>2.4826111013981227</v>
      </c>
      <c r="AE241" s="44">
        <f t="shared" si="192"/>
        <v>-91.614068699042946</v>
      </c>
      <c r="AF241" t="str">
        <f t="shared" si="177"/>
        <v>-20791,6666666667</v>
      </c>
      <c r="AG241" t="str">
        <f t="shared" si="193"/>
        <v>10670,3795651586i</v>
      </c>
      <c r="AH241">
        <f t="shared" si="194"/>
        <v>10670.379565158601</v>
      </c>
      <c r="AI241">
        <f t="shared" si="195"/>
        <v>1.5707963267948966</v>
      </c>
      <c r="AJ241" t="str">
        <f t="shared" si="178"/>
        <v>-1,12386771168738+12,5186920430558i</v>
      </c>
      <c r="AK241">
        <f t="shared" si="196"/>
        <v>12.569038511447168</v>
      </c>
      <c r="AL241">
        <f t="shared" si="197"/>
        <v>1.6603314734258292</v>
      </c>
      <c r="AM241" t="str">
        <f t="shared" si="179"/>
        <v>1+17,2091881626878i</v>
      </c>
      <c r="AN241">
        <f t="shared" si="198"/>
        <v>17.238217924681013</v>
      </c>
      <c r="AO241">
        <f t="shared" si="199"/>
        <v>1.5127531040111764</v>
      </c>
      <c r="AP241" t="str">
        <f t="shared" si="180"/>
        <v>1+12,0874059714117i</v>
      </c>
      <c r="AQ241">
        <f t="shared" si="200"/>
        <v>12.128700800898638</v>
      </c>
      <c r="AR241">
        <f t="shared" si="201"/>
        <v>1.488253565541557</v>
      </c>
      <c r="AS241" s="42" t="str">
        <f t="shared" si="202"/>
        <v>-31,5581755986847+7,39316969191381i</v>
      </c>
      <c r="AT241">
        <f t="shared" si="203"/>
        <v>30.214280561874702</v>
      </c>
      <c r="AU241" s="44">
        <f t="shared" si="204"/>
        <v>166.81503043594546</v>
      </c>
      <c r="AV241" s="42" t="str">
        <f t="shared" si="181"/>
        <v>11,0183277384388+41,7055311978886i</v>
      </c>
      <c r="AW241" s="20">
        <f t="shared" si="205"/>
        <v>32.696891663272815</v>
      </c>
      <c r="AX241" s="44">
        <f t="shared" si="206"/>
        <v>75.200961736902443</v>
      </c>
    </row>
    <row r="242" spans="14:50" x14ac:dyDescent="0.3">
      <c r="N242" s="8">
        <v>24</v>
      </c>
      <c r="O242" s="35">
        <f t="shared" si="207"/>
        <v>1737.8008287493772</v>
      </c>
      <c r="P242" s="34" t="str">
        <f t="shared" si="172"/>
        <v>324,571428571429</v>
      </c>
      <c r="Q242" s="4" t="str">
        <f t="shared" si="173"/>
        <v>1+249,575420205774i</v>
      </c>
      <c r="R242" s="4">
        <f t="shared" si="182"/>
        <v>249.5774236001499</v>
      </c>
      <c r="S242" s="4">
        <f t="shared" si="183"/>
        <v>1.5667895434035992</v>
      </c>
      <c r="T242" s="4" t="str">
        <f t="shared" si="174"/>
        <v>1+0,00218378492680052i</v>
      </c>
      <c r="U242" s="4">
        <f t="shared" si="184"/>
        <v>1.0000023844554604</v>
      </c>
      <c r="V242" s="4">
        <f t="shared" si="185"/>
        <v>2.183781455381052E-3</v>
      </c>
      <c r="W242" t="str">
        <f t="shared" si="175"/>
        <v>1-0,0189564663784767i</v>
      </c>
      <c r="X242" s="4">
        <f t="shared" si="186"/>
        <v>1.0001796576703399</v>
      </c>
      <c r="Y242" s="4">
        <f t="shared" si="187"/>
        <v>-1.8954196214246655E-2</v>
      </c>
      <c r="Z242" t="str">
        <f t="shared" si="176"/>
        <v>0,999987920193118+0,0162532742729059i</v>
      </c>
      <c r="AA242" s="4">
        <f t="shared" si="188"/>
        <v>1.0001199975286705</v>
      </c>
      <c r="AB242" s="4">
        <f t="shared" si="189"/>
        <v>1.6252039583314809E-2</v>
      </c>
      <c r="AC242" s="48" t="str">
        <f t="shared" si="190"/>
        <v>-0,0377314597982479-1,30001716821165i</v>
      </c>
      <c r="AD242" s="20">
        <f t="shared" si="191"/>
        <v>2.2826386321857211</v>
      </c>
      <c r="AE242" s="44">
        <f t="shared" si="192"/>
        <v>-91.662475485225926</v>
      </c>
      <c r="AF242" t="str">
        <f t="shared" si="177"/>
        <v>-20791,6666666667</v>
      </c>
      <c r="AG242" t="str">
        <f t="shared" si="193"/>
        <v>10918,9246340026i</v>
      </c>
      <c r="AH242">
        <f t="shared" si="194"/>
        <v>10918.9246340026</v>
      </c>
      <c r="AI242">
        <f t="shared" si="195"/>
        <v>1.5707963267948966</v>
      </c>
      <c r="AJ242" t="str">
        <f t="shared" si="178"/>
        <v>-1,22396251319142+12,8102898401799i</v>
      </c>
      <c r="AK242">
        <f t="shared" si="196"/>
        <v>12.868628909993257</v>
      </c>
      <c r="AL242">
        <f t="shared" si="197"/>
        <v>1.6660524311077536</v>
      </c>
      <c r="AM242" t="str">
        <f t="shared" si="179"/>
        <v>1+17,6100416497194i</v>
      </c>
      <c r="AN242">
        <f t="shared" si="198"/>
        <v>17.638411688835589</v>
      </c>
      <c r="AO242">
        <f t="shared" si="199"/>
        <v>1.5140714638053174</v>
      </c>
      <c r="AP242" t="str">
        <f t="shared" si="180"/>
        <v>1+12,3689578253981i</v>
      </c>
      <c r="AQ242">
        <f t="shared" si="200"/>
        <v>12.409315762219805</v>
      </c>
      <c r="AR242">
        <f t="shared" si="201"/>
        <v>1.4901242327200876</v>
      </c>
      <c r="AS242" s="42" t="str">
        <f t="shared" si="202"/>
        <v>-31,5154312746004+7,46738033726079i</v>
      </c>
      <c r="AT242">
        <f t="shared" si="203"/>
        <v>30.207689375117219</v>
      </c>
      <c r="AU242" s="44">
        <f t="shared" si="204"/>
        <v>166.66996149228575</v>
      </c>
      <c r="AV242" s="42" t="str">
        <f t="shared" si="181"/>
        <v>10,8968458681672+40,6888465595813i</v>
      </c>
      <c r="AW242" s="20">
        <f t="shared" si="205"/>
        <v>32.490328007302942</v>
      </c>
      <c r="AX242" s="44">
        <f t="shared" si="206"/>
        <v>75.007486007059768</v>
      </c>
    </row>
    <row r="243" spans="14:50" x14ac:dyDescent="0.3">
      <c r="N243" s="8">
        <v>25</v>
      </c>
      <c r="O243" s="35">
        <f t="shared" si="207"/>
        <v>1778.2794100389244</v>
      </c>
      <c r="P243" s="34" t="str">
        <f t="shared" si="172"/>
        <v>324,571428571429</v>
      </c>
      <c r="Q243" s="4" t="str">
        <f t="shared" si="173"/>
        <v>1+255,388778542094i</v>
      </c>
      <c r="R243" s="4">
        <f t="shared" si="182"/>
        <v>255.39073633400008</v>
      </c>
      <c r="S243" s="4">
        <f t="shared" si="183"/>
        <v>1.5668807479855318</v>
      </c>
      <c r="T243" s="4" t="str">
        <f t="shared" si="174"/>
        <v>1+0,00223465181224332i</v>
      </c>
      <c r="U243" s="4">
        <f t="shared" si="184"/>
        <v>1.0000024968312438</v>
      </c>
      <c r="V243" s="4">
        <f t="shared" si="185"/>
        <v>2.2346480925508456E-3</v>
      </c>
      <c r="W243" t="str">
        <f t="shared" si="175"/>
        <v>1-0,019398019203501i</v>
      </c>
      <c r="X243" s="4">
        <f t="shared" si="186"/>
        <v>1.0001881238792127</v>
      </c>
      <c r="Y243" s="4">
        <f t="shared" si="187"/>
        <v>-1.9395586703412453E-2</v>
      </c>
      <c r="Z243" t="str">
        <f t="shared" si="176"/>
        <v>0,999987350889359+0,0166318616650818i</v>
      </c>
      <c r="AA243" s="4">
        <f t="shared" si="188"/>
        <v>1.0001256524863085</v>
      </c>
      <c r="AB243" s="4">
        <f t="shared" si="189"/>
        <v>1.6630538680302027E-2</v>
      </c>
      <c r="AC243" s="48" t="str">
        <f t="shared" si="190"/>
        <v>-0,0379655525213268-1,27039714782948i</v>
      </c>
      <c r="AD243" s="20">
        <f t="shared" si="191"/>
        <v>2.0826671570329953</v>
      </c>
      <c r="AE243" s="44">
        <f t="shared" si="192"/>
        <v>-91.71176289216838</v>
      </c>
      <c r="AF243" t="str">
        <f t="shared" si="177"/>
        <v>-20791,6666666667</v>
      </c>
      <c r="AG243" t="str">
        <f t="shared" si="193"/>
        <v>11173,2590612166i</v>
      </c>
      <c r="AH243">
        <f t="shared" si="194"/>
        <v>11173.2590612166</v>
      </c>
      <c r="AI243">
        <f t="shared" si="195"/>
        <v>1.5707963267948966</v>
      </c>
      <c r="AJ243" t="str">
        <f t="shared" si="178"/>
        <v>-1,32877463735777+13,1086798225414i</v>
      </c>
      <c r="AK243">
        <f t="shared" si="196"/>
        <v>13.175854003698936</v>
      </c>
      <c r="AL243">
        <f t="shared" si="197"/>
        <v>1.6718172858011457</v>
      </c>
      <c r="AM243" t="str">
        <f t="shared" si="179"/>
        <v>1+18,0202322139301i</v>
      </c>
      <c r="AN243">
        <f t="shared" si="198"/>
        <v>18.047957475680292</v>
      </c>
      <c r="AO243">
        <f t="shared" si="199"/>
        <v>1.5153600048353464</v>
      </c>
      <c r="AP243" t="str">
        <f t="shared" si="180"/>
        <v>1+12,6570678645462i</v>
      </c>
      <c r="AQ243">
        <f t="shared" si="200"/>
        <v>12.696510029442269</v>
      </c>
      <c r="AR243">
        <f t="shared" si="201"/>
        <v>1.4919528652357041</v>
      </c>
      <c r="AS243" s="42" t="str">
        <f t="shared" si="202"/>
        <v>-31,470801453436+7,54486371835675i</v>
      </c>
      <c r="AT243">
        <f t="shared" si="203"/>
        <v>30.200861614066532</v>
      </c>
      <c r="AU243" s="44">
        <f t="shared" si="204"/>
        <v>166.51826053702351</v>
      </c>
      <c r="AV243" s="42" t="str">
        <f t="shared" si="181"/>
        <v>10,7797797140312+39,6939714865874i</v>
      </c>
      <c r="AW243" s="20">
        <f t="shared" si="205"/>
        <v>32.283528771099526</v>
      </c>
      <c r="AX243" s="44">
        <f t="shared" si="206"/>
        <v>74.806497644855156</v>
      </c>
    </row>
    <row r="244" spans="14:50" x14ac:dyDescent="0.3">
      <c r="N244" s="8">
        <v>26</v>
      </c>
      <c r="O244" s="35">
        <f t="shared" si="207"/>
        <v>1819.7008586099832</v>
      </c>
      <c r="P244" s="34" t="str">
        <f t="shared" si="172"/>
        <v>324,571428571429</v>
      </c>
      <c r="Q244" s="4" t="str">
        <f t="shared" si="173"/>
        <v>1+261,337547389264i</v>
      </c>
      <c r="R244" s="4">
        <f t="shared" si="182"/>
        <v>261.33946061671554</v>
      </c>
      <c r="S244" s="4">
        <f t="shared" si="183"/>
        <v>1.5669698765606639</v>
      </c>
      <c r="T244" s="4" t="str">
        <f t="shared" si="174"/>
        <v>1+0,00228670353965606i</v>
      </c>
      <c r="U244" s="4">
        <f t="shared" si="184"/>
        <v>1.0000026145031213</v>
      </c>
      <c r="V244" s="4">
        <f t="shared" si="185"/>
        <v>2.2866995539343265E-3</v>
      </c>
      <c r="W244" t="str">
        <f t="shared" si="175"/>
        <v>1-0,01984985711507i</v>
      </c>
      <c r="X244" s="4">
        <f t="shared" si="186"/>
        <v>1.0001969890114091</v>
      </c>
      <c r="Y244" s="4">
        <f t="shared" si="187"/>
        <v>-1.9847250671989523E-2</v>
      </c>
      <c r="Z244" t="str">
        <f t="shared" si="176"/>
        <v>0,999986754755141+0,017019267490461i</v>
      </c>
      <c r="AA244" s="4">
        <f t="shared" si="188"/>
        <v>1.0001315739199672</v>
      </c>
      <c r="AB244" s="4">
        <f t="shared" si="189"/>
        <v>1.7017849896774261E-2</v>
      </c>
      <c r="AC244" s="48" t="str">
        <f t="shared" si="190"/>
        <v>-0,0381890675755988-1,24145062682194i</v>
      </c>
      <c r="AD244" s="20">
        <f t="shared" si="191"/>
        <v>1.8826967363491836</v>
      </c>
      <c r="AE244" s="44">
        <f t="shared" si="192"/>
        <v>-91.761956991522226</v>
      </c>
      <c r="AF244" t="str">
        <f t="shared" si="177"/>
        <v>-20791,6666666667</v>
      </c>
      <c r="AG244" t="str">
        <f t="shared" si="193"/>
        <v>11433,5176982803i</v>
      </c>
      <c r="AH244">
        <f t="shared" si="194"/>
        <v>11433.5176982803</v>
      </c>
      <c r="AI244">
        <f t="shared" si="195"/>
        <v>1.5707963267948966</v>
      </c>
      <c r="AJ244" t="str">
        <f t="shared" si="178"/>
        <v>-1,43852640475417+13,4140202004587i</v>
      </c>
      <c r="AK244">
        <f t="shared" si="196"/>
        <v>13.490933850385932</v>
      </c>
      <c r="AL244">
        <f t="shared" si="197"/>
        <v>1.6776285457595721</v>
      </c>
      <c r="AM244" t="str">
        <f t="shared" si="179"/>
        <v>1+18,4399773437865i</v>
      </c>
      <c r="AN244">
        <f t="shared" si="198"/>
        <v>18.467072438244223</v>
      </c>
      <c r="AO244">
        <f t="shared" si="199"/>
        <v>1.5166193931777732</v>
      </c>
      <c r="AP244" t="str">
        <f t="shared" si="180"/>
        <v>1+12,9518888486119i</v>
      </c>
      <c r="AQ244">
        <f t="shared" si="200"/>
        <v>12.990435895180624</v>
      </c>
      <c r="AR244">
        <f t="shared" si="201"/>
        <v>1.4937403837082146</v>
      </c>
      <c r="AS244" s="42" t="str">
        <f t="shared" si="202"/>
        <v>-31,4242083858782+7,62561498961254i</v>
      </c>
      <c r="AT244">
        <f t="shared" si="203"/>
        <v>30.193783991327869</v>
      </c>
      <c r="AU244" s="44">
        <f t="shared" si="204"/>
        <v>166.35987476881783</v>
      </c>
      <c r="AV244" s="42" t="str">
        <f t="shared" si="181"/>
        <v>10,6668857263153+38,7203880718879i</v>
      </c>
      <c r="AW244" s="20">
        <f t="shared" si="205"/>
        <v>32.076480727677044</v>
      </c>
      <c r="AX244" s="44">
        <f t="shared" si="206"/>
        <v>74.597917777295564</v>
      </c>
    </row>
    <row r="245" spans="14:50" x14ac:dyDescent="0.3">
      <c r="N245" s="8">
        <v>27</v>
      </c>
      <c r="O245" s="35">
        <f t="shared" si="207"/>
        <v>1862.0871366628687</v>
      </c>
      <c r="P245" s="34" t="str">
        <f t="shared" si="172"/>
        <v>324,571428571429</v>
      </c>
      <c r="Q245" s="4" t="str">
        <f t="shared" si="173"/>
        <v>1+267,424880863273i</v>
      </c>
      <c r="R245" s="4">
        <f t="shared" si="182"/>
        <v>267.42675054065882</v>
      </c>
      <c r="S245" s="4">
        <f t="shared" si="183"/>
        <v>1.5670569763804785</v>
      </c>
      <c r="T245" s="4" t="str">
        <f t="shared" si="174"/>
        <v>1+0,00233996770755364i</v>
      </c>
      <c r="U245" s="4">
        <f t="shared" si="184"/>
        <v>1.0000027377206886</v>
      </c>
      <c r="V245" s="4">
        <f t="shared" si="185"/>
        <v>2.3399634367764887E-3</v>
      </c>
      <c r="W245" t="str">
        <f t="shared" si="175"/>
        <v>1-0,0203122196836253i</v>
      </c>
      <c r="X245" s="4">
        <f t="shared" si="186"/>
        <v>1.0002062718601978</v>
      </c>
      <c r="Y245" s="4">
        <f t="shared" si="187"/>
        <v>-2.0309426860653044E-2</v>
      </c>
      <c r="Z245" t="str">
        <f t="shared" si="176"/>
        <v>0,999986130525982+0,0174156971567404i</v>
      </c>
      <c r="AA245" s="4">
        <f t="shared" si="188"/>
        <v>1.0001377743850002</v>
      </c>
      <c r="AB245" s="4">
        <f t="shared" si="189"/>
        <v>1.7414178189008936E-2</v>
      </c>
      <c r="AC245" s="48" t="str">
        <f t="shared" si="190"/>
        <v>-0,0384024790252706-1,2131622629282i</v>
      </c>
      <c r="AD245" s="20">
        <f t="shared" si="191"/>
        <v>1.6827274327704813</v>
      </c>
      <c r="AE245" s="44">
        <f t="shared" si="192"/>
        <v>-91.813084331355142</v>
      </c>
      <c r="AF245" t="str">
        <f t="shared" si="177"/>
        <v>-20791,6666666667</v>
      </c>
      <c r="AG245" t="str">
        <f t="shared" si="193"/>
        <v>11699,8385377682i</v>
      </c>
      <c r="AH245">
        <f t="shared" si="194"/>
        <v>11699.838537768201</v>
      </c>
      <c r="AI245">
        <f t="shared" si="195"/>
        <v>1.5707963267948966</v>
      </c>
      <c r="AJ245" t="str">
        <f t="shared" si="178"/>
        <v>-1,55345061359401+13,7264728694419i</v>
      </c>
      <c r="AK245">
        <f t="shared" si="196"/>
        <v>13.814096649596749</v>
      </c>
      <c r="AL245">
        <f t="shared" si="197"/>
        <v>1.6834887132780447</v>
      </c>
      <c r="AM245" t="str">
        <f t="shared" si="179"/>
        <v>1+18,8694995937125i</v>
      </c>
      <c r="AN245">
        <f t="shared" si="198"/>
        <v>18.895978802833056</v>
      </c>
      <c r="AO245">
        <f t="shared" si="199"/>
        <v>1.5178502805882002</v>
      </c>
      <c r="AP245" t="str">
        <f t="shared" si="180"/>
        <v>1+13,2535770955838i</v>
      </c>
      <c r="AQ245">
        <f t="shared" si="200"/>
        <v>13.291249220016285</v>
      </c>
      <c r="AR245">
        <f t="shared" si="201"/>
        <v>1.4954876901859058</v>
      </c>
      <c r="AS245" s="42" t="str">
        <f t="shared" si="202"/>
        <v>-31,3755716824135+7,7096281097455i</v>
      </c>
      <c r="AT245">
        <f t="shared" si="203"/>
        <v>30.186442796790427</v>
      </c>
      <c r="AU245" s="44">
        <f t="shared" si="204"/>
        <v>166.19474984313052</v>
      </c>
      <c r="AV245" s="42" t="str">
        <f t="shared" si="181"/>
        <v>10,5579296173935+37,7675907111256i</v>
      </c>
      <c r="AW245" s="20">
        <f t="shared" si="205"/>
        <v>31.869170229560915</v>
      </c>
      <c r="AX245" s="44">
        <f t="shared" si="206"/>
        <v>74.381665511775353</v>
      </c>
    </row>
    <row r="246" spans="14:50" x14ac:dyDescent="0.3">
      <c r="N246" s="8">
        <v>28</v>
      </c>
      <c r="O246" s="35">
        <f t="shared" si="207"/>
        <v>1905.4607179632501</v>
      </c>
      <c r="P246" s="34" t="str">
        <f t="shared" si="172"/>
        <v>324,571428571429</v>
      </c>
      <c r="Q246" s="4" t="str">
        <f t="shared" si="173"/>
        <v>1+273,654006548905i</v>
      </c>
      <c r="R246" s="4">
        <f t="shared" si="182"/>
        <v>273.65583366752503</v>
      </c>
      <c r="S246" s="4">
        <f t="shared" si="183"/>
        <v>1.5671420936211635</v>
      </c>
      <c r="T246" s="4" t="str">
        <f t="shared" si="174"/>
        <v>1+0,00239447255730292i</v>
      </c>
      <c r="U246" s="4">
        <f t="shared" si="184"/>
        <v>1.0000028667453047</v>
      </c>
      <c r="V246" s="4">
        <f t="shared" si="185"/>
        <v>2.3944679810834622E-3</v>
      </c>
      <c r="W246" t="str">
        <f t="shared" si="175"/>
        <v>1-0,0207853520599212i</v>
      </c>
      <c r="X246" s="4">
        <f t="shared" si="186"/>
        <v>1.0002159921038329</v>
      </c>
      <c r="Y246" s="4">
        <f t="shared" si="187"/>
        <v>-2.0782359531091407E-2</v>
      </c>
      <c r="Z246" t="str">
        <f t="shared" si="176"/>
        <v>0,999985476877809+0,0178213608561764i</v>
      </c>
      <c r="AA246" s="4">
        <f t="shared" si="188"/>
        <v>1.0001442670281648</v>
      </c>
      <c r="AB246" s="4">
        <f t="shared" si="189"/>
        <v>1.7819733265573987E-2</v>
      </c>
      <c r="AC246" s="48" t="str">
        <f t="shared" si="190"/>
        <v>-0,038606239507362-1,18551706248621i</v>
      </c>
      <c r="AD246" s="20">
        <f t="shared" si="191"/>
        <v>1.482759311292817</v>
      </c>
      <c r="AE246" s="44">
        <f t="shared" si="192"/>
        <v>-91.86517194991437</v>
      </c>
      <c r="AF246" t="str">
        <f t="shared" si="177"/>
        <v>-20791,6666666667</v>
      </c>
      <c r="AG246" t="str">
        <f t="shared" si="193"/>
        <v>11972,3627865146i</v>
      </c>
      <c r="AH246">
        <f t="shared" si="194"/>
        <v>11972.362786514601</v>
      </c>
      <c r="AI246">
        <f t="shared" si="195"/>
        <v>1.5707963267948966</v>
      </c>
      <c r="AJ246" t="str">
        <f t="shared" si="178"/>
        <v>-1,67379103353242+14,0462034960318i</v>
      </c>
      <c r="AK246">
        <f t="shared" si="196"/>
        <v>14.145579135400201</v>
      </c>
      <c r="AL246">
        <f t="shared" si="197"/>
        <v>1.6894002836877837</v>
      </c>
      <c r="AM246" t="str">
        <f t="shared" si="179"/>
        <v>1+19,3090267020907i</v>
      </c>
      <c r="AN246">
        <f t="shared" si="198"/>
        <v>19.334903986884747</v>
      </c>
      <c r="AO246">
        <f t="shared" si="199"/>
        <v>1.5190533047717869</v>
      </c>
      <c r="AP246" t="str">
        <f t="shared" si="180"/>
        <v>1+13,5622925645637i</v>
      </c>
      <c r="AQ246">
        <f t="shared" si="200"/>
        <v>13.59910951521532</v>
      </c>
      <c r="AR246">
        <f t="shared" si="201"/>
        <v>1.4971956684126035</v>
      </c>
      <c r="AS246" s="42" t="str">
        <f t="shared" si="202"/>
        <v>-31,3248082749515+7,7968956699706i</v>
      </c>
      <c r="AT246">
        <f t="shared" si="203"/>
        <v>30.178823878458424</v>
      </c>
      <c r="AU246" s="44">
        <f t="shared" si="204"/>
        <v>166.02282996061979</v>
      </c>
      <c r="AV246" s="42" t="str">
        <f t="shared" si="181"/>
        <v>10,45268590196+36,8350858674154i</v>
      </c>
      <c r="AW246" s="20">
        <f t="shared" si="205"/>
        <v>31.661583189751241</v>
      </c>
      <c r="AX246" s="44">
        <f t="shared" si="206"/>
        <v>74.157658010705362</v>
      </c>
    </row>
    <row r="247" spans="14:50" x14ac:dyDescent="0.3">
      <c r="N247" s="8">
        <v>29</v>
      </c>
      <c r="O247" s="35">
        <f t="shared" si="207"/>
        <v>1949.8445997580463</v>
      </c>
      <c r="P247" s="34" t="str">
        <f t="shared" si="172"/>
        <v>324,571428571429</v>
      </c>
      <c r="Q247" s="4" t="str">
        <f t="shared" si="173"/>
        <v>1+280,028227211045i</v>
      </c>
      <c r="R247" s="4">
        <f t="shared" si="182"/>
        <v>280.03001273963594</v>
      </c>
      <c r="S247" s="4">
        <f t="shared" si="183"/>
        <v>1.5672252734080703</v>
      </c>
      <c r="T247" s="4" t="str">
        <f t="shared" si="174"/>
        <v>1+0,00245024698809664i</v>
      </c>
      <c r="U247" s="4">
        <f t="shared" si="184"/>
        <v>1.0000030018506458</v>
      </c>
      <c r="V247" s="4">
        <f t="shared" si="185"/>
        <v>2.4502420845899414E-3</v>
      </c>
      <c r="W247" t="str">
        <f t="shared" si="175"/>
        <v>1-0,0212695051050056i</v>
      </c>
      <c r="X247" s="4">
        <f t="shared" si="186"/>
        <v>1.0002261703471929</v>
      </c>
      <c r="Y247" s="4">
        <f t="shared" si="187"/>
        <v>-2.1266298591751553E-2</v>
      </c>
      <c r="Z247" t="str">
        <f t="shared" si="176"/>
        <v>0,999984792424147+0,0182364736770317i</v>
      </c>
      <c r="AA247" s="4">
        <f t="shared" si="188"/>
        <v>1.0001510656154586</v>
      </c>
      <c r="AB247" s="4">
        <f t="shared" si="189"/>
        <v>1.8234729696468832E-2</v>
      </c>
      <c r="AC247" s="48" t="str">
        <f t="shared" si="190"/>
        <v>-0,0388007811914914-1,15850037250766i</v>
      </c>
      <c r="AD247" s="20">
        <f t="shared" si="191"/>
        <v>1.2827924394084944</v>
      </c>
      <c r="AE247" s="44">
        <f t="shared" si="192"/>
        <v>-91.918247389628519</v>
      </c>
      <c r="AF247" t="str">
        <f t="shared" si="177"/>
        <v>-20791,6666666667</v>
      </c>
      <c r="AG247" t="str">
        <f t="shared" si="193"/>
        <v>12251,2349404832i</v>
      </c>
      <c r="AH247">
        <f t="shared" si="194"/>
        <v>12251.2349404832</v>
      </c>
      <c r="AI247">
        <f t="shared" si="195"/>
        <v>1.5707963267948966</v>
      </c>
      <c r="AJ247" t="str">
        <f t="shared" si="178"/>
        <v>-1,79980292273427+14,3733816056388i</v>
      </c>
      <c r="AK247">
        <f t="shared" si="196"/>
        <v>14.485626991676909</v>
      </c>
      <c r="AL247">
        <f t="shared" si="197"/>
        <v>1.6953657442378558</v>
      </c>
      <c r="AM247" t="str">
        <f t="shared" si="179"/>
        <v>1+19,7587917120113i</v>
      </c>
      <c r="AN247">
        <f t="shared" si="198"/>
        <v>19.784080719574675</v>
      </c>
      <c r="AO247">
        <f t="shared" si="199"/>
        <v>1.5202290896511974</v>
      </c>
      <c r="AP247" t="str">
        <f t="shared" si="180"/>
        <v>1+13,8781989405794i</v>
      </c>
      <c r="AQ247">
        <f t="shared" si="200"/>
        <v>13.914180027378517</v>
      </c>
      <c r="AR247">
        <f t="shared" si="201"/>
        <v>1.4988651840986817</v>
      </c>
      <c r="AS247" s="42" t="str">
        <f t="shared" si="202"/>
        <v>-31,2718323834666+7,88740871379522i</v>
      </c>
      <c r="AT247">
        <f t="shared" si="203"/>
        <v>30.170912623179792</v>
      </c>
      <c r="AU247" s="44">
        <f t="shared" si="204"/>
        <v>165.84405796209757</v>
      </c>
      <c r="AV247" s="42" t="str">
        <f t="shared" si="181"/>
        <v>10,3509374588198+35,9223918455713i</v>
      </c>
      <c r="AW247" s="20">
        <f t="shared" si="205"/>
        <v>31.453705062588281</v>
      </c>
      <c r="AX247" s="44">
        <f t="shared" si="206"/>
        <v>73.925810572469047</v>
      </c>
    </row>
    <row r="248" spans="14:50" x14ac:dyDescent="0.3">
      <c r="N248" s="8">
        <v>30</v>
      </c>
      <c r="O248" s="35">
        <f t="shared" si="207"/>
        <v>1995.2623149688804</v>
      </c>
      <c r="P248" s="34" t="str">
        <f t="shared" si="172"/>
        <v>324,571428571429</v>
      </c>
      <c r="Q248" s="4" t="str">
        <f t="shared" si="173"/>
        <v>1+286,550922545865i</v>
      </c>
      <c r="R248" s="4">
        <f t="shared" si="182"/>
        <v>286.55266743111349</v>
      </c>
      <c r="S248" s="4">
        <f t="shared" si="183"/>
        <v>1.5673065598396165</v>
      </c>
      <c r="T248" s="4" t="str">
        <f t="shared" si="174"/>
        <v>1+0,00250732057227632i</v>
      </c>
      <c r="U248" s="4">
        <f t="shared" si="184"/>
        <v>1.0000031433232859</v>
      </c>
      <c r="V248" s="4">
        <f t="shared" si="185"/>
        <v>2.5073153180751209E-3</v>
      </c>
      <c r="W248" t="str">
        <f t="shared" si="175"/>
        <v>1-0,0217649355232319i</v>
      </c>
      <c r="X248" s="4">
        <f t="shared" si="186"/>
        <v>1.0002368281653753</v>
      </c>
      <c r="Y248" s="4">
        <f t="shared" si="187"/>
        <v>-2.1761499726313006E-2</v>
      </c>
      <c r="Z248" t="str">
        <f t="shared" si="176"/>
        <v>0,999984075713178+0,0186612557176191i</v>
      </c>
      <c r="AA248" s="4">
        <f t="shared" si="188"/>
        <v>1.000158184561271</v>
      </c>
      <c r="AB248" s="4">
        <f t="shared" si="189"/>
        <v>1.8659387024697622E-2</v>
      </c>
      <c r="AC248" s="48" t="str">
        <f t="shared" si="190"/>
        <v>-0,0389865166962817-1,13209787293197i</v>
      </c>
      <c r="AD248" s="20">
        <f t="shared" si="191"/>
        <v>1.0828268872482076</v>
      </c>
      <c r="AE248" s="44">
        <f t="shared" si="192"/>
        <v>-91.972338711353189</v>
      </c>
      <c r="AF248" t="str">
        <f t="shared" si="177"/>
        <v>-20791,6666666667</v>
      </c>
      <c r="AG248" t="str">
        <f t="shared" si="193"/>
        <v>12536,6028613816i</v>
      </c>
      <c r="AH248">
        <f t="shared" si="194"/>
        <v>12536.6028613816</v>
      </c>
      <c r="AI248">
        <f t="shared" si="195"/>
        <v>1.5707963267948966</v>
      </c>
      <c r="AJ248" t="str">
        <f t="shared" si="178"/>
        <v>-1,93175356931141+14,7081806724273i</v>
      </c>
      <c r="AK248">
        <f t="shared" si="196"/>
        <v>14.834495291222799</v>
      </c>
      <c r="AL248">
        <f t="shared" si="197"/>
        <v>1.701387572856853</v>
      </c>
      <c r="AM248" t="str">
        <f t="shared" si="179"/>
        <v>1+20,2190330948362i</v>
      </c>
      <c r="AN248">
        <f t="shared" si="198"/>
        <v>20.243747165237995</v>
      </c>
      <c r="AO248">
        <f t="shared" si="199"/>
        <v>1.521378245631859</v>
      </c>
      <c r="AP248" t="str">
        <f t="shared" si="180"/>
        <v>1+14,2014637213731i</v>
      </c>
      <c r="AQ248">
        <f t="shared" si="200"/>
        <v>14.236627825067153</v>
      </c>
      <c r="AR248">
        <f t="shared" si="201"/>
        <v>1.5004970851952919</v>
      </c>
      <c r="AS248" s="42" t="str">
        <f t="shared" si="202"/>
        <v>-31,2165554883538+7,98115654822604i</v>
      </c>
      <c r="AT248">
        <f t="shared" si="203"/>
        <v>30.162693937301949</v>
      </c>
      <c r="AU248" s="44">
        <f t="shared" si="204"/>
        <v>165.65837543039061</v>
      </c>
      <c r="AV248" s="42" t="str">
        <f t="shared" si="181"/>
        <v>10,2524751135309+35,0290385756051i</v>
      </c>
      <c r="AW248" s="20">
        <f t="shared" si="205"/>
        <v>31.245520824550155</v>
      </c>
      <c r="AX248" s="44">
        <f t="shared" si="206"/>
        <v>73.686036719037375</v>
      </c>
    </row>
    <row r="249" spans="14:50" x14ac:dyDescent="0.3">
      <c r="N249" s="8">
        <v>31</v>
      </c>
      <c r="O249" s="35">
        <f t="shared" si="207"/>
        <v>2041.7379446695318</v>
      </c>
      <c r="P249" s="34" t="str">
        <f t="shared" si="172"/>
        <v>324,571428571429</v>
      </c>
      <c r="Q249" s="4" t="str">
        <f t="shared" si="173"/>
        <v>1+293,225550972768i</v>
      </c>
      <c r="R249" s="4">
        <f t="shared" si="182"/>
        <v>293.22725613981282</v>
      </c>
      <c r="S249" s="4">
        <f t="shared" si="183"/>
        <v>1.5673859960106449</v>
      </c>
      <c r="T249" s="4" t="str">
        <f t="shared" si="174"/>
        <v>1+0,00256572357101172i</v>
      </c>
      <c r="U249" s="4">
        <f t="shared" si="184"/>
        <v>1.0000032914633046</v>
      </c>
      <c r="V249" s="4">
        <f t="shared" si="185"/>
        <v>2.5657179410347023E-3</v>
      </c>
      <c r="W249" t="str">
        <f t="shared" si="175"/>
        <v>1-0,0222719059983656i</v>
      </c>
      <c r="X249" s="4">
        <f t="shared" si="186"/>
        <v>1.0002479881493389</v>
      </c>
      <c r="Y249" s="4">
        <f t="shared" si="187"/>
        <v>-2.226822452493283E-2</v>
      </c>
      <c r="Z249" t="str">
        <f t="shared" si="176"/>
        <v>0,999983325224661+0,0190959322029987i</v>
      </c>
      <c r="AA249" s="4">
        <f t="shared" si="188"/>
        <v>1.0001656389589035</v>
      </c>
      <c r="AB249" s="4">
        <f t="shared" si="189"/>
        <v>1.90939298803195E-2</v>
      </c>
      <c r="AC249" s="48" t="str">
        <f t="shared" si="190"/>
        <v>-0,0391638399643199-1,10629556905528i</v>
      </c>
      <c r="AD249" s="20">
        <f t="shared" si="191"/>
        <v>0.88286272772844154</v>
      </c>
      <c r="AE249" s="44">
        <f t="shared" si="192"/>
        <v>-92.02747450886595</v>
      </c>
      <c r="AF249" t="str">
        <f t="shared" si="177"/>
        <v>-20791,6666666667</v>
      </c>
      <c r="AG249" t="str">
        <f t="shared" si="193"/>
        <v>12828,6178550586i</v>
      </c>
      <c r="AH249">
        <f t="shared" si="194"/>
        <v>12828.617855058599</v>
      </c>
      <c r="AI249">
        <f t="shared" si="195"/>
        <v>1.5707963267948966</v>
      </c>
      <c r="AJ249" t="str">
        <f t="shared" si="178"/>
        <v>-2,06992285827608+15,0507782112941i</v>
      </c>
      <c r="AK249">
        <f t="shared" si="196"/>
        <v>15.192448960084711</v>
      </c>
      <c r="AL249">
        <f t="shared" si="197"/>
        <v>1.7074682367875569</v>
      </c>
      <c r="AM249" t="str">
        <f t="shared" si="179"/>
        <v>1+20,6899948766385i</v>
      </c>
      <c r="AN249">
        <f t="shared" si="198"/>
        <v>20.714147049669396</v>
      </c>
      <c r="AO249">
        <f t="shared" si="199"/>
        <v>1.5225013698643581</v>
      </c>
      <c r="AP249" t="str">
        <f t="shared" si="180"/>
        <v>1+14,5322583062104i</v>
      </c>
      <c r="AQ249">
        <f t="shared" si="200"/>
        <v>14.566623887449733</v>
      </c>
      <c r="AR249">
        <f t="shared" si="201"/>
        <v>1.5020922021711431</v>
      </c>
      <c r="AS249" s="42" t="str">
        <f t="shared" si="202"/>
        <v>-31,158886309232+8,07812654621874i</v>
      </c>
      <c r="AT249">
        <f t="shared" si="203"/>
        <v>30.154152227284477</v>
      </c>
      <c r="AU249" s="44">
        <f t="shared" si="204"/>
        <v>165.46572279946079</v>
      </c>
      <c r="AV249" s="42" t="str">
        <f t="shared" si="181"/>
        <v>10,1570972412308+34,1545674053329i</v>
      </c>
      <c r="AW249" s="20">
        <f t="shared" si="205"/>
        <v>31.037014955012904</v>
      </c>
      <c r="AX249" s="44">
        <f t="shared" si="206"/>
        <v>73.438248290594856</v>
      </c>
    </row>
    <row r="250" spans="14:50" x14ac:dyDescent="0.3">
      <c r="N250" s="8">
        <v>32</v>
      </c>
      <c r="O250" s="35">
        <f t="shared" si="207"/>
        <v>2089.2961308540398</v>
      </c>
      <c r="P250" s="34" t="str">
        <f t="shared" si="172"/>
        <v>324,571428571429</v>
      </c>
      <c r="Q250" s="4" t="str">
        <f t="shared" si="173"/>
        <v>1+300,055651468098i</v>
      </c>
      <c r="R250" s="4">
        <f t="shared" si="182"/>
        <v>300.05731782102015</v>
      </c>
      <c r="S250" s="4">
        <f t="shared" si="183"/>
        <v>1.567463624035252</v>
      </c>
      <c r="T250" s="4" t="str">
        <f t="shared" si="174"/>
        <v>1+0,00262548695034586i</v>
      </c>
      <c r="U250" s="4">
        <f t="shared" si="184"/>
        <v>1.0000034465849237</v>
      </c>
      <c r="V250" s="4">
        <f t="shared" si="185"/>
        <v>2.6254809177179207E-3</v>
      </c>
      <c r="W250" t="str">
        <f t="shared" si="175"/>
        <v>1-0,0227906853328634i</v>
      </c>
      <c r="X250" s="4">
        <f t="shared" si="186"/>
        <v>1.0002596739536898</v>
      </c>
      <c r="Y250" s="4">
        <f t="shared" si="187"/>
        <v>-2.2786740618316224E-2</v>
      </c>
      <c r="Z250" t="str">
        <f t="shared" si="176"/>
        <v>0,99998253936671+0,019540733604397i</v>
      </c>
      <c r="AA250" s="4">
        <f t="shared" si="188"/>
        <v>1.000173444612529</v>
      </c>
      <c r="AB250" s="4">
        <f t="shared" si="189"/>
        <v>1.9538588097031667E-2</v>
      </c>
      <c r="AC250" s="48" t="str">
        <f t="shared" si="190"/>
        <v>-0,0393331270975315-1,08107978413061i</v>
      </c>
      <c r="AD250" s="20">
        <f t="shared" si="191"/>
        <v>0.68290003670521626</v>
      </c>
      <c r="AE250" s="44">
        <f t="shared" si="192"/>
        <v>-92.083683923616704</v>
      </c>
      <c r="AF250" t="str">
        <f t="shared" si="177"/>
        <v>-20791,6666666667</v>
      </c>
      <c r="AG250" t="str">
        <f t="shared" si="193"/>
        <v>13127,4347517293i</v>
      </c>
      <c r="AH250">
        <f t="shared" si="194"/>
        <v>13127.434751729301</v>
      </c>
      <c r="AI250">
        <f t="shared" si="195"/>
        <v>1.5707963267948966</v>
      </c>
      <c r="AJ250" t="str">
        <f t="shared" si="178"/>
        <v>-2,21460386521494+15,4013558719891i</v>
      </c>
      <c r="AK250">
        <f t="shared" si="196"/>
        <v>15.55976326861942</v>
      </c>
      <c r="AL250">
        <f t="shared" si="197"/>
        <v>1.7136101910877171</v>
      </c>
      <c r="AM250" t="str">
        <f t="shared" si="179"/>
        <v>1+21,171926767589i</v>
      </c>
      <c r="AN250">
        <f t="shared" si="198"/>
        <v>21.1955297893719</v>
      </c>
      <c r="AO250">
        <f t="shared" si="199"/>
        <v>1.5235990465038465</v>
      </c>
      <c r="AP250" t="str">
        <f t="shared" si="180"/>
        <v>1+14,870758086759i</v>
      </c>
      <c r="AQ250">
        <f t="shared" si="200"/>
        <v>14.904343195018967</v>
      </c>
      <c r="AR250">
        <f t="shared" si="201"/>
        <v>1.5036513482912295</v>
      </c>
      <c r="AS250" s="42" t="str">
        <f t="shared" si="202"/>
        <v>-31,0987307910001+8,17830394024654i</v>
      </c>
      <c r="AT250">
        <f t="shared" si="203"/>
        <v>30.145271380309069</v>
      </c>
      <c r="AU250" s="44">
        <f t="shared" si="204"/>
        <v>165.26603947113739</v>
      </c>
      <c r="AV250" s="42" t="str">
        <f t="shared" si="181"/>
        <v>10,0646093890506+33,2985309019464i</v>
      </c>
      <c r="AW250" s="20">
        <f t="shared" si="205"/>
        <v>30.828171417014293</v>
      </c>
      <c r="AX250" s="44">
        <f t="shared" si="206"/>
        <v>73.182355547520658</v>
      </c>
    </row>
    <row r="251" spans="14:50" x14ac:dyDescent="0.3">
      <c r="N251" s="8">
        <v>33</v>
      </c>
      <c r="O251" s="35">
        <f t="shared" si="207"/>
        <v>2137.9620895022344</v>
      </c>
      <c r="P251" s="34" t="str">
        <f t="shared" si="172"/>
        <v>324,571428571429</v>
      </c>
      <c r="Q251" s="4" t="str">
        <f t="shared" si="173"/>
        <v>1+307,044845441541i</v>
      </c>
      <c r="R251" s="4">
        <f t="shared" si="182"/>
        <v>307.04647386384329</v>
      </c>
      <c r="S251" s="4">
        <f t="shared" si="183"/>
        <v>1.5675394850690998</v>
      </c>
      <c r="T251" s="4" t="str">
        <f t="shared" si="174"/>
        <v>1+0,00268664239761348i</v>
      </c>
      <c r="U251" s="4">
        <f t="shared" si="184"/>
        <v>1.0000036090171738</v>
      </c>
      <c r="V251" s="4">
        <f t="shared" si="185"/>
        <v>2.6866359335374415E-3</v>
      </c>
      <c r="W251" t="str">
        <f t="shared" si="175"/>
        <v>1-0,0233215485903948i</v>
      </c>
      <c r="X251" s="4">
        <f t="shared" si="186"/>
        <v>1.0002719103467088</v>
      </c>
      <c r="Y251" s="4">
        <f t="shared" si="187"/>
        <v>-2.3317321814658051E-2</v>
      </c>
      <c r="Z251" t="str">
        <f t="shared" si="176"/>
        <v>0,999981716472415+0,0199958957614045i</v>
      </c>
      <c r="AA251" s="4">
        <f t="shared" si="188"/>
        <v>1.0001816180706473</v>
      </c>
      <c r="AB251" s="4">
        <f t="shared" si="189"/>
        <v>1.9993596831328585E-2</v>
      </c>
      <c r="AC251" s="48" t="str">
        <f t="shared" si="190"/>
        <v>-0,0394947371547346-1,05643715213523i</v>
      </c>
      <c r="AD251" s="20">
        <f t="shared" si="191"/>
        <v>0.48293889313347832</v>
      </c>
      <c r="AE251" s="44">
        <f t="shared" si="192"/>
        <v>-92.140996659739358</v>
      </c>
      <c r="AF251" t="str">
        <f t="shared" si="177"/>
        <v>-20791,6666666667</v>
      </c>
      <c r="AG251" t="str">
        <f t="shared" si="193"/>
        <v>13433,2119880674i</v>
      </c>
      <c r="AH251">
        <f t="shared" si="194"/>
        <v>13433.2119880674</v>
      </c>
      <c r="AI251">
        <f t="shared" si="195"/>
        <v>1.5707963267948966</v>
      </c>
      <c r="AJ251" t="str">
        <f t="shared" si="178"/>
        <v>-2,36610347794132+15,7600995354285i</v>
      </c>
      <c r="AK251">
        <f t="shared" si="196"/>
        <v>15.936724350848881</v>
      </c>
      <c r="AL251">
        <f t="shared" si="197"/>
        <v>1.7198158769898055</v>
      </c>
      <c r="AM251" t="str">
        <f t="shared" si="179"/>
        <v>1+21,6650842943551i</v>
      </c>
      <c r="AN251">
        <f t="shared" si="198"/>
        <v>21.688150623820192</v>
      </c>
      <c r="AO251">
        <f t="shared" si="199"/>
        <v>1.5246718469663203</v>
      </c>
      <c r="AP251" t="str">
        <f t="shared" si="180"/>
        <v>1+15,2171425400827i</v>
      </c>
      <c r="AQ251">
        <f t="shared" si="200"/>
        <v>15.249964822424822</v>
      </c>
      <c r="AR251">
        <f t="shared" si="201"/>
        <v>1.5051753198969253</v>
      </c>
      <c r="AS251" s="42" t="str">
        <f t="shared" si="202"/>
        <v>-31,0359920979922+8,28167160689634i</v>
      </c>
      <c r="AT251">
        <f t="shared" si="203"/>
        <v>30.136034744928232</v>
      </c>
      <c r="AU251" s="44">
        <f t="shared" si="204"/>
        <v>165.05926393982747</v>
      </c>
      <c r="AV251" s="42" t="str">
        <f t="shared" si="181"/>
        <v>9,97482391755539+32,4604926623782i</v>
      </c>
      <c r="AW251" s="20">
        <f t="shared" si="205"/>
        <v>30.618973638061711</v>
      </c>
      <c r="AX251" s="44">
        <f t="shared" si="206"/>
        <v>72.918267280088116</v>
      </c>
    </row>
    <row r="252" spans="14:50" x14ac:dyDescent="0.3">
      <c r="N252" s="8">
        <v>34</v>
      </c>
      <c r="O252" s="35">
        <f t="shared" si="207"/>
        <v>2187.7616239495528</v>
      </c>
      <c r="P252" s="34" t="str">
        <f t="shared" si="172"/>
        <v>324,571428571429</v>
      </c>
      <c r="Q252" s="4" t="str">
        <f t="shared" si="173"/>
        <v>1+314,196838656256i</v>
      </c>
      <c r="R252" s="4">
        <f t="shared" si="182"/>
        <v>314.19843001133114</v>
      </c>
      <c r="S252" s="4">
        <f t="shared" si="183"/>
        <v>1.5676136193312182</v>
      </c>
      <c r="T252" s="4" t="str">
        <f t="shared" si="174"/>
        <v>1+0,00274922233824224i</v>
      </c>
      <c r="U252" s="4">
        <f t="shared" si="184"/>
        <v>1.0000037791045917</v>
      </c>
      <c r="V252" s="4">
        <f t="shared" si="185"/>
        <v>2.7492154118613885E-3</v>
      </c>
      <c r="W252" t="str">
        <f t="shared" si="175"/>
        <v>1-0,0238647772416861i</v>
      </c>
      <c r="X252" s="4">
        <f t="shared" si="186"/>
        <v>1.0002847232627294</v>
      </c>
      <c r="Y252" s="4">
        <f t="shared" si="187"/>
        <v>-2.3860248239508733E-2</v>
      </c>
      <c r="Z252" t="str">
        <f t="shared" si="176"/>
        <v>0,999980854796307+0,0204616600070217i</v>
      </c>
      <c r="AA252" s="4">
        <f t="shared" si="188"/>
        <v>1.0001901766611168</v>
      </c>
      <c r="AB252" s="4">
        <f t="shared" si="189"/>
        <v>2.0459196684292573E-2</v>
      </c>
      <c r="AC252" s="48" t="str">
        <f t="shared" si="190"/>
        <v>-0,0396490129130663-1,03235461070156i</v>
      </c>
      <c r="AD252" s="20">
        <f t="shared" si="191"/>
        <v>0.28297937923290506</v>
      </c>
      <c r="AE252" s="44">
        <f t="shared" si="192"/>
        <v>-92.19944299933077</v>
      </c>
      <c r="AF252" t="str">
        <f t="shared" si="177"/>
        <v>-20791,6666666667</v>
      </c>
      <c r="AG252" t="str">
        <f t="shared" si="193"/>
        <v>13746,1116912112i</v>
      </c>
      <c r="AH252">
        <f t="shared" si="194"/>
        <v>13746.111691211199</v>
      </c>
      <c r="AI252">
        <f t="shared" si="195"/>
        <v>1.5707963267948966</v>
      </c>
      <c r="AJ252" t="str">
        <f t="shared" si="178"/>
        <v>-2,52474304744578+16,1271994122511i</v>
      </c>
      <c r="AK252">
        <f t="shared" si="196"/>
        <v>16.323629753769168</v>
      </c>
      <c r="AL252">
        <f t="shared" si="197"/>
        <v>1.7260877201128162</v>
      </c>
      <c r="AM252" t="str">
        <f t="shared" si="179"/>
        <v>1+22,1697289355854i</v>
      </c>
      <c r="AN252">
        <f t="shared" si="198"/>
        <v>22.192270750811705</v>
      </c>
      <c r="AO252">
        <f t="shared" si="199"/>
        <v>1.5257203301816722</v>
      </c>
      <c r="AP252" t="str">
        <f t="shared" si="180"/>
        <v>1+15,571595323804i</v>
      </c>
      <c r="AQ252">
        <f t="shared" si="200"/>
        <v>15.603672033477075</v>
      </c>
      <c r="AR252">
        <f t="shared" si="201"/>
        <v>1.5066648966869483</v>
      </c>
      <c r="AS252" s="42" t="str">
        <f t="shared" si="202"/>
        <v>-30,9705706171434+8,3882098424539i</v>
      </c>
      <c r="AT252">
        <f t="shared" si="203"/>
        <v>30.126425111802895</v>
      </c>
      <c r="AU252" s="44">
        <f t="shared" si="204"/>
        <v>164.84533392556972</v>
      </c>
      <c r="AV252" s="42" t="str">
        <f t="shared" si="181"/>
        <v>9,88755966071364+31,6400271323053i</v>
      </c>
      <c r="AW252" s="20">
        <f t="shared" si="205"/>
        <v>30.409404491035804</v>
      </c>
      <c r="AX252" s="44">
        <f t="shared" si="206"/>
        <v>72.645890926238948</v>
      </c>
    </row>
    <row r="253" spans="14:50" x14ac:dyDescent="0.3">
      <c r="N253" s="8">
        <v>35</v>
      </c>
      <c r="O253" s="35">
        <f t="shared" si="207"/>
        <v>2238.7211385683418</v>
      </c>
      <c r="P253" s="34" t="str">
        <f t="shared" si="172"/>
        <v>324,571428571429</v>
      </c>
      <c r="Q253" s="4" t="str">
        <f t="shared" si="173"/>
        <v>1+321,515423193714i</v>
      </c>
      <c r="R253" s="4">
        <f t="shared" si="182"/>
        <v>321.51697832530249</v>
      </c>
      <c r="S253" s="4">
        <f t="shared" si="183"/>
        <v>1.5676860661253125</v>
      </c>
      <c r="T253" s="4" t="str">
        <f t="shared" si="174"/>
        <v>1+0,002813259952945i</v>
      </c>
      <c r="U253" s="4">
        <f t="shared" si="184"/>
        <v>1.0000039572079515</v>
      </c>
      <c r="V253" s="4">
        <f t="shared" si="185"/>
        <v>2.8132525311957879E-3</v>
      </c>
      <c r="W253" t="str">
        <f t="shared" si="175"/>
        <v>1-0,0244206593137587i</v>
      </c>
      <c r="X253" s="4">
        <f t="shared" si="186"/>
        <v>1.0002981398569721</v>
      </c>
      <c r="Y253" s="4">
        <f t="shared" si="187"/>
        <v>-2.4415806478608085E-2</v>
      </c>
      <c r="Z253" t="str">
        <f t="shared" si="176"/>
        <v>0,999979952510655+0,0209382732956167i</v>
      </c>
      <c r="AA253" s="4">
        <f t="shared" si="188"/>
        <v>1.0001991385278302</v>
      </c>
      <c r="AB253" s="4">
        <f t="shared" si="189"/>
        <v>2.0935633826063681E-2</v>
      </c>
      <c r="AC253" s="48" t="str">
        <f t="shared" si="190"/>
        <v>-0,0397962815948931-1,00881939420794i</v>
      </c>
      <c r="AD253" s="20">
        <f t="shared" si="191"/>
        <v>8.3021580660543159E-2</v>
      </c>
      <c r="AE253" s="44">
        <f t="shared" si="192"/>
        <v>-92.259053818002471</v>
      </c>
      <c r="AF253" t="str">
        <f t="shared" si="177"/>
        <v>-20791,6666666667</v>
      </c>
      <c r="AG253" t="str">
        <f t="shared" si="193"/>
        <v>14066,299764725i</v>
      </c>
      <c r="AH253">
        <f t="shared" si="194"/>
        <v>14066.299764724999</v>
      </c>
      <c r="AI253">
        <f t="shared" si="195"/>
        <v>1.5707963267948966</v>
      </c>
      <c r="AJ253" t="str">
        <f t="shared" si="178"/>
        <v>-2,69085906952443+16,5028501436709i</v>
      </c>
      <c r="AK253">
        <f t="shared" si="196"/>
        <v>16.720789018359767</v>
      </c>
      <c r="AL253">
        <f t="shared" si="197"/>
        <v>1.7324281285190253</v>
      </c>
      <c r="AM253" t="str">
        <f t="shared" si="179"/>
        <v>1+22,6861282605485i</v>
      </c>
      <c r="AN253">
        <f t="shared" si="198"/>
        <v>22.708157464974061</v>
      </c>
      <c r="AO253">
        <f t="shared" si="199"/>
        <v>1.5267450428434106</v>
      </c>
      <c r="AP253" t="str">
        <f t="shared" si="180"/>
        <v>1+15,9343043734805i</v>
      </c>
      <c r="AQ253">
        <f t="shared" si="200"/>
        <v>15.965652378362739</v>
      </c>
      <c r="AR253">
        <f t="shared" si="201"/>
        <v>1.5081208419986831</v>
      </c>
      <c r="AS253" s="42" t="str">
        <f t="shared" si="202"/>
        <v>-30,9023639711173+8,49789612948828i</v>
      </c>
      <c r="AT253">
        <f t="shared" si="203"/>
        <v>30.116424694580452</v>
      </c>
      <c r="AU253" s="44">
        <f t="shared" si="204"/>
        <v>164.62418651580018</v>
      </c>
      <c r="AV253" s="42" t="str">
        <f t="shared" si="181"/>
        <v>9,80264160393483+30,8367194336026i</v>
      </c>
      <c r="AW253" s="20">
        <f t="shared" si="205"/>
        <v>30.199446275241005</v>
      </c>
      <c r="AX253" s="44">
        <f t="shared" si="206"/>
        <v>72.365132697797719</v>
      </c>
    </row>
    <row r="254" spans="14:50" x14ac:dyDescent="0.3">
      <c r="N254" s="8">
        <v>36</v>
      </c>
      <c r="O254" s="35">
        <f t="shared" si="207"/>
        <v>2290.8676527677749</v>
      </c>
      <c r="P254" s="34" t="str">
        <f t="shared" si="172"/>
        <v>324,571428571429</v>
      </c>
      <c r="Q254" s="4" t="str">
        <f t="shared" si="173"/>
        <v>1+329,004479464309i</v>
      </c>
      <c r="R254" s="4">
        <f t="shared" si="182"/>
        <v>329.00599919694611</v>
      </c>
      <c r="S254" s="4">
        <f t="shared" si="183"/>
        <v>1.5677568638605883</v>
      </c>
      <c r="T254" s="4" t="str">
        <f t="shared" si="174"/>
        <v>1+0,0028787891953127i</v>
      </c>
      <c r="U254" s="4">
        <f t="shared" si="184"/>
        <v>1.0000041437050304</v>
      </c>
      <c r="V254" s="4">
        <f t="shared" si="185"/>
        <v>2.8787812427669207E-3</v>
      </c>
      <c r="W254" t="str">
        <f t="shared" si="175"/>
        <v>1-0,024989489542645i</v>
      </c>
      <c r="X254" s="4">
        <f t="shared" si="186"/>
        <v>1.0003121885629516</v>
      </c>
      <c r="Y254" s="4">
        <f t="shared" si="187"/>
        <v>-2.4984289723740012E-2</v>
      </c>
      <c r="Z254" t="str">
        <f t="shared" si="176"/>
        <v>0,99997900770159+0,0214259883338638i</v>
      </c>
      <c r="AA254" s="4">
        <f t="shared" si="188"/>
        <v>1.0002085226691177</v>
      </c>
      <c r="AB254" s="4">
        <f t="shared" si="189"/>
        <v>2.1423160123041483E-2</v>
      </c>
      <c r="AC254" s="48" t="str">
        <f t="shared" si="190"/>
        <v>-0,0399368555617479-0,985819027025731i</v>
      </c>
      <c r="AD254" s="20">
        <f t="shared" si="191"/>
        <v>-0.11693441330902851</v>
      </c>
      <c r="AE254" s="44">
        <f t="shared" si="192"/>
        <v>-92.319860600711337</v>
      </c>
      <c r="AF254" t="str">
        <f t="shared" si="177"/>
        <v>-20791,6666666667</v>
      </c>
      <c r="AG254" t="str">
        <f t="shared" si="193"/>
        <v>14393,9459765635i</v>
      </c>
      <c r="AH254">
        <f t="shared" si="194"/>
        <v>14393.9459765635</v>
      </c>
      <c r="AI254">
        <f t="shared" si="195"/>
        <v>1.5707963267948966</v>
      </c>
      <c r="AJ254" t="str">
        <f t="shared" si="178"/>
        <v>-2,8648038985316+16,8872509046778i</v>
      </c>
      <c r="AK254">
        <f t="shared" si="196"/>
        <v>17.128524294129456</v>
      </c>
      <c r="AL254">
        <f t="shared" si="197"/>
        <v>1.7388394906088505</v>
      </c>
      <c r="AM254" t="str">
        <f t="shared" si="179"/>
        <v>1+23,2145560710016i</v>
      </c>
      <c r="AN254">
        <f t="shared" si="198"/>
        <v>23.236084299504451</v>
      </c>
      <c r="AO254">
        <f t="shared" si="199"/>
        <v>1.5277465196549702</v>
      </c>
      <c r="AP254" t="str">
        <f t="shared" si="180"/>
        <v>1+16,3054620022511i</v>
      </c>
      <c r="AQ254">
        <f t="shared" si="200"/>
        <v>16.336097793134517</v>
      </c>
      <c r="AR254">
        <f t="shared" si="201"/>
        <v>1.5095439030894502</v>
      </c>
      <c r="AS254" s="42" t="str">
        <f t="shared" si="202"/>
        <v>-30,8312670424248+8,61070489451474i</v>
      </c>
      <c r="AT254">
        <f t="shared" si="203"/>
        <v>30.106015110977435</v>
      </c>
      <c r="AU254" s="44">
        <f t="shared" si="204"/>
        <v>164.39575831619581</v>
      </c>
      <c r="AV254" s="42" t="str">
        <f t="shared" si="181"/>
        <v>9,71990057977522+30,0501652000766i</v>
      </c>
      <c r="AW254" s="20">
        <f t="shared" si="205"/>
        <v>29.989080697668399</v>
      </c>
      <c r="AX254" s="44">
        <f t="shared" si="206"/>
        <v>72.075897715484459</v>
      </c>
    </row>
    <row r="255" spans="14:50" x14ac:dyDescent="0.3">
      <c r="N255" s="8">
        <v>37</v>
      </c>
      <c r="O255" s="35">
        <f t="shared" si="207"/>
        <v>2344.2288153199238</v>
      </c>
      <c r="P255" s="34" t="str">
        <f t="shared" si="172"/>
        <v>324,571428571429</v>
      </c>
      <c r="Q255" s="4" t="str">
        <f t="shared" si="173"/>
        <v>1+336,667978264805i</v>
      </c>
      <c r="R255" s="4">
        <f t="shared" si="182"/>
        <v>336.66946340425835</v>
      </c>
      <c r="S255" s="4">
        <f t="shared" si="183"/>
        <v>1.5678260500721017</v>
      </c>
      <c r="T255" s="4" t="str">
        <f t="shared" si="174"/>
        <v>1+0,00294584480981704i</v>
      </c>
      <c r="U255" s="4">
        <f t="shared" si="184"/>
        <v>1.0000043389914084</v>
      </c>
      <c r="V255" s="4">
        <f t="shared" si="185"/>
        <v>2.9458362885127079E-3</v>
      </c>
      <c r="W255" t="str">
        <f t="shared" si="175"/>
        <v>1-0,0255715695296618i</v>
      </c>
      <c r="X255" s="4">
        <f t="shared" si="186"/>
        <v>1.0003268991525773</v>
      </c>
      <c r="Y255" s="4">
        <f t="shared" si="187"/>
        <v>-2.5565997921655554E-2</v>
      </c>
      <c r="Z255" t="str">
        <f t="shared" si="176"/>
        <v>0,999978018365046+0,021925063714732i</v>
      </c>
      <c r="AA255" s="4">
        <f t="shared" si="188"/>
        <v>1.0002183489779517</v>
      </c>
      <c r="AB255" s="4">
        <f t="shared" si="189"/>
        <v>2.1922033267870174E-2</v>
      </c>
      <c r="AC255" s="48" t="str">
        <f t="shared" si="190"/>
        <v>-0,0400710329767626-0,963341316919116i</v>
      </c>
      <c r="AD255" s="20">
        <f t="shared" si="191"/>
        <v>-0.31688850959666537</v>
      </c>
      <c r="AE255" s="44">
        <f t="shared" si="192"/>
        <v>-92.381895457875089</v>
      </c>
      <c r="AF255" t="str">
        <f t="shared" si="177"/>
        <v>-20791,6666666667</v>
      </c>
      <c r="AG255" t="str">
        <f t="shared" si="193"/>
        <v>14729,2240490852i</v>
      </c>
      <c r="AH255">
        <f t="shared" si="194"/>
        <v>14729.2240490852</v>
      </c>
      <c r="AI255">
        <f t="shared" si="195"/>
        <v>1.5707963267948966</v>
      </c>
      <c r="AJ255" t="str">
        <f t="shared" si="178"/>
        <v>-3,04694649477086+17,2806055096436i</v>
      </c>
      <c r="AK255">
        <f t="shared" si="196"/>
        <v>17.547170989134436</v>
      </c>
      <c r="AL255">
        <f t="shared" si="197"/>
        <v>1.7453241728469804</v>
      </c>
      <c r="AM255" t="str">
        <f t="shared" si="179"/>
        <v>1+23,7552925463646i</v>
      </c>
      <c r="AN255">
        <f t="shared" si="198"/>
        <v>23.776331171216587</v>
      </c>
      <c r="AO255">
        <f t="shared" si="199"/>
        <v>1.5287252835725411</v>
      </c>
      <c r="AP255" t="str">
        <f t="shared" si="180"/>
        <v>1+16,6852650028037i</v>
      </c>
      <c r="AQ255">
        <f t="shared" si="200"/>
        <v>16.715204701522083</v>
      </c>
      <c r="AR255">
        <f t="shared" si="201"/>
        <v>1.5109348114173049</v>
      </c>
      <c r="AS255" s="42" t="str">
        <f t="shared" si="202"/>
        <v>-30,7571720095958+8,72660725687802i</v>
      </c>
      <c r="AT255">
        <f t="shared" si="203"/>
        <v>30.095177364131555</v>
      </c>
      <c r="AU255" s="44">
        <f t="shared" si="204"/>
        <v>164.15998561095972</v>
      </c>
      <c r="AV255" s="42" t="str">
        <f t="shared" si="181"/>
        <v>9,63917298094526+29,2799704212662i</v>
      </c>
      <c r="AW255" s="20">
        <f t="shared" si="205"/>
        <v>29.778288854534903</v>
      </c>
      <c r="AX255" s="44">
        <f t="shared" si="206"/>
        <v>71.778090153084662</v>
      </c>
    </row>
    <row r="256" spans="14:50" x14ac:dyDescent="0.3">
      <c r="N256" s="8">
        <v>38</v>
      </c>
      <c r="O256" s="35">
        <f t="shared" si="207"/>
        <v>2398.8329190194918</v>
      </c>
      <c r="P256" s="34" t="str">
        <f t="shared" si="172"/>
        <v>324,571428571429</v>
      </c>
      <c r="Q256" s="4" t="str">
        <f t="shared" si="173"/>
        <v>1+344,509982883703i</v>
      </c>
      <c r="R256" s="4">
        <f t="shared" si="182"/>
        <v>344.51143421739914</v>
      </c>
      <c r="S256" s="4">
        <f t="shared" si="183"/>
        <v>1.5678936614406469</v>
      </c>
      <c r="T256" s="4" t="str">
        <f t="shared" si="174"/>
        <v>1+0,0030144623502324i</v>
      </c>
      <c r="U256" s="4">
        <f t="shared" si="184"/>
        <v>1.000004543481309</v>
      </c>
      <c r="V256" s="4">
        <f t="shared" si="185"/>
        <v>3.0144532194925433E-3</v>
      </c>
      <c r="W256" t="str">
        <f t="shared" si="175"/>
        <v>1-0,0261672079013229i</v>
      </c>
      <c r="X256" s="4">
        <f t="shared" si="186"/>
        <v>1.0003423027990725</v>
      </c>
      <c r="Y256" s="4">
        <f t="shared" si="187"/>
        <v>-2.6161237926111018E-2</v>
      </c>
      <c r="Z256" t="str">
        <f t="shared" si="176"/>
        <v>0,999976982402507+0,0224357640545942i</v>
      </c>
      <c r="AA256" s="4">
        <f t="shared" si="188"/>
        <v>1.0002286382840362</v>
      </c>
      <c r="AB256" s="4">
        <f t="shared" si="189"/>
        <v>2.243251691225864E-2</v>
      </c>
      <c r="AC256" s="48" t="str">
        <f t="shared" si="190"/>
        <v>-0,0401990984370004-0,941374348594291i</v>
      </c>
      <c r="AD256" s="20">
        <f t="shared" si="191"/>
        <v>-0.51684061112334734</v>
      </c>
      <c r="AE256" s="44">
        <f t="shared" si="192"/>
        <v>-92.445191141778096</v>
      </c>
      <c r="AF256" t="str">
        <f t="shared" si="177"/>
        <v>-20791,6666666667</v>
      </c>
      <c r="AG256" t="str">
        <f t="shared" si="193"/>
        <v>15072,311751162i</v>
      </c>
      <c r="AH256">
        <f t="shared" si="194"/>
        <v>15072.311751162</v>
      </c>
      <c r="AI256">
        <f t="shared" si="195"/>
        <v>1.5707963267948966</v>
      </c>
      <c r="AJ256" t="str">
        <f t="shared" si="178"/>
        <v>-3,23767320710906+17,6831225203865i</v>
      </c>
      <c r="AK256">
        <f t="shared" si="196"/>
        <v>17.977078457497818</v>
      </c>
      <c r="AL256">
        <f t="shared" si="197"/>
        <v>1.7518845173131199</v>
      </c>
      <c r="AM256" t="str">
        <f t="shared" si="179"/>
        <v>1+24,3086243922741i</v>
      </c>
      <c r="AN256">
        <f t="shared" si="198"/>
        <v>24.329184528969801</v>
      </c>
      <c r="AO256">
        <f t="shared" si="199"/>
        <v>1.5296818460443535</v>
      </c>
      <c r="AP256" t="str">
        <f t="shared" si="180"/>
        <v>1+17,0739147517163i</v>
      </c>
      <c r="AQ256">
        <f t="shared" si="200"/>
        <v>17.103174119118226</v>
      </c>
      <c r="AR256">
        <f t="shared" si="201"/>
        <v>1.5122942829209949</v>
      </c>
      <c r="AS256" s="42" t="str">
        <f t="shared" si="202"/>
        <v>-30,679968396531+8,84557076908058i</v>
      </c>
      <c r="AT256">
        <f t="shared" si="203"/>
        <v>30.08389182429795</v>
      </c>
      <c r="AU256" s="44">
        <f t="shared" si="204"/>
        <v>163.91680453290309</v>
      </c>
      <c r="AV256" s="42" t="str">
        <f t="shared" si="181"/>
        <v>9,56030049030414+28,5257512941001i</v>
      </c>
      <c r="AW256" s="20">
        <f t="shared" si="205"/>
        <v>29.567051213174615</v>
      </c>
      <c r="AX256" s="44">
        <f t="shared" si="206"/>
        <v>71.47161339112499</v>
      </c>
    </row>
    <row r="257" spans="14:50" x14ac:dyDescent="0.3">
      <c r="N257" s="8">
        <v>39</v>
      </c>
      <c r="O257" s="35">
        <f t="shared" si="207"/>
        <v>2454.7089156850338</v>
      </c>
      <c r="P257" s="34" t="str">
        <f t="shared" si="172"/>
        <v>324,571428571429</v>
      </c>
      <c r="Q257" s="4" t="str">
        <f t="shared" si="173"/>
        <v>1+352,534651255655i</v>
      </c>
      <c r="R257" s="4">
        <f t="shared" si="182"/>
        <v>352.53606955309738</v>
      </c>
      <c r="S257" s="4">
        <f t="shared" si="183"/>
        <v>1.567959733812192</v>
      </c>
      <c r="T257" s="4" t="str">
        <f t="shared" si="174"/>
        <v>1+0,00308467819848698i</v>
      </c>
      <c r="U257" s="4">
        <f t="shared" si="184"/>
        <v>1.0000047576084767</v>
      </c>
      <c r="V257" s="4">
        <f t="shared" si="185"/>
        <v>3.0846684147254663E-3</v>
      </c>
      <c r="W257" t="str">
        <f t="shared" si="175"/>
        <v>1-0,0267767204729773i</v>
      </c>
      <c r="X257" s="4">
        <f t="shared" si="186"/>
        <v>1.0003584321428436</v>
      </c>
      <c r="Y257" s="4">
        <f t="shared" si="187"/>
        <v>-2.6770323653070485E-2</v>
      </c>
      <c r="Z257" t="str">
        <f t="shared" si="176"/>
        <v>0,999975897616557+0,0229583601335307i</v>
      </c>
      <c r="AA257" s="4">
        <f t="shared" si="188"/>
        <v>1.0002394123978817</v>
      </c>
      <c r="AB257" s="4">
        <f t="shared" si="189"/>
        <v>2.2954880802688687E-2</v>
      </c>
      <c r="AC257" s="48" t="str">
        <f t="shared" si="190"/>
        <v>-0,0403213235770293-0,919906477394635i</v>
      </c>
      <c r="AD257" s="20">
        <f t="shared" si="191"/>
        <v>-0.71679061660674259</v>
      </c>
      <c r="AE257" s="44">
        <f t="shared" si="192"/>
        <v>-92.509781063273635</v>
      </c>
      <c r="AF257" t="str">
        <f t="shared" si="177"/>
        <v>-20791,6666666667</v>
      </c>
      <c r="AG257" t="str">
        <f t="shared" si="193"/>
        <v>15423,3909924349i</v>
      </c>
      <c r="AH257">
        <f t="shared" si="194"/>
        <v>15423.390992434901</v>
      </c>
      <c r="AI257">
        <f t="shared" si="195"/>
        <v>1.5707963267948966</v>
      </c>
      <c r="AJ257" t="str">
        <f t="shared" si="178"/>
        <v>-3,43738859247429+18,0950153567535i</v>
      </c>
      <c r="AK257">
        <f t="shared" si="196"/>
        <v>18.418610726567231</v>
      </c>
      <c r="AL257">
        <f t="shared" si="197"/>
        <v>1.7585228390709597</v>
      </c>
      <c r="AM257" t="str">
        <f t="shared" si="179"/>
        <v>1+24,874844992599i</v>
      </c>
      <c r="AN257">
        <f t="shared" si="198"/>
        <v>24.894937505561799</v>
      </c>
      <c r="AO257">
        <f t="shared" si="199"/>
        <v>1.5306167072463737</v>
      </c>
      <c r="AP257" t="str">
        <f t="shared" si="180"/>
        <v>1+17,4716173162303i</v>
      </c>
      <c r="AQ257">
        <f t="shared" si="200"/>
        <v>17.500211759998752</v>
      </c>
      <c r="AR257">
        <f t="shared" si="201"/>
        <v>1.5136230182987482</v>
      </c>
      <c r="AS257" s="42" t="str">
        <f t="shared" si="202"/>
        <v>-30,5995431362096+8,96755914886634i</v>
      </c>
      <c r="AT257">
        <f t="shared" si="203"/>
        <v>30.072138210971456</v>
      </c>
      <c r="AU257" s="44">
        <f t="shared" si="204"/>
        <v>163.6661512436703</v>
      </c>
      <c r="AV257" s="42" t="str">
        <f t="shared" si="181"/>
        <v>9,48312982756604+27,7871340821782i</v>
      </c>
      <c r="AW257" s="20">
        <f t="shared" si="205"/>
        <v>29.355347594364719</v>
      </c>
      <c r="AX257" s="44">
        <f t="shared" si="206"/>
        <v>71.156370180396678</v>
      </c>
    </row>
    <row r="258" spans="14:50" x14ac:dyDescent="0.3">
      <c r="N258" s="8">
        <v>40</v>
      </c>
      <c r="O258" s="35">
        <f t="shared" si="207"/>
        <v>2511.8864315095811</v>
      </c>
      <c r="P258" s="34" t="str">
        <f t="shared" si="172"/>
        <v>324,571428571429</v>
      </c>
      <c r="Q258" s="4" t="str">
        <f t="shared" si="173"/>
        <v>1+360,746238166053i</v>
      </c>
      <c r="R258" s="4">
        <f t="shared" si="182"/>
        <v>360.74762417922949</v>
      </c>
      <c r="S258" s="4">
        <f t="shared" si="183"/>
        <v>1.5680243022168747</v>
      </c>
      <c r="T258" s="4" t="str">
        <f t="shared" si="174"/>
        <v>1+0,00315652958395296i</v>
      </c>
      <c r="U258" s="4">
        <f t="shared" si="184"/>
        <v>1.0000049818270977</v>
      </c>
      <c r="V258" s="4">
        <f t="shared" si="185"/>
        <v>3.1565191004664411E-3</v>
      </c>
      <c r="W258" t="str">
        <f t="shared" si="175"/>
        <v>1-0,0274004304162583i</v>
      </c>
      <c r="X258" s="4">
        <f t="shared" si="186"/>
        <v>1.0003753213604363</v>
      </c>
      <c r="Y258" s="4">
        <f t="shared" si="187"/>
        <v>-2.7393576239117971E-2</v>
      </c>
      <c r="Z258" t="str">
        <f t="shared" si="176"/>
        <v>0,999974761706221+0,0234931290388999i</v>
      </c>
      <c r="AA258" s="4">
        <f t="shared" si="188"/>
        <v>1.0002506941569458</v>
      </c>
      <c r="AB258" s="4">
        <f t="shared" si="189"/>
        <v>2.3489400919062597E-2</v>
      </c>
      <c r="AC258" s="48" t="str">
        <f t="shared" si="190"/>
        <v>-0,0404379676450149-0,898926323138584i</v>
      </c>
      <c r="AD258" s="20">
        <f t="shared" si="191"/>
        <v>-0.91673842034908826</v>
      </c>
      <c r="AE258" s="44">
        <f t="shared" si="192"/>
        <v>-92.575699308787961</v>
      </c>
      <c r="AF258" t="str">
        <f t="shared" si="177"/>
        <v>-20791,6666666667</v>
      </c>
      <c r="AG258" t="str">
        <f t="shared" si="193"/>
        <v>15782,6479197648i</v>
      </c>
      <c r="AH258">
        <f t="shared" si="194"/>
        <v>15782.6479197648</v>
      </c>
      <c r="AI258">
        <f t="shared" si="195"/>
        <v>1.5707963267948966</v>
      </c>
      <c r="AJ258" t="str">
        <f t="shared" si="178"/>
        <v>-3,64651627397526+18,5165024097785i</v>
      </c>
      <c r="AK258">
        <f t="shared" si="196"/>
        <v>18.872147265949874</v>
      </c>
      <c r="AL258">
        <f t="shared" si="197"/>
        <v>1.7652414233492031</v>
      </c>
      <c r="AM258" t="str">
        <f t="shared" si="179"/>
        <v>1+25,4542545649967i</v>
      </c>
      <c r="AN258">
        <f t="shared" si="198"/>
        <v>25.473890073164231</v>
      </c>
      <c r="AO258">
        <f t="shared" si="199"/>
        <v>1.5315303563143676</v>
      </c>
      <c r="AP258" t="str">
        <f t="shared" si="180"/>
        <v>1+17,8785835635096i</v>
      </c>
      <c r="AQ258">
        <f t="shared" si="200"/>
        <v>17.906528145829824</v>
      </c>
      <c r="AR258">
        <f t="shared" si="201"/>
        <v>1.5149217032855742</v>
      </c>
      <c r="AS258" s="42" t="str">
        <f t="shared" si="202"/>
        <v>-30,5157806499715+9,09253200346676i</v>
      </c>
      <c r="AT258">
        <f t="shared" si="203"/>
        <v>30.059895575522681</v>
      </c>
      <c r="AU258" s="44">
        <f t="shared" si="204"/>
        <v>163.40796212443826</v>
      </c>
      <c r="AV258" s="42" t="str">
        <f t="shared" si="181"/>
        <v>9,4075125124822+27,063754982415i</v>
      </c>
      <c r="AW258" s="20">
        <f t="shared" si="205"/>
        <v>29.143157155173597</v>
      </c>
      <c r="AX258" s="44">
        <f t="shared" si="206"/>
        <v>70.832262815650296</v>
      </c>
    </row>
    <row r="259" spans="14:50" x14ac:dyDescent="0.3">
      <c r="N259" s="8">
        <v>41</v>
      </c>
      <c r="O259" s="35">
        <f t="shared" si="207"/>
        <v>2570.3957827688669</v>
      </c>
      <c r="P259" s="34" t="str">
        <f t="shared" si="172"/>
        <v>324,571428571429</v>
      </c>
      <c r="Q259" s="4" t="str">
        <f t="shared" si="173"/>
        <v>1+369,149097506965i</v>
      </c>
      <c r="R259" s="4">
        <f t="shared" si="182"/>
        <v>369.15045197074699</v>
      </c>
      <c r="S259" s="4">
        <f t="shared" si="183"/>
        <v>1.5680874008875625</v>
      </c>
      <c r="T259" s="4" t="str">
        <f t="shared" si="174"/>
        <v>1+0,00323005460318594i</v>
      </c>
      <c r="U259" s="4">
        <f t="shared" si="184"/>
        <v>1.0000052166127633</v>
      </c>
      <c r="V259" s="4">
        <f t="shared" si="185"/>
        <v>3.2300433699309137E-3</v>
      </c>
      <c r="W259" t="str">
        <f t="shared" si="175"/>
        <v>1-0,0280386684304335i</v>
      </c>
      <c r="X259" s="4">
        <f t="shared" si="186"/>
        <v>1.000393006236725</v>
      </c>
      <c r="Y259" s="4">
        <f t="shared" si="187"/>
        <v>-2.8031324203126543E-2</v>
      </c>
      <c r="Z259" t="str">
        <f t="shared" si="176"/>
        <v>0,99997357226208+0,0240403543122537i</v>
      </c>
      <c r="AA259" s="4">
        <f t="shared" si="188"/>
        <v>1.0002625074739349</v>
      </c>
      <c r="AB259" s="4">
        <f t="shared" si="189"/>
        <v>2.4036359616344257E-2</v>
      </c>
      <c r="AC259" s="48" t="str">
        <f t="shared" si="190"/>
        <v>-0,0405492780525551-0,878422764097033i</v>
      </c>
      <c r="AD259" s="20">
        <f t="shared" si="191"/>
        <v>-1.1166839120156937</v>
      </c>
      <c r="AE259" s="44">
        <f t="shared" si="192"/>
        <v>-92.642980657632137</v>
      </c>
      <c r="AF259" t="str">
        <f t="shared" si="177"/>
        <v>-20791,6666666667</v>
      </c>
      <c r="AG259" t="str">
        <f t="shared" si="193"/>
        <v>16150,2730159297i</v>
      </c>
      <c r="AH259">
        <f t="shared" si="194"/>
        <v>16150.273015929701</v>
      </c>
      <c r="AI259">
        <f t="shared" si="195"/>
        <v>1.5707963267948966</v>
      </c>
      <c r="AJ259" t="str">
        <f t="shared" si="178"/>
        <v>-3,86549983946256+18,947807157476i</v>
      </c>
      <c r="AK259">
        <f t="shared" si="196"/>
        <v>19.338083800774672</v>
      </c>
      <c r="AL259">
        <f t="shared" si="197"/>
        <v>1.7720425225288809</v>
      </c>
      <c r="AM259" t="str">
        <f t="shared" si="179"/>
        <v>1+26,0471603200914i</v>
      </c>
      <c r="AN259">
        <f t="shared" si="198"/>
        <v>26.066349202382447</v>
      </c>
      <c r="AO259">
        <f t="shared" si="199"/>
        <v>1.5324232715723025</v>
      </c>
      <c r="AP259" t="str">
        <f t="shared" si="180"/>
        <v>1+18,2950292724452i</v>
      </c>
      <c r="AQ259">
        <f t="shared" si="200"/>
        <v>18.322338717522573</v>
      </c>
      <c r="AR259">
        <f t="shared" si="201"/>
        <v>1.5161910089288071</v>
      </c>
      <c r="AS259" s="42" t="str">
        <f t="shared" si="202"/>
        <v>-30,4285629436434+9,2204445465236i</v>
      </c>
      <c r="AT259">
        <f t="shared" si="203"/>
        <v>30.047142284445776</v>
      </c>
      <c r="AU259" s="44">
        <f t="shared" si="204"/>
        <v>163.14217397740467</v>
      </c>
      <c r="AV259" s="42" t="str">
        <f t="shared" si="181"/>
        <v>9,33330464430215+26,3552599987706i</v>
      </c>
      <c r="AW259" s="20">
        <f t="shared" si="205"/>
        <v>28.930458372430074</v>
      </c>
      <c r="AX259" s="44">
        <f t="shared" si="206"/>
        <v>70.499193319772473</v>
      </c>
    </row>
    <row r="260" spans="14:50" x14ac:dyDescent="0.3">
      <c r="N260" s="8">
        <v>42</v>
      </c>
      <c r="O260" s="35">
        <f t="shared" si="207"/>
        <v>2630.2679918953822</v>
      </c>
      <c r="P260" s="34" t="str">
        <f t="shared" si="172"/>
        <v>324,571428571429</v>
      </c>
      <c r="Q260" s="4" t="str">
        <f t="shared" si="173"/>
        <v>1+377,747684585641i</v>
      </c>
      <c r="R260" s="4">
        <f t="shared" si="182"/>
        <v>377.74900821817249</v>
      </c>
      <c r="S260" s="4">
        <f t="shared" si="183"/>
        <v>1.5681490632779953</v>
      </c>
      <c r="T260" s="4" t="str">
        <f t="shared" si="174"/>
        <v>1+0,00330529224012436i</v>
      </c>
      <c r="U260" s="4">
        <f t="shared" si="184"/>
        <v>1.0000054624634771</v>
      </c>
      <c r="V260" s="4">
        <f t="shared" si="185"/>
        <v>3.3052802034782896E-3</v>
      </c>
      <c r="W260" t="str">
        <f t="shared" si="175"/>
        <v>1-0,0286917729177462i</v>
      </c>
      <c r="X260" s="4">
        <f t="shared" si="186"/>
        <v>1.0004115242404814</v>
      </c>
      <c r="Y260" s="4">
        <f t="shared" si="187"/>
        <v>-2.8683903611229085E-2</v>
      </c>
      <c r="Z260" t="str">
        <f t="shared" si="176"/>
        <v>0,999972326761163+0,0246003260996756i</v>
      </c>
      <c r="AA260" s="4">
        <f t="shared" si="188"/>
        <v>1.0002748773873831</v>
      </c>
      <c r="AB260" s="4">
        <f t="shared" si="189"/>
        <v>2.4596045769246573E-2</v>
      </c>
      <c r="AC260" s="48" t="str">
        <f t="shared" si="190"/>
        <v>-0,0406554908994212-0,858384931107038i</v>
      </c>
      <c r="AD260" s="20">
        <f t="shared" si="191"/>
        <v>-1.3166269764044622</v>
      </c>
      <c r="AE260" s="44">
        <f t="shared" si="192"/>
        <v>-92.711660599627066</v>
      </c>
      <c r="AF260" t="str">
        <f t="shared" si="177"/>
        <v>-20791,6666666667</v>
      </c>
      <c r="AG260" t="str">
        <f t="shared" si="193"/>
        <v>16526,4612006218i</v>
      </c>
      <c r="AH260">
        <f t="shared" si="194"/>
        <v>16526.461200621801</v>
      </c>
      <c r="AI260">
        <f t="shared" si="195"/>
        <v>1.5707963267948966</v>
      </c>
      <c r="AJ260" t="str">
        <f t="shared" si="178"/>
        <v>-4,09480378243831+19,3891582833323i</v>
      </c>
      <c r="AK260">
        <f t="shared" si="196"/>
        <v>19.816833171644369</v>
      </c>
      <c r="AL260">
        <f t="shared" si="197"/>
        <v>1.7789283529316391</v>
      </c>
      <c r="AM260" t="str">
        <f t="shared" si="179"/>
        <v>1+26,6538766243628i</v>
      </c>
      <c r="AN260">
        <f t="shared" si="198"/>
        <v>26.672629025027767</v>
      </c>
      <c r="AO260">
        <f t="shared" si="199"/>
        <v>1.5332959207570642</v>
      </c>
      <c r="AP260" t="str">
        <f t="shared" si="180"/>
        <v>1+18,7211752480644i</v>
      </c>
      <c r="AQ260">
        <f t="shared" si="200"/>
        <v>18.747863949494068</v>
      </c>
      <c r="AR260">
        <f t="shared" si="201"/>
        <v>1.5174315918616326</v>
      </c>
      <c r="AS260" s="42" t="str">
        <f t="shared" si="202"/>
        <v>-30,3377697218077+9,35124730831996i</v>
      </c>
      <c r="AT260">
        <f t="shared" si="203"/>
        <v>30.03385600332145</v>
      </c>
      <c r="AU260" s="44">
        <f t="shared" si="204"/>
        <v>162.868724238353</v>
      </c>
      <c r="AV260" s="42" t="str">
        <f t="shared" si="181"/>
        <v>9,26036669735079+25,6613048227534i</v>
      </c>
      <c r="AW260" s="20">
        <f t="shared" si="205"/>
        <v>28.717229026916975</v>
      </c>
      <c r="AX260" s="44">
        <f t="shared" si="206"/>
        <v>70.157063638725901</v>
      </c>
    </row>
    <row r="261" spans="14:50" x14ac:dyDescent="0.3">
      <c r="N261" s="8">
        <v>43</v>
      </c>
      <c r="O261" s="35">
        <f t="shared" si="207"/>
        <v>2691.5348039269184</v>
      </c>
      <c r="P261" s="34" t="str">
        <f t="shared" si="172"/>
        <v>324,571428571429</v>
      </c>
      <c r="Q261" s="4" t="str">
        <f t="shared" si="173"/>
        <v>1+386,546558486768i</v>
      </c>
      <c r="R261" s="4">
        <f t="shared" si="182"/>
        <v>386.54785198984661</v>
      </c>
      <c r="S261" s="4">
        <f t="shared" si="183"/>
        <v>1.5682093220805118</v>
      </c>
      <c r="T261" s="4" t="str">
        <f t="shared" si="174"/>
        <v>1+0,00338228238675922i</v>
      </c>
      <c r="U261" s="4">
        <f t="shared" si="184"/>
        <v>1.0000057199007133</v>
      </c>
      <c r="V261" s="4">
        <f t="shared" si="185"/>
        <v>3.3822694892645696E-3</v>
      </c>
      <c r="W261" t="str">
        <f t="shared" si="175"/>
        <v>1-0,0293600901628404i</v>
      </c>
      <c r="X261" s="4">
        <f t="shared" si="186"/>
        <v>1.0004309146034873</v>
      </c>
      <c r="Y261" s="4">
        <f t="shared" si="187"/>
        <v>-2.9351658245134006E-2</v>
      </c>
      <c r="Z261" t="str">
        <f t="shared" si="176"/>
        <v>0,999971022561597+0,0251733413056194i</v>
      </c>
      <c r="AA261" s="4">
        <f t="shared" si="188"/>
        <v>1.0002878301146001</v>
      </c>
      <c r="AB261" s="4">
        <f t="shared" si="189"/>
        <v>2.5168754920016471E-2</v>
      </c>
      <c r="AC261" s="48" t="str">
        <f t="shared" si="190"/>
        <v>-0,0407568314743179-0,838802201818855i</v>
      </c>
      <c r="AD261" s="20">
        <f t="shared" si="191"/>
        <v>-1.5165674932049311</v>
      </c>
      <c r="AE261" s="44">
        <f t="shared" si="192"/>
        <v>-92.78177535304718</v>
      </c>
      <c r="AF261" t="str">
        <f t="shared" si="177"/>
        <v>-20791,6666666667</v>
      </c>
      <c r="AG261" t="str">
        <f t="shared" si="193"/>
        <v>16911,4119337961i</v>
      </c>
      <c r="AH261">
        <f t="shared" si="194"/>
        <v>16911.411933796098</v>
      </c>
      <c r="AI261">
        <f t="shared" si="195"/>
        <v>1.5707963267948966</v>
      </c>
      <c r="AJ261" t="str">
        <f t="shared" si="178"/>
        <v>-4,33491448730887+19,8407897975563i</v>
      </c>
      <c r="AK261">
        <f t="shared" si="196"/>
        <v>20.308826243855027</v>
      </c>
      <c r="AL261">
        <f t="shared" si="197"/>
        <v>1.7859010914041071</v>
      </c>
      <c r="AM261" t="str">
        <f t="shared" si="179"/>
        <v>1+27,2747251668263i</v>
      </c>
      <c r="AN261">
        <f t="shared" si="198"/>
        <v>27.293051000683452</v>
      </c>
      <c r="AO261">
        <f t="shared" si="199"/>
        <v>1.5341487612394726</v>
      </c>
      <c r="AP261" t="str">
        <f t="shared" si="180"/>
        <v>1+19,1572474386042i</v>
      </c>
      <c r="AQ261">
        <f t="shared" si="200"/>
        <v>19.183329466594351</v>
      </c>
      <c r="AR261">
        <f t="shared" si="201"/>
        <v>1.5186440945743716</v>
      </c>
      <c r="AS261" s="42" t="str">
        <f t="shared" si="202"/>
        <v>-30,2432785215511+9,48488584007716i</v>
      </c>
      <c r="AT261">
        <f t="shared" si="203"/>
        <v>30.020013681608919</v>
      </c>
      <c r="AU261" s="44">
        <f t="shared" si="204"/>
        <v>162.58755120056014</v>
      </c>
      <c r="AV261" s="42" t="str">
        <f t="shared" si="181"/>
        <v>9,18856333259092+24,9815547203608i</v>
      </c>
      <c r="AW261" s="20">
        <f t="shared" si="205"/>
        <v>28.503446188403991</v>
      </c>
      <c r="AX261" s="44">
        <f t="shared" si="206"/>
        <v>69.805775847512962</v>
      </c>
    </row>
    <row r="262" spans="14:50" x14ac:dyDescent="0.3">
      <c r="N262" s="8">
        <v>44</v>
      </c>
      <c r="O262" s="35">
        <f t="shared" si="207"/>
        <v>2754.228703338169</v>
      </c>
      <c r="P262" s="34" t="str">
        <f t="shared" si="172"/>
        <v>324,571428571429</v>
      </c>
      <c r="Q262" s="4" t="str">
        <f t="shared" si="173"/>
        <v>1+395,550384489753i</v>
      </c>
      <c r="R262" s="4">
        <f t="shared" si="182"/>
        <v>395.55164854920207</v>
      </c>
      <c r="S262" s="4">
        <f t="shared" si="183"/>
        <v>1.5682682092433751</v>
      </c>
      <c r="T262" s="4" t="str">
        <f t="shared" si="174"/>
        <v>1+0,00346106586428534i</v>
      </c>
      <c r="U262" s="4">
        <f t="shared" si="184"/>
        <v>1.0000059894705216</v>
      </c>
      <c r="V262" s="4">
        <f t="shared" si="185"/>
        <v>3.4610520443753034E-3</v>
      </c>
      <c r="W262" t="str">
        <f t="shared" si="175"/>
        <v>1-0,0300439745163658i</v>
      </c>
      <c r="X262" s="4">
        <f t="shared" si="186"/>
        <v>1.0004512184033463</v>
      </c>
      <c r="Y262" s="4">
        <f t="shared" si="187"/>
        <v>-3.0034939773829646E-2</v>
      </c>
      <c r="Z262" t="str">
        <f t="shared" si="176"/>
        <v>0,999969656896999+0,025759703750332i</v>
      </c>
      <c r="AA262" s="4">
        <f t="shared" si="188"/>
        <v>1.0003013931071008</v>
      </c>
      <c r="AB262" s="4">
        <f t="shared" si="189"/>
        <v>2.5754789429372385E-2</v>
      </c>
      <c r="AC262" s="48" t="str">
        <f t="shared" si="190"/>
        <v>-0,0408535147327266-0,819664195073265i</v>
      </c>
      <c r="AD262" s="20">
        <f t="shared" si="191"/>
        <v>-1.7165053367468137</v>
      </c>
      <c r="AE262" s="44">
        <f t="shared" si="192"/>
        <v>-92.853361882888265</v>
      </c>
      <c r="AF262" t="str">
        <f t="shared" si="177"/>
        <v>-20791,6666666667</v>
      </c>
      <c r="AG262" t="str">
        <f t="shared" si="193"/>
        <v>17305,3293214267i</v>
      </c>
      <c r="AH262">
        <f t="shared" si="194"/>
        <v>17305.3293214267</v>
      </c>
      <c r="AI262">
        <f t="shared" si="195"/>
        <v>1.5707963267948966</v>
      </c>
      <c r="AJ262" t="str">
        <f t="shared" si="178"/>
        <v>-4,58634126107148+20,3029411611549i</v>
      </c>
      <c r="AK262">
        <f t="shared" si="196"/>
        <v>20.814512868581016</v>
      </c>
      <c r="AL262">
        <f t="shared" si="197"/>
        <v>1.7929628716941854</v>
      </c>
      <c r="AM262" t="str">
        <f t="shared" si="179"/>
        <v>1+27,910035129597i</v>
      </c>
      <c r="AN262">
        <f t="shared" si="198"/>
        <v>27.927944087156483</v>
      </c>
      <c r="AO262">
        <f t="shared" si="199"/>
        <v>1.5349822402415887</v>
      </c>
      <c r="AP262" t="str">
        <f t="shared" si="180"/>
        <v>1+19,6034770553122i</v>
      </c>
      <c r="AQ262">
        <f t="shared" si="200"/>
        <v>19.628966163762978</v>
      </c>
      <c r="AR262">
        <f t="shared" si="201"/>
        <v>1.5198291456833128</v>
      </c>
      <c r="AS262" s="42" t="str">
        <f t="shared" si="202"/>
        <v>-30,1449648670452+9,62130041321402i</v>
      </c>
      <c r="AT262">
        <f t="shared" si="203"/>
        <v>30.005591538386938</v>
      </c>
      <c r="AU262" s="44">
        <f t="shared" si="204"/>
        <v>162.29859425027365</v>
      </c>
      <c r="AV262" s="42" t="str">
        <f t="shared" si="181"/>
        <v>9,1177632250685+24,3156844250792i</v>
      </c>
      <c r="AW262" s="20">
        <f t="shared" si="205"/>
        <v>28.289086201640114</v>
      </c>
      <c r="AX262" s="44">
        <f t="shared" si="206"/>
        <v>69.445232367385344</v>
      </c>
    </row>
    <row r="263" spans="14:50" x14ac:dyDescent="0.3">
      <c r="N263" s="8">
        <v>45</v>
      </c>
      <c r="O263" s="35">
        <f t="shared" si="207"/>
        <v>2818.3829312644561</v>
      </c>
      <c r="P263" s="34" t="str">
        <f t="shared" si="172"/>
        <v>324,571428571429</v>
      </c>
      <c r="Q263" s="4" t="str">
        <f t="shared" si="173"/>
        <v>1+404,763936542322i</v>
      </c>
      <c r="R263" s="4">
        <f t="shared" si="182"/>
        <v>404.76517182835397</v>
      </c>
      <c r="S263" s="4">
        <f t="shared" si="183"/>
        <v>1.568325755987704</v>
      </c>
      <c r="T263" s="4" t="str">
        <f t="shared" si="174"/>
        <v>1+0,00354168444474532i</v>
      </c>
      <c r="U263" s="4">
        <f t="shared" si="184"/>
        <v>1.0000062717446856</v>
      </c>
      <c r="V263" s="4">
        <f t="shared" si="185"/>
        <v>3.5416696364499352E-3</v>
      </c>
      <c r="W263" t="str">
        <f t="shared" si="175"/>
        <v>1-0,0307437885828587i</v>
      </c>
      <c r="X263" s="4">
        <f t="shared" si="186"/>
        <v>1.0004724786501764</v>
      </c>
      <c r="Y263" s="4">
        <f t="shared" si="187"/>
        <v>-3.0734107928717294E-2</v>
      </c>
      <c r="Z263" t="str">
        <f t="shared" si="176"/>
        <v>0,999968226870611+0,026359724330943i</v>
      </c>
      <c r="AA263" s="4">
        <f t="shared" si="188"/>
        <v>1.0003155951086422</v>
      </c>
      <c r="AB263" s="4">
        <f t="shared" si="189"/>
        <v>2.6354458630645901E-2</v>
      </c>
      <c r="AC263" s="48" t="str">
        <f t="shared" si="190"/>
        <v>-0,0409457457528415-0,800960765406222i</v>
      </c>
      <c r="AD263" s="20">
        <f t="shared" si="191"/>
        <v>-1.9164403757378048</v>
      </c>
      <c r="AE263" s="44">
        <f t="shared" si="192"/>
        <v>-92.92645791946461</v>
      </c>
      <c r="AF263" t="str">
        <f t="shared" si="177"/>
        <v>-20791,6666666667</v>
      </c>
      <c r="AG263" t="str">
        <f t="shared" si="193"/>
        <v>17708,4222237266i</v>
      </c>
      <c r="AH263">
        <f t="shared" si="194"/>
        <v>17708.4222237266</v>
      </c>
      <c r="AI263">
        <f t="shared" si="195"/>
        <v>1.5707963267948966</v>
      </c>
      <c r="AJ263" t="str">
        <f t="shared" si="178"/>
        <v>-4,8496174136226+20,7758574128983i</v>
      </c>
      <c r="AK263">
        <f t="shared" si="196"/>
        <v>21.334362898844503</v>
      </c>
      <c r="AL263">
        <f t="shared" si="197"/>
        <v>1.8001157806157064</v>
      </c>
      <c r="AM263" t="str">
        <f t="shared" si="179"/>
        <v>1+28,5601433624262i</v>
      </c>
      <c r="AN263">
        <f t="shared" si="198"/>
        <v>28.577644914903981</v>
      </c>
      <c r="AO263">
        <f t="shared" si="199"/>
        <v>1.5357967950503084</v>
      </c>
      <c r="AP263" t="str">
        <f t="shared" si="180"/>
        <v>1+20,0601006950375i</v>
      </c>
      <c r="AQ263">
        <f t="shared" si="200"/>
        <v>20.085010328477406</v>
      </c>
      <c r="AR263">
        <f t="shared" si="201"/>
        <v>1.5209873601969091</v>
      </c>
      <c r="AS263" s="42" t="str">
        <f t="shared" si="202"/>
        <v>-30,0427024463359+9,7604257146153i</v>
      </c>
      <c r="AT263">
        <f t="shared" si="203"/>
        <v>29.990565049175601</v>
      </c>
      <c r="AU263" s="44">
        <f t="shared" si="204"/>
        <v>162.00179411395055</v>
      </c>
      <c r="AV263" s="42" t="str">
        <f t="shared" si="181"/>
        <v>9,04783890716478+23,6633780365384i</v>
      </c>
      <c r="AW263" s="20">
        <f t="shared" si="205"/>
        <v>28.07412467343778</v>
      </c>
      <c r="AX263" s="44">
        <f t="shared" si="206"/>
        <v>69.075336194485871</v>
      </c>
    </row>
    <row r="264" spans="14:50" x14ac:dyDescent="0.3">
      <c r="N264" s="8">
        <v>46</v>
      </c>
      <c r="O264" s="35">
        <f t="shared" si="207"/>
        <v>2884.0315031266077</v>
      </c>
      <c r="P264" s="34" t="str">
        <f t="shared" si="172"/>
        <v>324,571428571429</v>
      </c>
      <c r="Q264" s="4" t="str">
        <f t="shared" si="173"/>
        <v>1+414,19209979173i</v>
      </c>
      <c r="R264" s="4">
        <f t="shared" si="182"/>
        <v>414.19330695930182</v>
      </c>
      <c r="S264" s="4">
        <f t="shared" si="183"/>
        <v>1.5683819928240188</v>
      </c>
      <c r="T264" s="4" t="str">
        <f t="shared" si="174"/>
        <v>1+0,00362418087317764i</v>
      </c>
      <c r="U264" s="4">
        <f t="shared" si="184"/>
        <v>1.000006567321936</v>
      </c>
      <c r="V264" s="4">
        <f t="shared" si="185"/>
        <v>3.6241650058088854E-3</v>
      </c>
      <c r="W264" t="str">
        <f t="shared" si="175"/>
        <v>1-0,0314599034130003i</v>
      </c>
      <c r="X264" s="4">
        <f t="shared" si="186"/>
        <v>1.0004947403773572</v>
      </c>
      <c r="Y264" s="4">
        <f t="shared" si="187"/>
        <v>-3.1449530682214004E-2</v>
      </c>
      <c r="Z264" t="str">
        <f t="shared" si="176"/>
        <v>0,999966729449156+0,0269737211863065i</v>
      </c>
      <c r="AA264" s="4">
        <f t="shared" si="188"/>
        <v>1.0003304662159791</v>
      </c>
      <c r="AB264" s="4">
        <f t="shared" si="189"/>
        <v>2.6968078987180271E-2</v>
      </c>
      <c r="AC264" s="48" t="str">
        <f t="shared" si="190"/>
        <v>-0,0410337201705673-0,782681997677979i</v>
      </c>
      <c r="AD264" s="20">
        <f t="shared" si="191"/>
        <v>-2.116372472989891</v>
      </c>
      <c r="AE264" s="44">
        <f t="shared" si="192"/>
        <v>-93.001101977340696</v>
      </c>
      <c r="AF264" t="str">
        <f t="shared" si="177"/>
        <v>-20791,6666666667</v>
      </c>
      <c r="AG264" t="str">
        <f t="shared" si="193"/>
        <v>18120,9043658882i</v>
      </c>
      <c r="AH264">
        <f t="shared" si="194"/>
        <v>18120.9043658882</v>
      </c>
      <c r="AI264">
        <f t="shared" si="195"/>
        <v>1.5707963267948966</v>
      </c>
      <c r="AJ264" t="str">
        <f t="shared" si="178"/>
        <v>-5,1253013889799+21,2597892992429i</v>
      </c>
      <c r="AK264">
        <f t="shared" si="196"/>
        <v>21.868867263214213</v>
      </c>
      <c r="AL264">
        <f t="shared" si="197"/>
        <v>1.8073618539988057</v>
      </c>
      <c r="AM264" t="str">
        <f t="shared" si="179"/>
        <v>1+29,2253945613045i</v>
      </c>
      <c r="AN264">
        <f t="shared" si="198"/>
        <v>29.242497965528301</v>
      </c>
      <c r="AO264">
        <f t="shared" si="199"/>
        <v>1.5365928532272504</v>
      </c>
      <c r="AP264" t="str">
        <f t="shared" si="180"/>
        <v>1+20,5273604656782i</v>
      </c>
      <c r="AQ264">
        <f t="shared" si="200"/>
        <v>20.551703766060086</v>
      </c>
      <c r="AR264">
        <f t="shared" si="201"/>
        <v>1.5221193397791735</v>
      </c>
      <c r="AS264" s="42" t="str">
        <f t="shared" si="202"/>
        <v>-29,9363633117068+9,90219053911295i</v>
      </c>
      <c r="AT264">
        <f t="shared" si="203"/>
        <v>29.974908933975382</v>
      </c>
      <c r="AU264" s="44">
        <f t="shared" si="204"/>
        <v>161.69709311740129</v>
      </c>
      <c r="AV264" s="42" t="str">
        <f t="shared" si="181"/>
        <v>8,97866662759792+23,0243289243628i</v>
      </c>
      <c r="AW264" s="20">
        <f t="shared" si="205"/>
        <v>27.858536460985476</v>
      </c>
      <c r="AX264" s="44">
        <f t="shared" si="206"/>
        <v>68.695991140060571</v>
      </c>
    </row>
    <row r="265" spans="14:50" x14ac:dyDescent="0.3">
      <c r="N265" s="8">
        <v>47</v>
      </c>
      <c r="O265" s="35">
        <f t="shared" si="207"/>
        <v>2951.2092266663876</v>
      </c>
      <c r="P265" s="34" t="str">
        <f t="shared" si="172"/>
        <v>324,571428571429</v>
      </c>
      <c r="Q265" s="4" t="str">
        <f t="shared" si="173"/>
        <v>1+423,839873174928i</v>
      </c>
      <c r="R265" s="4">
        <f t="shared" si="182"/>
        <v>423.84105286408851</v>
      </c>
      <c r="S265" s="4">
        <f t="shared" si="183"/>
        <v>1.5684369495684105</v>
      </c>
      <c r="T265" s="4" t="str">
        <f t="shared" si="174"/>
        <v>1+0,00370859889028062i</v>
      </c>
      <c r="U265" s="4">
        <f t="shared" si="184"/>
        <v>1.0000068768292192</v>
      </c>
      <c r="V265" s="4">
        <f t="shared" si="185"/>
        <v>3.7085818880949911E-3</v>
      </c>
      <c r="W265" t="str">
        <f t="shared" si="175"/>
        <v>1-0,0321926987003526i</v>
      </c>
      <c r="X265" s="4">
        <f t="shared" si="186"/>
        <v>1.000518050736523</v>
      </c>
      <c r="Y265" s="4">
        <f t="shared" si="187"/>
        <v>-3.2181584429861146E-2</v>
      </c>
      <c r="Z265" t="str">
        <f t="shared" si="176"/>
        <v>0,999965161456402+0,0276020198656823i</v>
      </c>
      <c r="AA265" s="4">
        <f t="shared" si="188"/>
        <v>1.000346037942468</v>
      </c>
      <c r="AB265" s="4">
        <f t="shared" si="189"/>
        <v>2.7595974253037739E-2</v>
      </c>
      <c r="AC265" s="48" t="str">
        <f t="shared" si="190"/>
        <v>-0,0411176245945039-0,764818201823932i</v>
      </c>
      <c r="AD265" s="20">
        <f t="shared" si="191"/>
        <v>-2.316301485133105</v>
      </c>
      <c r="AE265" s="44">
        <f t="shared" si="192"/>
        <v>-93.077333374602276</v>
      </c>
      <c r="AF265" t="str">
        <f t="shared" si="177"/>
        <v>-20791,6666666667</v>
      </c>
      <c r="AG265" t="str">
        <f t="shared" si="193"/>
        <v>18542,9944514031i</v>
      </c>
      <c r="AH265">
        <f t="shared" si="194"/>
        <v>18542.994451403101</v>
      </c>
      <c r="AI265">
        <f t="shared" si="195"/>
        <v>1.5707963267948966</v>
      </c>
      <c r="AJ265" t="str">
        <f t="shared" si="178"/>
        <v>-5,41397794981666+21,7549934072807i</v>
      </c>
      <c r="AK265">
        <f t="shared" si="196"/>
        <v>22.418539100305523</v>
      </c>
      <c r="AL265">
        <f t="shared" si="197"/>
        <v>1.8147030724242061</v>
      </c>
      <c r="AM265" t="str">
        <f t="shared" si="179"/>
        <v>1+29,9061414512229i</v>
      </c>
      <c r="AN265">
        <f t="shared" si="198"/>
        <v>29.922855754432138</v>
      </c>
      <c r="AO265">
        <f t="shared" si="199"/>
        <v>1.5373708328149394</v>
      </c>
      <c r="AP265" t="str">
        <f t="shared" si="180"/>
        <v>1+21,0055041145494i</v>
      </c>
      <c r="AQ265">
        <f t="shared" si="200"/>
        <v>21.029293927908082</v>
      </c>
      <c r="AR265">
        <f t="shared" si="201"/>
        <v>1.5232256730101237</v>
      </c>
      <c r="AS265" s="42" t="str">
        <f t="shared" si="202"/>
        <v>-29,8258181049784+10,0465174805546i</v>
      </c>
      <c r="AT265">
        <f t="shared" si="203"/>
        <v>29.95859714667062</v>
      </c>
      <c r="AU265" s="44">
        <f t="shared" si="204"/>
        <v>161.38443545693264</v>
      </c>
      <c r="AV265" s="42" t="str">
        <f t="shared" si="181"/>
        <v>8,91012622613493+22,3982396367297i</v>
      </c>
      <c r="AW265" s="20">
        <f t="shared" si="205"/>
        <v>27.642295661537517</v>
      </c>
      <c r="AX265" s="44">
        <f t="shared" si="206"/>
        <v>68.30710208233036</v>
      </c>
    </row>
    <row r="266" spans="14:50" x14ac:dyDescent="0.3">
      <c r="N266" s="8">
        <v>48</v>
      </c>
      <c r="O266" s="35">
        <f t="shared" si="207"/>
        <v>3019.9517204020176</v>
      </c>
      <c r="P266" s="34" t="str">
        <f t="shared" si="172"/>
        <v>324,571428571429</v>
      </c>
      <c r="Q266" s="4" t="str">
        <f t="shared" si="173"/>
        <v>1+433,712372069067i</v>
      </c>
      <c r="R266" s="4">
        <f t="shared" si="182"/>
        <v>433.71352490529597</v>
      </c>
      <c r="S266" s="4">
        <f t="shared" si="183"/>
        <v>1.568490655358344</v>
      </c>
      <c r="T266" s="4" t="str">
        <f t="shared" si="174"/>
        <v>1+0,00379498325560434i</v>
      </c>
      <c r="U266" s="4">
        <f t="shared" si="184"/>
        <v>1.0000072009230285</v>
      </c>
      <c r="V266" s="4">
        <f t="shared" si="185"/>
        <v>3.7949650374412922E-3</v>
      </c>
      <c r="W266" t="str">
        <f t="shared" si="175"/>
        <v>1-0,0329425629826766i</v>
      </c>
      <c r="X266" s="4">
        <f t="shared" si="186"/>
        <v>1.0005424590969978</v>
      </c>
      <c r="Y266" s="4">
        <f t="shared" si="187"/>
        <v>-3.2930654175974315E-2</v>
      </c>
      <c r="Z266" t="str">
        <f t="shared" si="176"/>
        <v>0,999963519566426+0,0282449535013469i</v>
      </c>
      <c r="AA266" s="4">
        <f t="shared" si="188"/>
        <v>1.0003623432846558</v>
      </c>
      <c r="AB266" s="4">
        <f t="shared" si="189"/>
        <v>2.8238475637068276E-2</v>
      </c>
      <c r="AC266" s="48" t="str">
        <f t="shared" si="190"/>
        <v>-0,0411976370017927-0,747359907724332i</v>
      </c>
      <c r="AD266" s="20">
        <f t="shared" si="191"/>
        <v>-2.5162272623172526</v>
      </c>
      <c r="AE266" s="44">
        <f t="shared" si="192"/>
        <v>-93.155192252471778</v>
      </c>
      <c r="AF266" t="str">
        <f t="shared" si="177"/>
        <v>-20791,6666666667</v>
      </c>
      <c r="AG266" t="str">
        <f t="shared" si="193"/>
        <v>18974,9162780217i</v>
      </c>
      <c r="AH266">
        <f t="shared" si="194"/>
        <v>18974.916278021701</v>
      </c>
      <c r="AI266">
        <f t="shared" si="195"/>
        <v>1.5707963267948966</v>
      </c>
      <c r="AJ266" t="str">
        <f t="shared" si="178"/>
        <v>-5,71625941782201+22,2617323007843i</v>
      </c>
      <c r="AK266">
        <f t="shared" si="196"/>
        <v>22.983914957283101</v>
      </c>
      <c r="AL266">
        <f t="shared" si="197"/>
        <v>1.8221413567407718</v>
      </c>
      <c r="AM266" t="str">
        <f t="shared" si="179"/>
        <v>1+30,6027449731934i</v>
      </c>
      <c r="AN266">
        <f t="shared" si="198"/>
        <v>30.619079017735228</v>
      </c>
      <c r="AO266">
        <f t="shared" si="199"/>
        <v>1.5381311425393072</v>
      </c>
      <c r="AP266" t="str">
        <f t="shared" si="180"/>
        <v>1+21,494785159743i</v>
      </c>
      <c r="AQ266">
        <f t="shared" si="200"/>
        <v>21.518034042716536</v>
      </c>
      <c r="AR266">
        <f t="shared" si="201"/>
        <v>1.5243069356431487</v>
      </c>
      <c r="AS266" s="42" t="str">
        <f t="shared" si="202"/>
        <v>-29,7109363090832+10,1933226230159i</v>
      </c>
      <c r="AT266">
        <f t="shared" si="203"/>
        <v>29.941602865954351</v>
      </c>
      <c r="AU266" s="44">
        <f t="shared" si="204"/>
        <v>161.06376748252148</v>
      </c>
      <c r="AV266" s="42" t="str">
        <f t="shared" si="181"/>
        <v>8,8421010239865+21,7848218130948i</v>
      </c>
      <c r="AW266" s="20">
        <f t="shared" si="205"/>
        <v>27.425375603637114</v>
      </c>
      <c r="AX266" s="44">
        <f t="shared" si="206"/>
        <v>67.908575230049749</v>
      </c>
    </row>
    <row r="267" spans="14:50" x14ac:dyDescent="0.3">
      <c r="N267" s="8">
        <v>49</v>
      </c>
      <c r="O267" s="35">
        <f t="shared" si="207"/>
        <v>3090.295432513592</v>
      </c>
      <c r="P267" s="34" t="str">
        <f t="shared" si="172"/>
        <v>324,571428571429</v>
      </c>
      <c r="Q267" s="4" t="str">
        <f t="shared" si="173"/>
        <v>1+443,814831003739i</v>
      </c>
      <c r="R267" s="4">
        <f t="shared" si="182"/>
        <v>443.815957598279</v>
      </c>
      <c r="S267" s="4">
        <f t="shared" si="183"/>
        <v>1.5685431386681001</v>
      </c>
      <c r="T267" s="4" t="str">
        <f t="shared" si="174"/>
        <v>1+0,00388337977128272i</v>
      </c>
      <c r="U267" s="4">
        <f t="shared" si="184"/>
        <v>1.000007540290796</v>
      </c>
      <c r="V267" s="4">
        <f t="shared" si="185"/>
        <v>3.8833602501772584E-3</v>
      </c>
      <c r="W267" t="str">
        <f t="shared" si="175"/>
        <v>1-0,0337098938479403i</v>
      </c>
      <c r="X267" s="4">
        <f t="shared" si="186"/>
        <v>1.0005680171498785</v>
      </c>
      <c r="Y267" s="4">
        <f t="shared" si="187"/>
        <v>-3.3697133722868464E-2</v>
      </c>
      <c r="Z267" t="str">
        <f t="shared" si="176"/>
        <v>0,999961800296559+0,028902862985224i</v>
      </c>
      <c r="AA267" s="4">
        <f t="shared" si="188"/>
        <v>1.0003794167919879</v>
      </c>
      <c r="AB267" s="4">
        <f t="shared" si="189"/>
        <v>2.8895921970388958E-2</v>
      </c>
      <c r="AC267" s="48" t="str">
        <f t="shared" si="190"/>
        <v>-0,041273927115669-0,730297860190265i</v>
      </c>
      <c r="AD267" s="20">
        <f t="shared" si="191"/>
        <v>-2.7161496479001697</v>
      </c>
      <c r="AE267" s="44">
        <f t="shared" si="192"/>
        <v>-93.234719595272509</v>
      </c>
      <c r="AF267" t="str">
        <f t="shared" si="177"/>
        <v>-20791,6666666667</v>
      </c>
      <c r="AG267" t="str">
        <f t="shared" si="193"/>
        <v>19416,8988564136i</v>
      </c>
      <c r="AH267">
        <f t="shared" si="194"/>
        <v>19416.898856413602</v>
      </c>
      <c r="AI267">
        <f t="shared" si="195"/>
        <v>1.5707963267948966</v>
      </c>
      <c r="AJ267" t="str">
        <f t="shared" si="178"/>
        <v>-6,03278697251713+22,7802746594227i</v>
      </c>
      <c r="AK267">
        <f t="shared" si="196"/>
        <v>23.565556055703595</v>
      </c>
      <c r="AL267">
        <f t="shared" si="197"/>
        <v>1.8296785633667394</v>
      </c>
      <c r="AM267" t="str">
        <f t="shared" si="179"/>
        <v>1+31,3155744756238i</v>
      </c>
      <c r="AN267">
        <f t="shared" si="198"/>
        <v>31.331536903547214</v>
      </c>
      <c r="AO267">
        <f t="shared" si="199"/>
        <v>1.5388741820085199</v>
      </c>
      <c r="AP267" t="str">
        <f t="shared" si="180"/>
        <v>1+21,9954630245453i</v>
      </c>
      <c r="AQ267">
        <f t="shared" si="200"/>
        <v>22.018183250762071</v>
      </c>
      <c r="AR267">
        <f t="shared" si="201"/>
        <v>1.5253636908591739</v>
      </c>
      <c r="AS267" s="42" t="str">
        <f t="shared" si="202"/>
        <v>-29,5915865271993+10,3425152338954i</v>
      </c>
      <c r="AT267">
        <f t="shared" si="203"/>
        <v>29.923898487935272</v>
      </c>
      <c r="AU267" s="44">
        <f t="shared" si="204"/>
        <v>160.7350379929899</v>
      </c>
      <c r="AV267" s="42" t="str">
        <f t="shared" si="181"/>
        <v>8,77447772985967+21,1837961004922i</v>
      </c>
      <c r="AW267" s="20">
        <f t="shared" si="205"/>
        <v>27.207748840035094</v>
      </c>
      <c r="AX267" s="44">
        <f t="shared" si="206"/>
        <v>67.500318397717336</v>
      </c>
    </row>
    <row r="268" spans="14:50" x14ac:dyDescent="0.3">
      <c r="N268" s="8">
        <v>50</v>
      </c>
      <c r="O268" s="35">
        <f t="shared" si="207"/>
        <v>3162.2776601683804</v>
      </c>
      <c r="P268" s="34" t="str">
        <f t="shared" si="172"/>
        <v>324,571428571429</v>
      </c>
      <c r="Q268" s="4" t="str">
        <f t="shared" si="173"/>
        <v>1+454,152606436393i</v>
      </c>
      <c r="R268" s="4">
        <f t="shared" si="182"/>
        <v>454.15370738657333</v>
      </c>
      <c r="S268" s="4">
        <f t="shared" si="183"/>
        <v>1.568594427323867</v>
      </c>
      <c r="T268" s="4" t="str">
        <f t="shared" si="174"/>
        <v>1+0,00397383530631844i</v>
      </c>
      <c r="U268" s="4">
        <f t="shared" si="184"/>
        <v>1.0000078956523502</v>
      </c>
      <c r="V268" s="4">
        <f t="shared" si="185"/>
        <v>3.9738143890859978E-3</v>
      </c>
      <c r="W268" t="str">
        <f t="shared" si="175"/>
        <v>1-0,0344950981451253i</v>
      </c>
      <c r="X268" s="4">
        <f t="shared" si="186"/>
        <v>1.0005947790169814</v>
      </c>
      <c r="Y268" s="4">
        <f t="shared" si="187"/>
        <v>-3.4481425863687881E-2</v>
      </c>
      <c r="Z268" t="str">
        <f t="shared" si="176"/>
        <v>0,99996+0,0295760971496304i</v>
      </c>
      <c r="AA268" s="4">
        <f t="shared" si="188"/>
        <v>1.0003972946397868</v>
      </c>
      <c r="AB268" s="4">
        <f t="shared" si="189"/>
        <v>2.9568659877326743E-2</v>
      </c>
      <c r="AC268" s="48" t="str">
        <f t="shared" si="190"/>
        <v>-0,0413466567655195-0,713623014063251i</v>
      </c>
      <c r="AD268" s="20">
        <f t="shared" si="191"/>
        <v>-2.9160684781221109</v>
      </c>
      <c r="AE268" s="44">
        <f t="shared" si="192"/>
        <v>-93.315957250746109</v>
      </c>
      <c r="AF268" t="str">
        <f t="shared" si="177"/>
        <v>-20791,6666666667</v>
      </c>
      <c r="AG268" t="str">
        <f t="shared" si="193"/>
        <v>19869,1765315922i</v>
      </c>
      <c r="AH268">
        <f t="shared" si="194"/>
        <v>19869.176531592198</v>
      </c>
      <c r="AI268">
        <f t="shared" si="195"/>
        <v>1.5707963267948966</v>
      </c>
      <c r="AJ268" t="str">
        <f t="shared" si="178"/>
        <v>-6,36423201128312+23,3108954212181i</v>
      </c>
      <c r="AK268">
        <f t="shared" si="196"/>
        <v>24.164049628164722</v>
      </c>
      <c r="AL268">
        <f t="shared" si="197"/>
        <v>1.8373164793765071</v>
      </c>
      <c r="AM268" t="str">
        <f t="shared" si="179"/>
        <v>1+32,0450079101519i</v>
      </c>
      <c r="AN268">
        <f t="shared" si="198"/>
        <v>32.060607167701889</v>
      </c>
      <c r="AO268">
        <f t="shared" si="199"/>
        <v>1.5396003419081612</v>
      </c>
      <c r="AP268" t="str">
        <f t="shared" si="180"/>
        <v>1+22,5078031749876i</v>
      </c>
      <c r="AQ268">
        <f t="shared" si="200"/>
        <v>22.530006741321273</v>
      </c>
      <c r="AR268">
        <f t="shared" si="201"/>
        <v>1.5263964895175368</v>
      </c>
      <c r="AS268" s="42" t="str">
        <f t="shared" si="202"/>
        <v>-29,4676367906794+10,4939974608373i</v>
      </c>
      <c r="AT268">
        <f t="shared" si="203"/>
        <v>29.905455620600652</v>
      </c>
      <c r="AU268" s="44">
        <f t="shared" si="204"/>
        <v>160.39819854306677</v>
      </c>
      <c r="AV268" s="42" t="str">
        <f t="shared" si="181"/>
        <v>8,70714636165003+20,5948920727743i</v>
      </c>
      <c r="AW268" s="20">
        <f t="shared" si="205"/>
        <v>26.989387142478538</v>
      </c>
      <c r="AX268" s="44">
        <f t="shared" si="206"/>
        <v>67.082241292320646</v>
      </c>
    </row>
    <row r="269" spans="14:50" x14ac:dyDescent="0.3">
      <c r="N269" s="8">
        <v>51</v>
      </c>
      <c r="O269" s="35">
        <f t="shared" si="207"/>
        <v>3235.9365692962833</v>
      </c>
      <c r="P269" s="34" t="str">
        <f t="shared" si="172"/>
        <v>324,571428571429</v>
      </c>
      <c r="Q269" s="4" t="str">
        <f t="shared" si="173"/>
        <v>1+464,7311795924i</v>
      </c>
      <c r="R269" s="4">
        <f t="shared" si="182"/>
        <v>464.73225548195336</v>
      </c>
      <c r="S269" s="4">
        <f t="shared" si="183"/>
        <v>1.5686445485184888</v>
      </c>
      <c r="T269" s="4" t="str">
        <f t="shared" si="174"/>
        <v>1+0,0040663978214335i</v>
      </c>
      <c r="U269" s="4">
        <f t="shared" si="184"/>
        <v>1.0000082677614432</v>
      </c>
      <c r="V269" s="4">
        <f t="shared" si="185"/>
        <v>4.0663754082251339E-3</v>
      </c>
      <c r="W269" t="str">
        <f t="shared" si="175"/>
        <v>1-0,0352985921999436i</v>
      </c>
      <c r="X269" s="4">
        <f t="shared" si="186"/>
        <v>1.0006228013648788</v>
      </c>
      <c r="Y269" s="4">
        <f t="shared" si="187"/>
        <v>-3.5283942578868181E-2</v>
      </c>
      <c r="Z269" t="str">
        <f t="shared" si="176"/>
        <v>0,999958114858078+0,0302650129522316i</v>
      </c>
      <c r="AA269" s="4">
        <f t="shared" si="188"/>
        <v>1.0004160147056422</v>
      </c>
      <c r="AB269" s="4">
        <f t="shared" si="189"/>
        <v>3.025704394987257E-2</v>
      </c>
      <c r="AC269" s="48" t="str">
        <f t="shared" si="190"/>
        <v>-0,041415980230212-0,697326529425886i</v>
      </c>
      <c r="AD269" s="20">
        <f t="shared" si="191"/>
        <v>-3.1159835817658035</v>
      </c>
      <c r="AE269" s="44">
        <f t="shared" si="192"/>
        <v>-93.398947950727447</v>
      </c>
      <c r="AF269" t="str">
        <f t="shared" si="177"/>
        <v>-20791,6666666667</v>
      </c>
      <c r="AG269" t="str">
        <f t="shared" si="193"/>
        <v>20331,9891071675i</v>
      </c>
      <c r="AH269">
        <f t="shared" si="194"/>
        <v>20331.989107167501</v>
      </c>
      <c r="AI269">
        <f t="shared" si="195"/>
        <v>1.5707963267948966</v>
      </c>
      <c r="AJ269" t="str">
        <f t="shared" si="178"/>
        <v>-6,71129757348484+23,853875928322i</v>
      </c>
      <c r="AK269">
        <f t="shared" si="196"/>
        <v>24.78001032936918</v>
      </c>
      <c r="AL269">
        <f t="shared" si="197"/>
        <v>1.8450568173761912</v>
      </c>
      <c r="AM269" t="str">
        <f t="shared" si="179"/>
        <v>1+32,7914320320397i</v>
      </c>
      <c r="AN269">
        <f t="shared" si="198"/>
        <v>32.806676374053488</v>
      </c>
      <c r="AO269">
        <f t="shared" si="199"/>
        <v>1.5403100041927893</v>
      </c>
      <c r="AP269" t="str">
        <f t="shared" si="180"/>
        <v>1+23,0320772605993i</v>
      </c>
      <c r="AQ269">
        <f t="shared" si="200"/>
        <v>23.053775893293825</v>
      </c>
      <c r="AR269">
        <f t="shared" si="201"/>
        <v>1.5274058704034723</v>
      </c>
      <c r="AS269" s="42" t="str">
        <f t="shared" si="202"/>
        <v>-29,3389548969162+10,6476640346188i</v>
      </c>
      <c r="AT269">
        <f t="shared" si="203"/>
        <v>29.88624508031203</v>
      </c>
      <c r="AU269" s="44">
        <f t="shared" si="204"/>
        <v>160.05320376215437</v>
      </c>
      <c r="AV269" s="42" t="str">
        <f t="shared" si="181"/>
        <v>8,64000018373932+20,0178481520935i</v>
      </c>
      <c r="AW269" s="20">
        <f t="shared" si="205"/>
        <v>26.77026149854624</v>
      </c>
      <c r="AX269" s="44">
        <f t="shared" si="206"/>
        <v>66.65425581142695</v>
      </c>
    </row>
    <row r="270" spans="14:50" x14ac:dyDescent="0.3">
      <c r="N270" s="8">
        <v>52</v>
      </c>
      <c r="O270" s="35">
        <f t="shared" si="207"/>
        <v>3311.3112148259115</v>
      </c>
      <c r="P270" s="34" t="str">
        <f t="shared" si="172"/>
        <v>324,571428571429</v>
      </c>
      <c r="Q270" s="4" t="str">
        <f t="shared" si="173"/>
        <v>1+475,556159371273i</v>
      </c>
      <c r="R270" s="4">
        <f t="shared" si="182"/>
        <v>475.55721077064493</v>
      </c>
      <c r="S270" s="4">
        <f t="shared" si="183"/>
        <v>1.5686935288258788</v>
      </c>
      <c r="T270" s="4" t="str">
        <f t="shared" si="174"/>
        <v>1+0,00416111639449864i</v>
      </c>
      <c r="U270" s="4">
        <f t="shared" si="184"/>
        <v>1.000008657407349</v>
      </c>
      <c r="V270" s="4">
        <f t="shared" si="185"/>
        <v>4.1610923783244134E-3</v>
      </c>
      <c r="W270" t="str">
        <f t="shared" si="175"/>
        <v>1-0,0361208020355785i</v>
      </c>
      <c r="X270" s="4">
        <f t="shared" si="186"/>
        <v>1.0006521435242586</v>
      </c>
      <c r="Y270" s="4">
        <f t="shared" si="187"/>
        <v>-3.6105105236253654E-2</v>
      </c>
      <c r="Z270" t="str">
        <f t="shared" si="176"/>
        <v>0,999956140872154+0,030969975665305i</v>
      </c>
      <c r="AA270" s="4">
        <f t="shared" si="188"/>
        <v>1.0004356166493877</v>
      </c>
      <c r="AB270" s="4">
        <f t="shared" si="189"/>
        <v>3.0961436925694936E-2</v>
      </c>
      <c r="AC270" s="48" t="str">
        <f>(IMDIV(IMPRODUCT(P270,T270,W270),IMPRODUCT(Q270,Z270)))</f>
        <v>-0,0414820445654195-0,681399766921032i</v>
      </c>
      <c r="AD270" s="20">
        <f t="shared" si="191"/>
        <v>-3.3158947798013068</v>
      </c>
      <c r="AE270" s="44">
        <f t="shared" si="192"/>
        <v>-93.483735332180416</v>
      </c>
      <c r="AF270" t="str">
        <f t="shared" si="177"/>
        <v>-20791,6666666667</v>
      </c>
      <c r="AG270" t="str">
        <f t="shared" si="193"/>
        <v>20805,5819724932i</v>
      </c>
      <c r="AH270">
        <f t="shared" si="194"/>
        <v>20805.581972493201</v>
      </c>
      <c r="AI270">
        <f t="shared" si="195"/>
        <v>1.5707963267948966</v>
      </c>
      <c r="AJ270" t="str">
        <f t="shared" si="178"/>
        <v>-7,07471983171166+24,4095040761864i</v>
      </c>
      <c r="AK270">
        <f t="shared" si="196"/>
        <v>25.414081725346183</v>
      </c>
      <c r="AL270">
        <f t="shared" si="197"/>
        <v>1.8529012101728488</v>
      </c>
      <c r="AM270" t="str">
        <f t="shared" si="179"/>
        <v>1+33,555242605237i</v>
      </c>
      <c r="AN270">
        <f t="shared" si="198"/>
        <v>33.57014009944421</v>
      </c>
      <c r="AO270">
        <f t="shared" si="199"/>
        <v>1.5410035422739017</v>
      </c>
      <c r="AP270" t="str">
        <f t="shared" si="180"/>
        <v>1+23,5685632584403i</v>
      </c>
      <c r="AQ270">
        <f t="shared" si="200"/>
        <v>23.589768419107084</v>
      </c>
      <c r="AR270">
        <f t="shared" si="201"/>
        <v>1.5283923604721423</v>
      </c>
      <c r="AS270" s="42" t="str">
        <f t="shared" si="202"/>
        <v>-29,205408778186+10,80340198036i</v>
      </c>
      <c r="AT270">
        <f t="shared" si="203"/>
        <v>29.86623689052038</v>
      </c>
      <c r="AU270" s="44">
        <f t="shared" si="204"/>
        <v>159.70001168450869</v>
      </c>
      <c r="AV270" s="42" t="str">
        <f t="shared" si="181"/>
        <v>8,57293565985952+19,452411531882i</v>
      </c>
      <c r="AW270" s="20">
        <f t="shared" si="205"/>
        <v>26.550342110719086</v>
      </c>
      <c r="AX270" s="44">
        <f t="shared" si="206"/>
        <v>66.21627635232835</v>
      </c>
    </row>
    <row r="271" spans="14:50" x14ac:dyDescent="0.3">
      <c r="N271" s="8">
        <v>53</v>
      </c>
      <c r="O271" s="35">
        <f t="shared" si="207"/>
        <v>3388.4415613920314</v>
      </c>
      <c r="P271" s="34" t="str">
        <f t="shared" si="172"/>
        <v>324,571428571429</v>
      </c>
      <c r="Q271" s="4" t="str">
        <f t="shared" si="173"/>
        <v>1+486,633285320574i</v>
      </c>
      <c r="R271" s="4">
        <f t="shared" si="182"/>
        <v>486.63431278722544</v>
      </c>
      <c r="S271" s="4">
        <f t="shared" si="183"/>
        <v>1.5687413942151036</v>
      </c>
      <c r="T271" s="4" t="str">
        <f t="shared" si="174"/>
        <v>1+0,00425804124655502i</v>
      </c>
      <c r="U271" s="4">
        <f t="shared" si="184"/>
        <v>1.0000090654165379</v>
      </c>
      <c r="V271" s="4">
        <f t="shared" si="185"/>
        <v>4.2580155127732982E-3</v>
      </c>
      <c r="W271" t="str">
        <f t="shared" si="175"/>
        <v>1-0,0369621635985679i</v>
      </c>
      <c r="X271" s="4">
        <f t="shared" si="186"/>
        <v>1.0006828676148538</v>
      </c>
      <c r="Y271" s="4">
        <f t="shared" si="187"/>
        <v>-3.694534479489138E-2</v>
      </c>
      <c r="Z271" t="str">
        <f t="shared" si="176"/>
        <v>0,99995407385514+0,0316913590694121i</v>
      </c>
      <c r="AA271" s="4">
        <f t="shared" si="188"/>
        <v>1.0004561419968179</v>
      </c>
      <c r="AB271" s="4">
        <f t="shared" si="189"/>
        <v>3.1682209869761335E-2</v>
      </c>
      <c r="AC271" s="48" t="str">
        <f t="shared" si="190"/>
        <v>-0,0415449899156418-0,665834283177101i</v>
      </c>
      <c r="AD271" s="20">
        <f t="shared" si="191"/>
        <v>-3.515801885015037</v>
      </c>
      <c r="AE271" s="44">
        <f t="shared" si="192"/>
        <v>-93.570363958598733</v>
      </c>
      <c r="AF271" t="str">
        <f t="shared" si="177"/>
        <v>-20791,6666666667</v>
      </c>
      <c r="AG271" t="str">
        <f t="shared" si="193"/>
        <v>21290,2062327751i</v>
      </c>
      <c r="AH271">
        <f t="shared" si="194"/>
        <v>21290.206232775101</v>
      </c>
      <c r="AI271">
        <f t="shared" si="195"/>
        <v>1.5707963267948966</v>
      </c>
      <c r="AJ271" t="str">
        <f t="shared" si="178"/>
        <v>-7,45526965329805+24,9780744662101i</v>
      </c>
      <c r="AK271">
        <f t="shared" si="196"/>
        <v>26.066937864715214</v>
      </c>
      <c r="AL271">
        <f t="shared" si="197"/>
        <v>1.860851205243973</v>
      </c>
      <c r="AM271" t="str">
        <f t="shared" si="179"/>
        <v>1+34,3368446122197i</v>
      </c>
      <c r="AN271">
        <f t="shared" si="198"/>
        <v>34.351403143448465</v>
      </c>
      <c r="AO271">
        <f t="shared" si="199"/>
        <v>1.5416813212043348</v>
      </c>
      <c r="AP271" t="str">
        <f t="shared" si="180"/>
        <v>1+24,1175456204876i</v>
      </c>
      <c r="AQ271">
        <f t="shared" si="200"/>
        <v>24.138268511977007</v>
      </c>
      <c r="AR271">
        <f t="shared" si="201"/>
        <v>1.5293564750891417</v>
      </c>
      <c r="AS271" s="42" t="str">
        <f t="shared" si="202"/>
        <v>-29,066866902378+10,9610903396147i</v>
      </c>
      <c r="AT271">
        <f t="shared" si="203"/>
        <v>29.845400282891763</v>
      </c>
      <c r="AU271" s="44">
        <f t="shared" si="204"/>
        <v>159.3385840904611</v>
      </c>
      <c r="AV271" s="42" t="str">
        <f t="shared" si="181"/>
        <v>8,5058524214554+18,8983381005253i</v>
      </c>
      <c r="AW271" s="20">
        <f t="shared" si="205"/>
        <v>26.329598397876719</v>
      </c>
      <c r="AX271" s="44">
        <f t="shared" si="206"/>
        <v>65.768220131862321</v>
      </c>
    </row>
    <row r="272" spans="14:50" x14ac:dyDescent="0.3">
      <c r="N272" s="8">
        <v>54</v>
      </c>
      <c r="O272" s="35">
        <f t="shared" si="207"/>
        <v>3467.3685045253224</v>
      </c>
      <c r="P272" s="34" t="str">
        <f t="shared" si="172"/>
        <v>324,571428571429</v>
      </c>
      <c r="Q272" s="4" t="str">
        <f t="shared" si="173"/>
        <v>1+497,968430679104i</v>
      </c>
      <c r="R272" s="4">
        <f t="shared" si="182"/>
        <v>497.96943475780677</v>
      </c>
      <c r="S272" s="4">
        <f t="shared" si="183"/>
        <v>1.5687881700641482</v>
      </c>
      <c r="T272" s="4" t="str">
        <f t="shared" si="174"/>
        <v>1+0,00435722376844216i</v>
      </c>
      <c r="U272" s="4">
        <f t="shared" si="184"/>
        <v>1.000009492654429</v>
      </c>
      <c r="V272" s="4">
        <f t="shared" si="185"/>
        <v>4.3571961942123847E-3</v>
      </c>
      <c r="W272" t="str">
        <f t="shared" si="175"/>
        <v>1-0,0378231229899493i</v>
      </c>
      <c r="X272" s="4">
        <f t="shared" si="186"/>
        <v>1.0007150386762023</v>
      </c>
      <c r="Y272" s="4">
        <f t="shared" si="187"/>
        <v>-3.7805102012517702E-2</v>
      </c>
      <c r="Z272" t="str">
        <f t="shared" si="176"/>
        <v>0,999951909422615+0,0324295456515825i</v>
      </c>
      <c r="AA272" s="4">
        <f t="shared" si="188"/>
        <v>1.0004776342273232</v>
      </c>
      <c r="AB272" s="4">
        <f t="shared" si="189"/>
        <v>3.2419742359613542E-2</v>
      </c>
      <c r="AC272" s="48" t="str">
        <f t="shared" si="190"/>
        <v>-0,0416049498115829-0,650621826337017i</v>
      </c>
      <c r="AD272" s="20">
        <f t="shared" si="191"/>
        <v>-3.7157047016224594</v>
      </c>
      <c r="AE272" s="44">
        <f t="shared" si="192"/>
        <v>-93.658879341774622</v>
      </c>
      <c r="AF272" t="str">
        <f t="shared" si="177"/>
        <v>-20791,6666666667</v>
      </c>
      <c r="AG272" t="str">
        <f t="shared" si="193"/>
        <v>21786,1188422108i</v>
      </c>
      <c r="AH272">
        <f t="shared" si="194"/>
        <v>21786.118842210799</v>
      </c>
      <c r="AI272">
        <f t="shared" si="195"/>
        <v>1.5707963267948966</v>
      </c>
      <c r="AJ272" t="str">
        <f t="shared" si="178"/>
        <v>-7,85375423543682+25,5598885619397i</v>
      </c>
      <c r="AK272">
        <f t="shared" si="196"/>
        <v>26.739284936015355</v>
      </c>
      <c r="AL272">
        <f t="shared" si="197"/>
        <v>1.8689082590158355</v>
      </c>
      <c r="AM272" t="str">
        <f t="shared" si="179"/>
        <v>1+35,1366524687175i</v>
      </c>
      <c r="AN272">
        <f t="shared" si="198"/>
        <v>35.150879743008304</v>
      </c>
      <c r="AO272">
        <f t="shared" si="199"/>
        <v>1.5423436978591356</v>
      </c>
      <c r="AP272" t="str">
        <f t="shared" si="180"/>
        <v>1+24,6793154244564i</v>
      </c>
      <c r="AQ272">
        <f t="shared" si="200"/>
        <v>24.699566996605661</v>
      </c>
      <c r="AR272">
        <f t="shared" si="201"/>
        <v>1.5302987182674292</v>
      </c>
      <c r="AS272" s="42" t="str">
        <f t="shared" si="202"/>
        <v>-28,9231987063584+11,1205999061239i</v>
      </c>
      <c r="AT272">
        <f t="shared" si="203"/>
        <v>29.82370370104104</v>
      </c>
      <c r="AU272" s="44">
        <f t="shared" si="204"/>
        <v>158.96888685818226</v>
      </c>
      <c r="AV272" s="42" t="str">
        <f t="shared" si="181"/>
        <v>8,43865325145407+18,3553923648704i</v>
      </c>
      <c r="AW272" s="20">
        <f t="shared" si="205"/>
        <v>26.107998999418594</v>
      </c>
      <c r="AX272" s="44">
        <f t="shared" si="206"/>
        <v>65.31000751640768</v>
      </c>
    </row>
    <row r="273" spans="14:50" x14ac:dyDescent="0.3">
      <c r="N273" s="8">
        <v>55</v>
      </c>
      <c r="O273" s="35">
        <f t="shared" si="207"/>
        <v>3548.1338923357539</v>
      </c>
      <c r="P273" s="34" t="str">
        <f t="shared" si="172"/>
        <v>324,571428571429</v>
      </c>
      <c r="Q273" s="4" t="str">
        <f t="shared" si="173"/>
        <v>1+509,567605490969i</v>
      </c>
      <c r="R273" s="4">
        <f t="shared" si="182"/>
        <v>509.56858671409464</v>
      </c>
      <c r="S273" s="4">
        <f t="shared" si="183"/>
        <v>1.5688338811733678</v>
      </c>
      <c r="T273" s="4" t="str">
        <f t="shared" si="174"/>
        <v>1+0,00445871654804598i</v>
      </c>
      <c r="U273" s="4">
        <f t="shared" si="184"/>
        <v>1.0000099400272258</v>
      </c>
      <c r="V273" s="4">
        <f t="shared" si="185"/>
        <v>4.4586870017423105E-3</v>
      </c>
      <c r="W273" t="str">
        <f t="shared" si="175"/>
        <v>1-0,038704136701788i</v>
      </c>
      <c r="X273" s="4">
        <f t="shared" si="186"/>
        <v>1.0007487248044991</v>
      </c>
      <c r="Y273" s="4">
        <f t="shared" si="187"/>
        <v>-3.8684827656747724E-2</v>
      </c>
      <c r="Z273" t="str">
        <f t="shared" si="176"/>
        <v>0,999949642983528+0,033184926808113i</v>
      </c>
      <c r="AA273" s="4">
        <f t="shared" si="188"/>
        <v>1.0005001388656298</v>
      </c>
      <c r="AB273" s="4">
        <f t="shared" si="189"/>
        <v>3.3174422674338899E-2</v>
      </c>
      <c r="AC273" s="48" t="str">
        <f t="shared" si="190"/>
        <v>-0,0416620514535143-0,635754331688546i</v>
      </c>
      <c r="AD273" s="20">
        <f t="shared" si="191"/>
        <v>-3.9156030248633327</v>
      </c>
      <c r="AE273" s="44">
        <f t="shared" si="192"/>
        <v>-93.749327963938129</v>
      </c>
      <c r="AF273" t="str">
        <f t="shared" si="177"/>
        <v>-20791,6666666667</v>
      </c>
      <c r="AG273" t="str">
        <f t="shared" si="193"/>
        <v>22293,5827402299i</v>
      </c>
      <c r="AH273">
        <f t="shared" si="194"/>
        <v>22293.5827402299</v>
      </c>
      <c r="AI273">
        <f t="shared" si="195"/>
        <v>1.5707963267948966</v>
      </c>
      <c r="AJ273" t="str">
        <f t="shared" si="178"/>
        <v>-8,27101881735238+26,1552548489098i</v>
      </c>
      <c r="AK273">
        <f t="shared" si="196"/>
        <v>27.43186301526779</v>
      </c>
      <c r="AL273">
        <f t="shared" si="197"/>
        <v>1.8770737309612029</v>
      </c>
      <c r="AM273" t="str">
        <f t="shared" si="179"/>
        <v>1+35,9550902434428i</v>
      </c>
      <c r="AN273">
        <f t="shared" si="198"/>
        <v>35.96899379207202</v>
      </c>
      <c r="AO273">
        <f t="shared" si="199"/>
        <v>1.5429910211129398</v>
      </c>
      <c r="AP273" t="str">
        <f t="shared" si="180"/>
        <v>1+25,2541705281324i</v>
      </c>
      <c r="AQ273">
        <f t="shared" si="200"/>
        <v>25.273961483392174</v>
      </c>
      <c r="AR273">
        <f t="shared" si="201"/>
        <v>1.5312195829006394</v>
      </c>
      <c r="AS273" s="42" t="str">
        <f t="shared" si="202"/>
        <v>-28,7742750625277+11,2817929782145i</v>
      </c>
      <c r="AT273">
        <f t="shared" si="203"/>
        <v>29.801114807073539</v>
      </c>
      <c r="AU273" s="44">
        <f t="shared" si="204"/>
        <v>158.59089032538967</v>
      </c>
      <c r="AV273" s="42" t="str">
        <f t="shared" si="181"/>
        <v>8,37124408330589+17,8233473726534i</v>
      </c>
      <c r="AW273" s="20">
        <f t="shared" si="205"/>
        <v>25.885511782210195</v>
      </c>
      <c r="AX273" s="44">
        <f t="shared" si="206"/>
        <v>64.841562361451523</v>
      </c>
    </row>
    <row r="274" spans="14:50" x14ac:dyDescent="0.3">
      <c r="N274" s="8">
        <v>56</v>
      </c>
      <c r="O274" s="35">
        <f t="shared" si="207"/>
        <v>3630.7805477010188</v>
      </c>
      <c r="P274" s="34" t="str">
        <f t="shared" si="172"/>
        <v>324,571428571429</v>
      </c>
      <c r="Q274" s="4" t="str">
        <f t="shared" si="173"/>
        <v>1+521,436959792194i</v>
      </c>
      <c r="R274" s="4">
        <f t="shared" si="182"/>
        <v>521.43791867999596</v>
      </c>
      <c r="S274" s="4">
        <f t="shared" si="183"/>
        <v>1.5688785517786328</v>
      </c>
      <c r="T274" s="4" t="str">
        <f t="shared" si="174"/>
        <v>1+0,0045625733981817i</v>
      </c>
      <c r="U274" s="4">
        <f t="shared" si="184"/>
        <v>1.0000104084838386</v>
      </c>
      <c r="V274" s="4">
        <f t="shared" si="185"/>
        <v>4.5625417387647168E-3</v>
      </c>
      <c r="W274" t="str">
        <f t="shared" si="175"/>
        <v>1-0,0396056718592161i</v>
      </c>
      <c r="X274" s="4">
        <f t="shared" si="186"/>
        <v>1.0007839972958301</v>
      </c>
      <c r="Y274" s="4">
        <f t="shared" si="187"/>
        <v>-3.9584982719976465E-2</v>
      </c>
      <c r="Z274" t="str">
        <f t="shared" si="176"/>
        <v>0,999947269730458+0,0339579030520919i</v>
      </c>
      <c r="AA274" s="4">
        <f t="shared" si="188"/>
        <v>1.0005237035778276</v>
      </c>
      <c r="AB274" s="4">
        <f t="shared" si="189"/>
        <v>3.3946647987282766E-2</v>
      </c>
      <c r="AC274" s="48" t="str">
        <f t="shared" si="190"/>
        <v>-0,0417164159812295-0,621223917393659i</v>
      </c>
      <c r="AD274" s="20">
        <f t="shared" si="191"/>
        <v>-4.1154966405792548</v>
      </c>
      <c r="AE274" s="44">
        <f t="shared" si="192"/>
        <v>-93.841757300269478</v>
      </c>
      <c r="AF274" t="str">
        <f t="shared" si="177"/>
        <v>-20791,6666666667</v>
      </c>
      <c r="AG274" t="str">
        <f t="shared" si="193"/>
        <v>22812,8669909085i</v>
      </c>
      <c r="AH274">
        <f t="shared" si="194"/>
        <v>22812.8669909085</v>
      </c>
      <c r="AI274">
        <f t="shared" si="195"/>
        <v>1.5707963267948966</v>
      </c>
      <c r="AJ274" t="str">
        <f t="shared" si="178"/>
        <v>-8,70794847316682+26,7644889982067i</v>
      </c>
      <c r="AK274">
        <f t="shared" si="196"/>
        <v>28.145447908080197</v>
      </c>
      <c r="AL274">
        <f t="shared" si="197"/>
        <v>1.8853488775292608</v>
      </c>
      <c r="AM274" t="str">
        <f t="shared" si="179"/>
        <v>1+36,7925918829372i</v>
      </c>
      <c r="AN274">
        <f t="shared" si="198"/>
        <v>36.806179066352115</v>
      </c>
      <c r="AO274">
        <f t="shared" si="199"/>
        <v>1.5436236320138934</v>
      </c>
      <c r="AP274" t="str">
        <f t="shared" si="180"/>
        <v>1+25,8424157273011i</v>
      </c>
      <c r="AQ274">
        <f t="shared" si="200"/>
        <v>25.861756526242747</v>
      </c>
      <c r="AR274">
        <f t="shared" si="201"/>
        <v>1.5321195509927437</v>
      </c>
      <c r="AS274" s="42" t="str">
        <f t="shared" si="202"/>
        <v>-28,6199687789128+11,444523131039i</v>
      </c>
      <c r="AT274">
        <f t="shared" si="203"/>
        <v>29.77760049113915</v>
      </c>
      <c r="AU274" s="44">
        <f t="shared" si="204"/>
        <v>158.20456966026055</v>
      </c>
      <c r="AV274" s="42" t="str">
        <f t="shared" si="181"/>
        <v>8,30353401511732+17,3019846328792i</v>
      </c>
      <c r="AW274" s="20">
        <f t="shared" si="205"/>
        <v>25.662103850559895</v>
      </c>
      <c r="AX274" s="44">
        <f t="shared" si="206"/>
        <v>64.362812359991054</v>
      </c>
    </row>
    <row r="275" spans="14:50" x14ac:dyDescent="0.3">
      <c r="N275" s="8">
        <v>57</v>
      </c>
      <c r="O275" s="35">
        <f t="shared" si="207"/>
        <v>3715.352290971724</v>
      </c>
      <c r="P275" s="34" t="str">
        <f t="shared" ref="P275:P338" si="208">COMPLEX(Adc,0)</f>
        <v>324,571428571429</v>
      </c>
      <c r="Q275" s="4" t="str">
        <f t="shared" ref="Q275:Q338" si="209">IMSUM(COMPLEX(1,0),IMDIV(COMPLEX(0,2*PI()*O275),COMPLEX(wp_lf,0)))</f>
        <v>1+533,582786871534i</v>
      </c>
      <c r="R275" s="4">
        <f t="shared" si="182"/>
        <v>533.58372393242371</v>
      </c>
      <c r="S275" s="4">
        <f t="shared" si="183"/>
        <v>1.5689222055641761</v>
      </c>
      <c r="T275" s="4" t="str">
        <f t="shared" ref="T275:T338" si="210">IMSUM(COMPLEX(1,0),IMDIV(COMPLEX(0,2*PI()*O275),COMPLEX(wz_esr,0)))</f>
        <v>1+0,00466884938512592i</v>
      </c>
      <c r="U275" s="4">
        <f t="shared" si="184"/>
        <v>1.0000108990178962</v>
      </c>
      <c r="V275" s="4">
        <f t="shared" si="185"/>
        <v>4.6688154614693989E-3</v>
      </c>
      <c r="W275" t="str">
        <f t="shared" ref="W275:W338" si="211">IMSUB(COMPLEX(1,0),IMDIV(COMPLEX(0,2*PI()*O275),COMPLEX(wz_rhp,0)))</f>
        <v>1-0,0405282064681069i</v>
      </c>
      <c r="X275" s="4">
        <f t="shared" si="186"/>
        <v>1.0008209307960747</v>
      </c>
      <c r="Y275" s="4">
        <f t="shared" si="187"/>
        <v>-4.0506038637989503E-2</v>
      </c>
      <c r="Z275" t="str">
        <f t="shared" ref="Z275:Z338" si="212">IMSUM(COMPLEX(1,0),IMDIV(COMPLEX(0,2*PI()*O275),COMPLEX(Q*(wsl/2),0)),IMDIV(IMPOWER(COMPLEX(0,2*PI()*O275),2),IMPOWER(COMPLEX(wsl/2,0),2)))</f>
        <v>0,999944784629416+0,0347488842257549i</v>
      </c>
      <c r="AA275" s="4">
        <f t="shared" si="188"/>
        <v>1.0005483782718876</v>
      </c>
      <c r="AB275" s="4">
        <f t="shared" si="189"/>
        <v>3.4736824562538619E-2</v>
      </c>
      <c r="AC275" s="48" t="str">
        <f t="shared" si="190"/>
        <v>-0,0417681587311643-0,607022880314765i</v>
      </c>
      <c r="AD275" s="20">
        <f t="shared" si="191"/>
        <v>-4.3153853247717491</v>
      </c>
      <c r="AE275" s="44">
        <f t="shared" si="192"/>
        <v>-93.936215841786705</v>
      </c>
      <c r="AF275" t="str">
        <f t="shared" ref="AF275:AF338" si="213">COMPLEX(Adc_ea_iso,0)</f>
        <v>-20791,6666666667</v>
      </c>
      <c r="AG275" t="str">
        <f t="shared" si="193"/>
        <v>23344,2469256296i</v>
      </c>
      <c r="AH275">
        <f t="shared" si="194"/>
        <v>23344.246925629599</v>
      </c>
      <c r="AI275">
        <f t="shared" si="195"/>
        <v>1.5707963267948966</v>
      </c>
      <c r="AJ275" t="str">
        <f t="shared" ref="AJ275:AJ338" si="214">IMSUM(IMPRODUCT(COMPLEX(wpA_ea_iso,0),IMPOWER(COMPLEX(0,2*PI()*O275),2)),COMPLEX(0,wpB_ea_iso*2*PI()*O275),COMPLEX(1,0))</f>
        <v>-9,1654699892601+27,3879140338402i</v>
      </c>
      <c r="AK275">
        <f t="shared" si="196"/>
        <v>28.880853090742463</v>
      </c>
      <c r="AL275">
        <f t="shared" si="197"/>
        <v>1.8937348459228405</v>
      </c>
      <c r="AM275" t="str">
        <f t="shared" ref="AM275:AM338" si="215">IMSUM(COMPLEX(1,0),IMDIV(COMPLEX(0,2*PI()*O275),COMPLEX(wz1_ea_iso,0)))</f>
        <v>1+37,6496014416554i</v>
      </c>
      <c r="AN275">
        <f t="shared" si="198"/>
        <v>37.662879453322482</v>
      </c>
      <c r="AO275">
        <f t="shared" si="199"/>
        <v>1.5442418639541604</v>
      </c>
      <c r="AP275" t="str">
        <f t="shared" ref="AP275:AP338" si="216">IMSUM(COMPLEX(1,0),IMDIV(COMPLEX(0,2*PI()*O275),COMPLEX(wz2_ea_iso,0)))</f>
        <v>1+26,4443629173532i</v>
      </c>
      <c r="AQ275">
        <f t="shared" si="200"/>
        <v>26.463263784058928</v>
      </c>
      <c r="AR275">
        <f t="shared" si="201"/>
        <v>1.5329990938840303</v>
      </c>
      <c r="AS275" s="42" t="str">
        <f t="shared" si="202"/>
        <v>-28,460155132883+11,6086350120453i</v>
      </c>
      <c r="AT275">
        <f t="shared" si="203"/>
        <v>29.7531268842041</v>
      </c>
      <c r="AU275" s="44">
        <f t="shared" si="204"/>
        <v>157.80990524068733</v>
      </c>
      <c r="AV275" s="42" t="str">
        <f t="shared" ref="AV275:AV338" si="217">IMPRODUCT(AC275,AS275)</f>
        <v>8,23543533863838+16,7910940331324i</v>
      </c>
      <c r="AW275" s="20">
        <f t="shared" si="205"/>
        <v>25.437741559432343</v>
      </c>
      <c r="AX275" s="44">
        <f t="shared" si="206"/>
        <v>63.873689398900616</v>
      </c>
    </row>
    <row r="276" spans="14:50" x14ac:dyDescent="0.3">
      <c r="N276" s="8">
        <v>58</v>
      </c>
      <c r="O276" s="35">
        <f t="shared" si="207"/>
        <v>3801.8939632056172</v>
      </c>
      <c r="P276" s="34" t="str">
        <f t="shared" si="208"/>
        <v>324,571428571429</v>
      </c>
      <c r="Q276" s="4" t="str">
        <f t="shared" si="209"/>
        <v>1+546,011526607275i</v>
      </c>
      <c r="R276" s="4">
        <f t="shared" ref="R276:R339" si="218">IMABS(Q276)</f>
        <v>546.01244233809086</v>
      </c>
      <c r="S276" s="4">
        <f t="shared" ref="S276:S339" si="219">IMARGUMENT(Q276)</f>
        <v>1.5689648656751467</v>
      </c>
      <c r="T276" s="4" t="str">
        <f t="shared" si="210"/>
        <v>1+0,00477760085781366i</v>
      </c>
      <c r="U276" s="4">
        <f t="shared" ref="U276:U339" si="220">IMABS(T276)</f>
        <v>1.0000114126698538</v>
      </c>
      <c r="V276" s="4">
        <f t="shared" ref="V276:V339" si="221">IMARGUMENT(T276)</f>
        <v>4.7775645079831987E-3</v>
      </c>
      <c r="W276" t="str">
        <f t="shared" si="211"/>
        <v>1-0,0414722296685214i</v>
      </c>
      <c r="X276" s="4">
        <f t="shared" ref="X276:X339" si="222">IMABS(W276)</f>
        <v>1.000859603457787</v>
      </c>
      <c r="Y276" s="4">
        <f t="shared" ref="Y276:Y339" si="223">IMARGUMENT(W276)</f>
        <v>-4.1448477512283581E-2</v>
      </c>
      <c r="Z276" t="str">
        <f t="shared" si="212"/>
        <v>0,99994218240917+0,0355582897177902i</v>
      </c>
      <c r="AA276" s="4">
        <f t="shared" ref="AA276:AA339" si="224">IMABS(Z276)</f>
        <v>1.0005742152028845</v>
      </c>
      <c r="AB276" s="4">
        <f t="shared" ref="AB276:AB339" si="225">IMARGUMENT(Z276)</f>
        <v>3.5545367955258575E-2</v>
      </c>
      <c r="AC276" s="48" t="str">
        <f t="shared" ref="AC276:AC339" si="226">(IMDIV(IMPRODUCT(P276,T276,W276),IMPRODUCT(Q276,Z276)))</f>
        <v>-0,0418173894812259-0,593143691935523i</v>
      </c>
      <c r="AD276" s="20">
        <f t="shared" ref="AD276:AD339" si="227">20*LOG(IMABS(AC276))</f>
        <v>-4.5152688431414214</v>
      </c>
      <c r="AE276" s="44">
        <f t="shared" ref="AE276:AE339" si="228">(180/PI())*IMARGUMENT(AC276)</f>
        <v>-94.032753118609719</v>
      </c>
      <c r="AF276" t="str">
        <f t="shared" si="213"/>
        <v>-20791,6666666667</v>
      </c>
      <c r="AG276" t="str">
        <f t="shared" ref="AG276:AG339" si="229">COMPLEX(0,1*2*PI()*O276)</f>
        <v>23888,0042890683i</v>
      </c>
      <c r="AH276">
        <f t="shared" ref="AH276:AH339" si="230">IMABS(AG276)</f>
        <v>23888.0042890683</v>
      </c>
      <c r="AI276">
        <f t="shared" ref="AI276:AI339" si="231">IMARGUMENT(AG276)</f>
        <v>1.5707963267948966</v>
      </c>
      <c r="AJ276" t="str">
        <f t="shared" si="214"/>
        <v>-9,6445538301089+28,0258605040164i</v>
      </c>
      <c r="AK276">
        <f t="shared" ref="AK276:AK339" si="232">IMABS(AJ276)</f>
        <v>29.638931754914086</v>
      </c>
      <c r="AL276">
        <f t="shared" ref="AL276:AL339" si="233">IMARGUMENT(AJ276)</f>
        <v>1.9022326677405959</v>
      </c>
      <c r="AM276" t="str">
        <f t="shared" si="215"/>
        <v>1+38,5265733174093i</v>
      </c>
      <c r="AN276">
        <f t="shared" ref="AN276:AN339" si="234">IMABS(AM276)</f>
        <v>38.53954918757762</v>
      </c>
      <c r="AO276">
        <f t="shared" ref="AO276:AO339" si="235">IMARGUMENT(AM276)</f>
        <v>1.5448460428370574</v>
      </c>
      <c r="AP276" t="str">
        <f t="shared" si="216"/>
        <v>1+27,0603312586566i</v>
      </c>
      <c r="AQ276">
        <f t="shared" ref="AQ276:AQ339" si="236">IMABS(AP276)</f>
        <v>27.078802185994629</v>
      </c>
      <c r="AR276">
        <f t="shared" ref="AR276:AR339" si="237">IMARGUMENT(AP276)</f>
        <v>1.5338586724733914</v>
      </c>
      <c r="AS276" s="42" t="str">
        <f t="shared" ref="AS276:AS339" si="238">IMDIV(IMPRODUCT(AF276,AM276,AP276),IMPRODUCT(AG276,AJ276))</f>
        <v>-28,2947124382918+11,7739641632509i</v>
      </c>
      <c r="AT276">
        <f t="shared" ref="AT276:AT339" si="239">20*LOG(IMABS(AS276))</f>
        <v>29.727659374245103</v>
      </c>
      <c r="AU276" s="44">
        <f t="shared" ref="AU276:AU339" si="240">(180/PI())*IMARGUMENT(AS276)</f>
        <v>157.40688304086675</v>
      </c>
      <c r="AV276" s="42" t="str">
        <f t="shared" si="217"/>
        <v>8,16686358279851+16,2904737527497i</v>
      </c>
      <c r="AW276" s="20">
        <f t="shared" ref="AW276:AW339" si="241">20*LOG(IMABS(AV276))</f>
        <v>25.212390531103679</v>
      </c>
      <c r="AX276" s="44">
        <f t="shared" ref="AX276:AX339" si="242">(180/PI())*IMARGUMENT(AV276)</f>
        <v>63.374129922257048</v>
      </c>
    </row>
    <row r="277" spans="14:50" x14ac:dyDescent="0.3">
      <c r="N277" s="8">
        <v>59</v>
      </c>
      <c r="O277" s="35">
        <f t="shared" si="207"/>
        <v>3890.451449942811</v>
      </c>
      <c r="P277" s="34" t="str">
        <f t="shared" si="208"/>
        <v>324,571428571429</v>
      </c>
      <c r="Q277" s="4" t="str">
        <f t="shared" si="209"/>
        <v>1+558,729768881742i</v>
      </c>
      <c r="R277" s="4">
        <f t="shared" si="218"/>
        <v>558.73066376801341</v>
      </c>
      <c r="S277" s="4">
        <f t="shared" si="219"/>
        <v>1.5690065547298788</v>
      </c>
      <c r="T277" s="4" t="str">
        <f t="shared" si="210"/>
        <v>1+0,00488888547771524i</v>
      </c>
      <c r="U277" s="4">
        <f t="shared" si="220"/>
        <v>1.0000119505291996</v>
      </c>
      <c r="V277" s="4">
        <f t="shared" si="221"/>
        <v>4.888846528195297E-3</v>
      </c>
      <c r="W277" t="str">
        <f t="shared" si="211"/>
        <v>1-0,0424382419940559i</v>
      </c>
      <c r="X277" s="4">
        <f t="shared" si="222"/>
        <v>1.0009000971043744</v>
      </c>
      <c r="Y277" s="4">
        <f t="shared" si="223"/>
        <v>-4.2412792336080855E-2</v>
      </c>
      <c r="Z277" t="str">
        <f t="shared" si="212"/>
        <v>0,999939457550063+0,0363865486857035i</v>
      </c>
      <c r="AA277" s="4">
        <f t="shared" si="224"/>
        <v>1.0006012690831305</v>
      </c>
      <c r="AB277" s="4">
        <f t="shared" si="225"/>
        <v>3.6372703215815171E-2</v>
      </c>
      <c r="AC277" s="48" t="str">
        <f t="shared" si="226"/>
        <v>-0,0418642126838532-0,579578994374175i</v>
      </c>
      <c r="AD277" s="20">
        <f t="shared" si="227"/>
        <v>-4.7151469506062309</v>
      </c>
      <c r="AE277" s="44">
        <f t="shared" si="228"/>
        <v>-94.131419723601638</v>
      </c>
      <c r="AF277" t="str">
        <f t="shared" si="213"/>
        <v>-20791,6666666667</v>
      </c>
      <c r="AG277" t="str">
        <f t="shared" si="229"/>
        <v>24444,4273885762i</v>
      </c>
      <c r="AH277">
        <f t="shared" si="230"/>
        <v>24444.427388576201</v>
      </c>
      <c r="AI277">
        <f t="shared" si="231"/>
        <v>1.5707963267948966</v>
      </c>
      <c r="AJ277" t="str">
        <f t="shared" si="214"/>
        <v>-10,1462161967716+28,678666656398i</v>
      </c>
      <c r="AK277">
        <f t="shared" si="232"/>
        <v>30.42057896063822</v>
      </c>
      <c r="AL277">
        <f t="shared" si="233"/>
        <v>1.9108432525043042</v>
      </c>
      <c r="AM277" t="str">
        <f t="shared" si="215"/>
        <v>1+39,4239724922957i</v>
      </c>
      <c r="AN277">
        <f t="shared" si="234"/>
        <v>39.436653091677144</v>
      </c>
      <c r="AO277">
        <f t="shared" si="235"/>
        <v>1.5454364872408575</v>
      </c>
      <c r="AP277" t="str">
        <f t="shared" si="216"/>
        <v>1+27,6906473457791i</v>
      </c>
      <c r="AQ277">
        <f t="shared" si="236"/>
        <v>27.708698100565883</v>
      </c>
      <c r="AR277">
        <f t="shared" si="237"/>
        <v>1.5346987374369014</v>
      </c>
      <c r="AS277" s="42" t="str">
        <f t="shared" si="238"/>
        <v>-28,1235226455272+11,940336874062i</v>
      </c>
      <c r="AT277">
        <f t="shared" si="239"/>
        <v>29.70116262606885</v>
      </c>
      <c r="AU277" s="44">
        <f t="shared" si="240"/>
        <v>156.99549502406742</v>
      </c>
      <c r="AV277" s="42" t="str">
        <f t="shared" si="217"/>
        <v>8,09773757140925+15,7999301707414i</v>
      </c>
      <c r="AW277" s="20">
        <f t="shared" si="241"/>
        <v>24.986015675462617</v>
      </c>
      <c r="AX277" s="44">
        <f t="shared" si="242"/>
        <v>62.864075300465771</v>
      </c>
    </row>
    <row r="278" spans="14:50" x14ac:dyDescent="0.3">
      <c r="N278" s="8">
        <v>60</v>
      </c>
      <c r="O278" s="35">
        <f t="shared" si="207"/>
        <v>3981.0717055349769</v>
      </c>
      <c r="P278" s="34" t="str">
        <f t="shared" si="208"/>
        <v>324,571428571429</v>
      </c>
      <c r="Q278" s="4" t="str">
        <f t="shared" si="209"/>
        <v>1+571,74425707533i</v>
      </c>
      <c r="R278" s="4">
        <f t="shared" si="218"/>
        <v>571.74513159153446</v>
      </c>
      <c r="S278" s="4">
        <f t="shared" si="219"/>
        <v>1.5690472948318808</v>
      </c>
      <c r="T278" s="4" t="str">
        <f t="shared" si="210"/>
        <v>1+0,00500276224940914i</v>
      </c>
      <c r="U278" s="4">
        <f t="shared" si="220"/>
        <v>1.0000125137367653</v>
      </c>
      <c r="V278" s="4">
        <f t="shared" si="221"/>
        <v>5.0027205142747985E-3</v>
      </c>
      <c r="W278" t="str">
        <f t="shared" si="211"/>
        <v>1-0,0434267556372321i</v>
      </c>
      <c r="X278" s="4">
        <f t="shared" si="222"/>
        <v>1.0009424974019117</v>
      </c>
      <c r="Y278" s="4">
        <f t="shared" si="223"/>
        <v>-4.3399487224022579E-2</v>
      </c>
      <c r="Z278" t="str">
        <f t="shared" si="212"/>
        <v>0,999936604272302+0,0372341002833628i</v>
      </c>
      <c r="AA278" s="4">
        <f t="shared" si="224"/>
        <v>1.0006295971974513</v>
      </c>
      <c r="AB278" s="4">
        <f t="shared" si="225"/>
        <v>3.7219265097848897E-2</v>
      </c>
      <c r="AC278" s="48" t="str">
        <f t="shared" si="226"/>
        <v>-0,0419087276878068-0,566321596487289i</v>
      </c>
      <c r="AD278" s="20">
        <f t="shared" si="227"/>
        <v>-4.9150193907983111</v>
      </c>
      <c r="AE278" s="44">
        <f t="shared" si="228"/>
        <v>-94.232267336387977</v>
      </c>
      <c r="AF278" t="str">
        <f t="shared" si="213"/>
        <v>-20791,6666666667</v>
      </c>
      <c r="AG278" t="str">
        <f t="shared" si="229"/>
        <v>25013,8112470457i</v>
      </c>
      <c r="AH278">
        <f t="shared" si="230"/>
        <v>25013.811247045702</v>
      </c>
      <c r="AI278">
        <f t="shared" si="231"/>
        <v>1.5707963267948966</v>
      </c>
      <c r="AJ278" t="str">
        <f t="shared" si="214"/>
        <v>-10,6715211823868+29,3466786174478i</v>
      </c>
      <c r="AK278">
        <f t="shared" si="232"/>
        <v>31.226733902569734</v>
      </c>
      <c r="AL278">
        <f t="shared" si="233"/>
        <v>1.9195673810942246</v>
      </c>
      <c r="AM278" t="str">
        <f t="shared" si="215"/>
        <v>1+40,3422747792353i</v>
      </c>
      <c r="AN278">
        <f t="shared" si="234"/>
        <v>40.354666822603356</v>
      </c>
      <c r="AO278">
        <f t="shared" si="235"/>
        <v>1.5460135085793079</v>
      </c>
      <c r="AP278" t="str">
        <f t="shared" si="216"/>
        <v>1+28,3356453806534i</v>
      </c>
      <c r="AQ278">
        <f t="shared" si="236"/>
        <v>28.35328550870506</v>
      </c>
      <c r="AR278">
        <f t="shared" si="237"/>
        <v>1.5355197294426834</v>
      </c>
      <c r="AS278" s="42" t="str">
        <f t="shared" si="238"/>
        <v>-27,9464719735976+12,1075700685247i</v>
      </c>
      <c r="AT278">
        <f t="shared" si="239"/>
        <v>29.673600604955542</v>
      </c>
      <c r="AU278" s="44">
        <f t="shared" si="240"/>
        <v>156.57573954026313</v>
      </c>
      <c r="AV278" s="42" t="str">
        <f t="shared" si="217"/>
        <v>8,02797949456505+15,3192777673122i</v>
      </c>
      <c r="AW278" s="20">
        <f t="shared" si="241"/>
        <v>24.758581214157218</v>
      </c>
      <c r="AX278" s="44">
        <f t="shared" si="242"/>
        <v>62.343472203875109</v>
      </c>
    </row>
    <row r="279" spans="14:50" x14ac:dyDescent="0.3">
      <c r="N279" s="8">
        <v>61</v>
      </c>
      <c r="O279" s="35">
        <f t="shared" si="207"/>
        <v>4073.8027780411317</v>
      </c>
      <c r="P279" s="34" t="str">
        <f t="shared" si="208"/>
        <v>324,571428571429</v>
      </c>
      <c r="Q279" s="4" t="str">
        <f t="shared" si="209"/>
        <v>1+585,061891641952i</v>
      </c>
      <c r="R279" s="4">
        <f t="shared" si="218"/>
        <v>585.06274625176673</v>
      </c>
      <c r="S279" s="4">
        <f t="shared" si="219"/>
        <v>1.5690871075815529</v>
      </c>
      <c r="T279" s="4" t="str">
        <f t="shared" si="210"/>
        <v>1+0,00511929155186708i</v>
      </c>
      <c r="U279" s="4">
        <f t="shared" si="220"/>
        <v>1.0000131034871458</v>
      </c>
      <c r="V279" s="4">
        <f t="shared" si="221"/>
        <v>5.1192468318965734E-3</v>
      </c>
      <c r="W279" t="str">
        <f t="shared" si="211"/>
        <v>1-0,0444382947210684i</v>
      </c>
      <c r="X279" s="4">
        <f t="shared" si="222"/>
        <v>1.0009868940389364</v>
      </c>
      <c r="Y279" s="4">
        <f t="shared" si="223"/>
        <v>-4.4409077645514418E-2</v>
      </c>
      <c r="Z279" t="str">
        <f t="shared" si="212"/>
        <v>0,999933616523702+0,038101393893844i</v>
      </c>
      <c r="AA279" s="4">
        <f t="shared" si="224"/>
        <v>1.0006592595238522</v>
      </c>
      <c r="AB279" s="4">
        <f t="shared" si="225"/>
        <v>3.8085498270230229E-2</v>
      </c>
      <c r="AC279" s="48" t="str">
        <f t="shared" si="226"/>
        <v>-0,0419510289491581-0,55336447006184i</v>
      </c>
      <c r="AD279" s="20">
        <f t="shared" si="227"/>
        <v>-5.1148858955387588</v>
      </c>
      <c r="AE279" s="44">
        <f t="shared" si="228"/>
        <v>-94.335348747753073</v>
      </c>
      <c r="AF279" t="str">
        <f t="shared" si="213"/>
        <v>-20791,6666666667</v>
      </c>
      <c r="AG279" t="str">
        <f t="shared" si="229"/>
        <v>25596,4577593354i</v>
      </c>
      <c r="AH279">
        <f t="shared" si="230"/>
        <v>25596.457759335401</v>
      </c>
      <c r="AI279">
        <f t="shared" si="231"/>
        <v>1.5707963267948966</v>
      </c>
      <c r="AJ279" t="str">
        <f t="shared" si="214"/>
        <v>-11,221583029258+30,0302505759497i</v>
      </c>
      <c r="AK279">
        <f t="shared" si="232"/>
        <v>32.058382294446147</v>
      </c>
      <c r="AL279">
        <f t="shared" si="233"/>
        <v>1.928405699118261</v>
      </c>
      <c r="AM279" t="str">
        <f t="shared" si="215"/>
        <v>1+41,2819670742561i</v>
      </c>
      <c r="AN279">
        <f t="shared" si="234"/>
        <v>41.294077123964946</v>
      </c>
      <c r="AO279">
        <f t="shared" si="235"/>
        <v>1.5465774112589092</v>
      </c>
      <c r="AP279" t="str">
        <f t="shared" si="216"/>
        <v>1+28,9956673497751i</v>
      </c>
      <c r="AQ279">
        <f t="shared" si="236"/>
        <v>29.01290618085017</v>
      </c>
      <c r="AR279">
        <f t="shared" si="237"/>
        <v>1.5363220793620656</v>
      </c>
      <c r="AS279" s="42" t="str">
        <f t="shared" si="238"/>
        <v>-27,7634515729916+12,2754712310105i</v>
      </c>
      <c r="AT279">
        <f t="shared" si="239"/>
        <v>29.644936604318644</v>
      </c>
      <c r="AU279" s="44">
        <f t="shared" si="240"/>
        <v>156.14762172716203</v>
      </c>
      <c r="AV279" s="42" t="str">
        <f t="shared" si="217"/>
        <v>7,95751499317461+14,8483390177994i</v>
      </c>
      <c r="AW279" s="20">
        <f t="shared" si="241"/>
        <v>24.530050708779896</v>
      </c>
      <c r="AX279" s="44">
        <f t="shared" si="242"/>
        <v>61.812272979408988</v>
      </c>
    </row>
    <row r="280" spans="14:50" x14ac:dyDescent="0.3">
      <c r="N280" s="8">
        <v>62</v>
      </c>
      <c r="O280" s="35">
        <f t="shared" si="207"/>
        <v>4168.6938347033583</v>
      </c>
      <c r="P280" s="34" t="str">
        <f t="shared" si="208"/>
        <v>324,571428571429</v>
      </c>
      <c r="Q280" s="4" t="str">
        <f t="shared" si="209"/>
        <v>1+598,689733767733i</v>
      </c>
      <c r="R280" s="4">
        <f t="shared" si="218"/>
        <v>598.6905689242808</v>
      </c>
      <c r="S280" s="4">
        <f t="shared" si="219"/>
        <v>1.5691260140876366</v>
      </c>
      <c r="T280" s="4" t="str">
        <f t="shared" si="210"/>
        <v>1+0,00523853517046766i</v>
      </c>
      <c r="U280" s="4">
        <f t="shared" si="220"/>
        <v>1.0000137210312328</v>
      </c>
      <c r="V280" s="4">
        <f t="shared" si="221"/>
        <v>5.2384872521914431E-3</v>
      </c>
      <c r="W280" t="str">
        <f t="shared" si="211"/>
        <v>1-0,0454733955769762i</v>
      </c>
      <c r="X280" s="4">
        <f t="shared" si="222"/>
        <v>1.0010333809145928</v>
      </c>
      <c r="Y280" s="4">
        <f t="shared" si="223"/>
        <v>-4.5442090661689041E-2</v>
      </c>
      <c r="Z280" t="str">
        <f t="shared" si="212"/>
        <v>0,99993048796685+0,0389888893676994i</v>
      </c>
      <c r="AA280" s="4">
        <f t="shared" si="224"/>
        <v>1.0006903188598106</v>
      </c>
      <c r="AB280" s="4">
        <f t="shared" si="225"/>
        <v>3.8971857532960695E-2</v>
      </c>
      <c r="AC280" s="48" t="str">
        <f t="shared" si="226"/>
        <v>-0,0419912062319271-0,540700746093687i</v>
      </c>
      <c r="AD280" s="20">
        <f t="shared" si="227"/>
        <v>-5.3147461842887287</v>
      </c>
      <c r="AE280" s="44">
        <f t="shared" si="228"/>
        <v>-94.440717884412678</v>
      </c>
      <c r="AF280" t="str">
        <f t="shared" si="213"/>
        <v>-20791,6666666667</v>
      </c>
      <c r="AG280" t="str">
        <f t="shared" si="229"/>
        <v>26192,6758523383i</v>
      </c>
      <c r="AH280">
        <f t="shared" si="230"/>
        <v>26192.6758523383</v>
      </c>
      <c r="AI280">
        <f t="shared" si="231"/>
        <v>1.5707963267948966</v>
      </c>
      <c r="AJ280" t="str">
        <f t="shared" si="214"/>
        <v>-11,7975684923106+30,7297449708045i</v>
      </c>
      <c r="AK280">
        <f t="shared" si="232"/>
        <v>32.916558876976254</v>
      </c>
      <c r="AL280">
        <f t="shared" si="233"/>
        <v>1.9373587102434899</v>
      </c>
      <c r="AM280" t="str">
        <f t="shared" si="215"/>
        <v>1+42,2435476146512i</v>
      </c>
      <c r="AN280">
        <f t="shared" si="234"/>
        <v>42.255382084076615</v>
      </c>
      <c r="AO280">
        <f t="shared" si="235"/>
        <v>1.5471284928329982</v>
      </c>
      <c r="AP280" t="str">
        <f t="shared" si="216"/>
        <v>1+29,6710632055288i</v>
      </c>
      <c r="AQ280">
        <f t="shared" si="236"/>
        <v>29.687909858164236</v>
      </c>
      <c r="AR280">
        <f t="shared" si="237"/>
        <v>1.5371062084770339</v>
      </c>
      <c r="AS280" s="42" t="str">
        <f t="shared" si="238"/>
        <v>-27,5743582176241+12,4438383744229i</v>
      </c>
      <c r="AT280">
        <f t="shared" si="239"/>
        <v>29.615133277563501</v>
      </c>
      <c r="AU280" s="44">
        <f t="shared" si="240"/>
        <v>155.71115391299648</v>
      </c>
      <c r="AV280" s="42" t="str">
        <f t="shared" si="217"/>
        <v>7,886273255949+14,3869442778268i</v>
      </c>
      <c r="AW280" s="20">
        <f t="shared" si="241"/>
        <v>24.300387093274782</v>
      </c>
      <c r="AX280" s="44">
        <f t="shared" si="242"/>
        <v>61.270436028583845</v>
      </c>
    </row>
    <row r="281" spans="14:50" x14ac:dyDescent="0.3">
      <c r="N281" s="8">
        <v>63</v>
      </c>
      <c r="O281" s="35">
        <f t="shared" si="207"/>
        <v>4265.7951880159299</v>
      </c>
      <c r="P281" s="34" t="str">
        <f t="shared" si="208"/>
        <v>324,571428571429</v>
      </c>
      <c r="Q281" s="4" t="str">
        <f t="shared" si="209"/>
        <v>1+612,635009114951i</v>
      </c>
      <c r="R281" s="4">
        <f t="shared" si="218"/>
        <v>612.63582526104051</v>
      </c>
      <c r="S281" s="4">
        <f t="shared" si="219"/>
        <v>1.5691640349784055</v>
      </c>
      <c r="T281" s="4" t="str">
        <f t="shared" si="210"/>
        <v>1+0,00536055632975582i</v>
      </c>
      <c r="U281" s="4">
        <f t="shared" si="220"/>
        <v>1.0000143676788671</v>
      </c>
      <c r="V281" s="4">
        <f t="shared" si="221"/>
        <v>5.360504984437622E-3</v>
      </c>
      <c r="W281" t="str">
        <f t="shared" si="211"/>
        <v>1-0,0465326070291304i</v>
      </c>
      <c r="X281" s="4">
        <f t="shared" si="222"/>
        <v>1.0010820563355072</v>
      </c>
      <c r="Y281" s="4">
        <f t="shared" si="223"/>
        <v>-4.6499065165944958E-2</v>
      </c>
      <c r="Z281" t="str">
        <f t="shared" si="212"/>
        <v>0,999927211965656+0,0398970572667764i</v>
      </c>
      <c r="AA281" s="4">
        <f t="shared" si="224"/>
        <v>1.0007228409544566</v>
      </c>
      <c r="AB281" s="4">
        <f t="shared" si="225"/>
        <v>3.9878808037035432E-2</v>
      </c>
      <c r="AC281" s="48" t="str">
        <f t="shared" si="226"/>
        <v>-0,0420293447988003-0,52832371115044i</v>
      </c>
      <c r="AD281" s="20">
        <f t="shared" si="227"/>
        <v>-5.5145999635766145</v>
      </c>
      <c r="AE281" s="44">
        <f t="shared" si="228"/>
        <v>-94.548429834161141</v>
      </c>
      <c r="AF281" t="str">
        <f t="shared" si="213"/>
        <v>-20791,6666666667</v>
      </c>
      <c r="AG281" t="str">
        <f t="shared" si="229"/>
        <v>26802,7816487791i</v>
      </c>
      <c r="AH281">
        <f t="shared" si="230"/>
        <v>26802.781648779099</v>
      </c>
      <c r="AI281">
        <f t="shared" si="231"/>
        <v>1.5707963267948966</v>
      </c>
      <c r="AJ281" t="str">
        <f t="shared" si="214"/>
        <v>-12,4006993139351+31,4455326831989i</v>
      </c>
      <c r="AK281">
        <f t="shared" si="232"/>
        <v>33.802350054467517</v>
      </c>
      <c r="AL281">
        <f t="shared" si="233"/>
        <v>1.9464267695216158</v>
      </c>
      <c r="AM281" t="str">
        <f t="shared" si="215"/>
        <v>1+43,2275262431509i</v>
      </c>
      <c r="AN281">
        <f t="shared" si="234"/>
        <v>43.239091400054882</v>
      </c>
      <c r="AO281">
        <f t="shared" si="235"/>
        <v>1.5476670441526847</v>
      </c>
      <c r="AP281" t="str">
        <f t="shared" si="216"/>
        <v>1+30,362191051737i</v>
      </c>
      <c r="AQ281">
        <f t="shared" si="236"/>
        <v>30.378654437979609</v>
      </c>
      <c r="AR281">
        <f t="shared" si="237"/>
        <v>1.5378725286839932</v>
      </c>
      <c r="AS281" s="42" t="str">
        <f t="shared" si="238"/>
        <v>-27,379095023732+12,6124600550609i</v>
      </c>
      <c r="AT281">
        <f t="shared" si="239"/>
        <v>29.584152674317444</v>
      </c>
      <c r="AU281" s="44">
        <f t="shared" si="240"/>
        <v>155.26635601926887</v>
      </c>
      <c r="AV281" s="42" t="str">
        <f t="shared" si="217"/>
        <v>7,81418712805801+13,9349316584634i</v>
      </c>
      <c r="AW281" s="20">
        <f t="shared" si="241"/>
        <v>24.069552710740837</v>
      </c>
      <c r="AX281" s="44">
        <f t="shared" si="242"/>
        <v>60.717926185107743</v>
      </c>
    </row>
    <row r="282" spans="14:50" x14ac:dyDescent="0.3">
      <c r="N282" s="8">
        <v>64</v>
      </c>
      <c r="O282" s="35">
        <f t="shared" si="207"/>
        <v>4365.1583224016631</v>
      </c>
      <c r="P282" s="34" t="str">
        <f t="shared" si="208"/>
        <v>324,571428571429</v>
      </c>
      <c r="Q282" s="4" t="str">
        <f t="shared" si="209"/>
        <v>1+626,905111653184i</v>
      </c>
      <c r="R282" s="4">
        <f t="shared" si="218"/>
        <v>626.90590922154422</v>
      </c>
      <c r="S282" s="4">
        <f t="shared" si="219"/>
        <v>1.5692011904125989</v>
      </c>
      <c r="T282" s="4" t="str">
        <f t="shared" si="210"/>
        <v>1+0,00548541972696536i</v>
      </c>
      <c r="U282" s="4">
        <f t="shared" si="220"/>
        <v>1.0000150448016174</v>
      </c>
      <c r="V282" s="4">
        <f t="shared" si="221"/>
        <v>5.4853647095103814E-3</v>
      </c>
      <c r="W282" t="str">
        <f t="shared" si="211"/>
        <v>1-0,0476164906854632i</v>
      </c>
      <c r="X282" s="4">
        <f t="shared" si="222"/>
        <v>1.0011330232217888</v>
      </c>
      <c r="Y282" s="4">
        <f t="shared" si="223"/>
        <v>-4.7580552128006673E-2</v>
      </c>
      <c r="Z282" t="str">
        <f t="shared" si="212"/>
        <v>0,999923781571281+0,0408263791137161i</v>
      </c>
      <c r="AA282" s="4">
        <f t="shared" si="224"/>
        <v>1.0007568946469205</v>
      </c>
      <c r="AB282" s="4">
        <f t="shared" si="225"/>
        <v>4.0806825508283934E-2</v>
      </c>
      <c r="AC282" s="48" t="str">
        <f t="shared" si="226"/>
        <v>-0,0420655255923319-0,516226803816856i</v>
      </c>
      <c r="AD282" s="20">
        <f t="shared" si="227"/>
        <v>-5.7144469263996278</v>
      </c>
      <c r="AE282" s="44">
        <f t="shared" si="228"/>
        <v>-94.658540871390059</v>
      </c>
      <c r="AF282" t="str">
        <f t="shared" si="213"/>
        <v>-20791,6666666667</v>
      </c>
      <c r="AG282" t="str">
        <f t="shared" si="229"/>
        <v>27427,0986348268i</v>
      </c>
      <c r="AH282">
        <f t="shared" si="230"/>
        <v>27427.098634826802</v>
      </c>
      <c r="AI282">
        <f t="shared" si="231"/>
        <v>1.5707963267948966</v>
      </c>
      <c r="AJ282" t="str">
        <f t="shared" si="214"/>
        <v>-13,0322548154675+32,1779932332529i</v>
      </c>
      <c r="AK282">
        <f t="shared" si="232"/>
        <v>34.716896665666205</v>
      </c>
      <c r="AL282">
        <f t="shared" si="233"/>
        <v>1.9556100767428195</v>
      </c>
      <c r="AM282" t="str">
        <f t="shared" si="215"/>
        <v>1+44,2344246782486i</v>
      </c>
      <c r="AN282">
        <f t="shared" si="234"/>
        <v>44.245726648069066</v>
      </c>
      <c r="AO282">
        <f t="shared" si="235"/>
        <v>1.5481933495146905</v>
      </c>
      <c r="AP282" t="str">
        <f t="shared" si="216"/>
        <v>1+31,0694173335318i</v>
      </c>
      <c r="AQ282">
        <f t="shared" si="236"/>
        <v>31.085506163567068</v>
      </c>
      <c r="AR282">
        <f t="shared" si="237"/>
        <v>1.5386214426938507</v>
      </c>
      <c r="AS282" s="42" t="str">
        <f t="shared" si="238"/>
        <v>-27,1775721930894+12,7811154382709i</v>
      </c>
      <c r="AT282">
        <f t="shared" si="239"/>
        <v>29.551956281186797</v>
      </c>
      <c r="AU282" s="44">
        <f t="shared" si="240"/>
        <v>154.81325596148298</v>
      </c>
      <c r="AV282" s="42" t="str">
        <f t="shared" si="217"/>
        <v>7,74119323053871+13,4921468901733i</v>
      </c>
      <c r="AW282" s="20">
        <f t="shared" si="241"/>
        <v>23.837509354787187</v>
      </c>
      <c r="AX282" s="44">
        <f t="shared" si="242"/>
        <v>60.154715090092992</v>
      </c>
    </row>
    <row r="283" spans="14:50" x14ac:dyDescent="0.3">
      <c r="N283" s="8">
        <v>65</v>
      </c>
      <c r="O283" s="35">
        <f t="shared" si="207"/>
        <v>4466.8359215096343</v>
      </c>
      <c r="P283" s="34" t="str">
        <f t="shared" si="208"/>
        <v>324,571428571429</v>
      </c>
      <c r="Q283" s="4" t="str">
        <f t="shared" si="209"/>
        <v>1+641,507607579687i</v>
      </c>
      <c r="R283" s="4">
        <f t="shared" si="218"/>
        <v>641.50838699319718</v>
      </c>
      <c r="S283" s="4">
        <f t="shared" si="219"/>
        <v>1.5692375000901091</v>
      </c>
      <c r="T283" s="4" t="str">
        <f t="shared" si="210"/>
        <v>1+0,00561319156632226i</v>
      </c>
      <c r="U283" s="4">
        <f t="shared" si="220"/>
        <v>1.0000157538356884</v>
      </c>
      <c r="V283" s="4">
        <f t="shared" si="221"/>
        <v>5.613132614107284E-3</v>
      </c>
      <c r="W283" t="str">
        <f t="shared" si="211"/>
        <v>1-0,0487256212354363i</v>
      </c>
      <c r="X283" s="4">
        <f t="shared" si="222"/>
        <v>1.0011863893225772</v>
      </c>
      <c r="Y283" s="4">
        <f t="shared" si="223"/>
        <v>-4.8687114841443724E-2</v>
      </c>
      <c r="Z283" t="str">
        <f t="shared" si="212"/>
        <v>0,999920189507401+0,041777347647263i</v>
      </c>
      <c r="AA283" s="4">
        <f t="shared" si="224"/>
        <v>1.0007925520111332</v>
      </c>
      <c r="AB283" s="4">
        <f t="shared" si="225"/>
        <v>4.1756396475200352E-2</v>
      </c>
      <c r="AC283" s="48" t="str">
        <f t="shared" si="226"/>
        <v>-0,0420998254070171-0,504403611220864i</v>
      </c>
      <c r="AD283" s="20">
        <f t="shared" si="227"/>
        <v>-5.9142867515993345</v>
      </c>
      <c r="AE283" s="44">
        <f t="shared" si="228"/>
        <v>-94.771108482975208</v>
      </c>
      <c r="AF283" t="str">
        <f t="shared" si="213"/>
        <v>-20791,6666666667</v>
      </c>
      <c r="AG283" t="str">
        <f t="shared" si="229"/>
        <v>28065,9578316113i</v>
      </c>
      <c r="AH283">
        <f t="shared" si="230"/>
        <v>28065.9578316113</v>
      </c>
      <c r="AI283">
        <f t="shared" si="231"/>
        <v>1.5707963267948966</v>
      </c>
      <c r="AJ283" t="str">
        <f t="shared" si="214"/>
        <v>-13,6935746108007+32,9275149812452i</v>
      </c>
      <c r="AK283">
        <f t="shared" si="232"/>
        <v>35.661396894424826</v>
      </c>
      <c r="AL283">
        <f t="shared" si="233"/>
        <v>1.9649086698553493</v>
      </c>
      <c r="AM283" t="str">
        <f t="shared" si="215"/>
        <v>1+45,2647767908227i</v>
      </c>
      <c r="AN283">
        <f t="shared" si="234"/>
        <v>45.275821559890012</v>
      </c>
      <c r="AO283">
        <f t="shared" si="235"/>
        <v>1.5487076868061349</v>
      </c>
      <c r="AP283" t="str">
        <f t="shared" si="216"/>
        <v>1+31,7931170316493i</v>
      </c>
      <c r="AQ283">
        <f t="shared" si="236"/>
        <v>31.80883981832957</v>
      </c>
      <c r="AR283">
        <f t="shared" si="237"/>
        <v>1.5393533442284462</v>
      </c>
      <c r="AS283" s="42" t="str">
        <f t="shared" si="238"/>
        <v>-26,9697077774119+12,949574418973i</v>
      </c>
      <c r="AT283">
        <f t="shared" si="239"/>
        <v>29.518505067181415</v>
      </c>
      <c r="AU283" s="44">
        <f t="shared" si="240"/>
        <v>154.351890045723</v>
      </c>
      <c r="AV283" s="42" t="str">
        <f t="shared" si="217"/>
        <v>7,66723208941062+13,058443174364i</v>
      </c>
      <c r="AW283" s="20">
        <f t="shared" si="241"/>
        <v>23.60421831558206</v>
      </c>
      <c r="AX283" s="44">
        <f t="shared" si="242"/>
        <v>59.580781562747696</v>
      </c>
    </row>
    <row r="284" spans="14:50" x14ac:dyDescent="0.3">
      <c r="N284" s="8">
        <v>66</v>
      </c>
      <c r="O284" s="35">
        <f t="shared" ref="O284:O318" si="243">10^(3+(N284/100))</f>
        <v>4570.8818961487532</v>
      </c>
      <c r="P284" s="34" t="str">
        <f t="shared" si="208"/>
        <v>324,571428571429</v>
      </c>
      <c r="Q284" s="4" t="str">
        <f t="shared" si="209"/>
        <v>1+656,450239331086i</v>
      </c>
      <c r="R284" s="4">
        <f t="shared" si="218"/>
        <v>656.45100100299942</v>
      </c>
      <c r="S284" s="4">
        <f t="shared" si="219"/>
        <v>1.5692729832624246</v>
      </c>
      <c r="T284" s="4" t="str">
        <f t="shared" si="210"/>
        <v>1+0,005743939594147i</v>
      </c>
      <c r="U284" s="4">
        <f t="shared" si="220"/>
        <v>1.0000164962849669</v>
      </c>
      <c r="V284" s="4">
        <f t="shared" si="221"/>
        <v>5.7438764257668447E-3</v>
      </c>
      <c r="W284" t="str">
        <f t="shared" si="211"/>
        <v>1-0,0498605867547483i</v>
      </c>
      <c r="X284" s="4">
        <f t="shared" si="222"/>
        <v>1.0012422674415657</v>
      </c>
      <c r="Y284" s="4">
        <f t="shared" si="223"/>
        <v>-4.9819329174572276E-2</v>
      </c>
      <c r="Z284" t="str">
        <f t="shared" si="212"/>
        <v>0,999916428154766+0,0427504670835211i</v>
      </c>
      <c r="AA284" s="4">
        <f t="shared" si="224"/>
        <v>1.0008298885073548</v>
      </c>
      <c r="AB284" s="4">
        <f t="shared" si="225"/>
        <v>4.2728018500770494E-2</v>
      </c>
      <c r="AC284" s="48" t="str">
        <f t="shared" si="226"/>
        <v>-0,0421323170526067-0,492847865638449i</v>
      </c>
      <c r="AD284" s="20">
        <f t="shared" si="227"/>
        <v>-6.1141191032092141</v>
      </c>
      <c r="AE284" s="44">
        <f t="shared" si="228"/>
        <v>-94.886191394526676</v>
      </c>
      <c r="AF284" t="str">
        <f t="shared" si="213"/>
        <v>-20791,6666666667</v>
      </c>
      <c r="AG284" t="str">
        <f t="shared" si="229"/>
        <v>28719,697970735i</v>
      </c>
      <c r="AH284">
        <f t="shared" si="230"/>
        <v>28719.697970735</v>
      </c>
      <c r="AI284">
        <f t="shared" si="231"/>
        <v>1.5707963267948966</v>
      </c>
      <c r="AJ284" t="str">
        <f t="shared" si="214"/>
        <v>-14,3860614478853+33,6944953335278i</v>
      </c>
      <c r="AK284">
        <f t="shared" si="232"/>
        <v>36.637109325975189</v>
      </c>
      <c r="AL284">
        <f t="shared" si="233"/>
        <v>1.9743224184911259</v>
      </c>
      <c r="AM284" t="str">
        <f t="shared" si="215"/>
        <v>1+46,3191288872014i</v>
      </c>
      <c r="AN284">
        <f t="shared" si="234"/>
        <v>46.329922305883215</v>
      </c>
      <c r="AO284">
        <f t="shared" si="235"/>
        <v>1.5492103276463201</v>
      </c>
      <c r="AP284" t="str">
        <f t="shared" si="216"/>
        <v>1+32,5336738612486i</v>
      </c>
      <c r="AQ284">
        <f t="shared" si="236"/>
        <v>32.549038924522648</v>
      </c>
      <c r="AR284">
        <f t="shared" si="237"/>
        <v>1.5400686182133485</v>
      </c>
      <c r="AS284" s="42" t="str">
        <f t="shared" si="238"/>
        <v>-26,7554284602783+13,1175978010348i</v>
      </c>
      <c r="AT284">
        <f t="shared" si="239"/>
        <v>29.483759533923305</v>
      </c>
      <c r="AU284" s="44">
        <f t="shared" si="240"/>
        <v>153.88230335878001</v>
      </c>
      <c r="AV284" s="42" t="str">
        <f t="shared" si="217"/>
        <v>7,5922482733104+12,6336810213686i</v>
      </c>
      <c r="AW284" s="20">
        <f t="shared" si="241"/>
        <v>23.369640430714092</v>
      </c>
      <c r="AX284" s="44">
        <f t="shared" si="242"/>
        <v>58.996111964253316</v>
      </c>
    </row>
    <row r="285" spans="14:50" x14ac:dyDescent="0.3">
      <c r="N285" s="8">
        <v>67</v>
      </c>
      <c r="O285" s="35">
        <f t="shared" si="243"/>
        <v>4677.3514128719844</v>
      </c>
      <c r="P285" s="34" t="str">
        <f t="shared" si="208"/>
        <v>324,571428571429</v>
      </c>
      <c r="Q285" s="4" t="str">
        <f t="shared" si="209"/>
        <v>1+671,740929688523i</v>
      </c>
      <c r="R285" s="4">
        <f t="shared" si="218"/>
        <v>671.74167402268654</v>
      </c>
      <c r="S285" s="4">
        <f t="shared" si="219"/>
        <v>1.5693076587428356</v>
      </c>
      <c r="T285" s="4" t="str">
        <f t="shared" si="210"/>
        <v>1+0,00587773313477458i</v>
      </c>
      <c r="U285" s="4">
        <f t="shared" si="220"/>
        <v>1.000017273724211</v>
      </c>
      <c r="V285" s="4">
        <f t="shared" si="221"/>
        <v>5.8776654486989086E-3</v>
      </c>
      <c r="W285" t="str">
        <f t="shared" si="211"/>
        <v>1-0,0510219890171405i</v>
      </c>
      <c r="X285" s="4">
        <f t="shared" si="222"/>
        <v>1.0013007756729568</v>
      </c>
      <c r="Y285" s="4">
        <f t="shared" si="223"/>
        <v>-5.0977783824653525E-2</v>
      </c>
      <c r="Z285" t="str">
        <f t="shared" si="212"/>
        <v>0,999912489535042+0,0437462533832962i</v>
      </c>
      <c r="AA285" s="4">
        <f t="shared" si="224"/>
        <v>1.0008689831407711</v>
      </c>
      <c r="AB285" s="4">
        <f t="shared" si="225"/>
        <v>4.3722200418296664E-2</v>
      </c>
      <c r="AC285" s="48" t="str">
        <f t="shared" si="226"/>
        <v>-0,0421630695090121-0,481553441175568i</v>
      </c>
      <c r="AD285" s="20">
        <f t="shared" si="227"/>
        <v>-6.3139436297739584</v>
      </c>
      <c r="AE285" s="44">
        <f t="shared" si="228"/>
        <v>-95.003849596997071</v>
      </c>
      <c r="AF285" t="str">
        <f t="shared" si="213"/>
        <v>-20791,6666666667</v>
      </c>
      <c r="AG285" t="str">
        <f t="shared" si="229"/>
        <v>29388,6656738729i</v>
      </c>
      <c r="AH285">
        <f t="shared" si="230"/>
        <v>29388.6656738729</v>
      </c>
      <c r="AI285">
        <f t="shared" si="231"/>
        <v>1.5707963267948966</v>
      </c>
      <c r="AJ285" t="str">
        <f t="shared" si="214"/>
        <v>-15,111184184146+34,4793409532355i</v>
      </c>
      <c r="AK285">
        <f t="shared" si="232"/>
        <v>37.645356154732383</v>
      </c>
      <c r="AL285">
        <f t="shared" si="233"/>
        <v>1.9838510176403861</v>
      </c>
      <c r="AM285" t="str">
        <f t="shared" si="215"/>
        <v>1+47,3980399988222i</v>
      </c>
      <c r="AN285">
        <f t="shared" si="234"/>
        <v>47.408587784598154</v>
      </c>
      <c r="AO285">
        <f t="shared" si="235"/>
        <v>1.5497015375255614</v>
      </c>
      <c r="AP285" t="str">
        <f t="shared" si="216"/>
        <v>1+33,2914804753632i</v>
      </c>
      <c r="AQ285">
        <f t="shared" si="236"/>
        <v>33.306495946609111</v>
      </c>
      <c r="AR285">
        <f t="shared" si="237"/>
        <v>1.5407676409670474</v>
      </c>
      <c r="AS285" s="42" t="str">
        <f t="shared" si="238"/>
        <v>-26,5346703523627+13,2849375393055i</v>
      </c>
      <c r="AT285">
        <f t="shared" si="239"/>
        <v>29.447679770735942</v>
      </c>
      <c r="AU285" s="44">
        <f t="shared" si="240"/>
        <v>153.4045501493616</v>
      </c>
      <c r="AV285" s="42" t="str">
        <f t="shared" si="217"/>
        <v>7,51619053832044+12,217728073747i</v>
      </c>
      <c r="AW285" s="20">
        <f t="shared" si="241"/>
        <v>23.133736140962004</v>
      </c>
      <c r="AX285" s="44">
        <f t="shared" si="242"/>
        <v>58.400700552364604</v>
      </c>
    </row>
    <row r="286" spans="14:50" x14ac:dyDescent="0.3">
      <c r="N286" s="8">
        <v>68</v>
      </c>
      <c r="O286" s="35">
        <f t="shared" si="243"/>
        <v>4786.3009232263848</v>
      </c>
      <c r="P286" s="34" t="str">
        <f t="shared" si="208"/>
        <v>324,571428571429</v>
      </c>
      <c r="Q286" s="4" t="str">
        <f t="shared" si="209"/>
        <v>1+687,387785978425i</v>
      </c>
      <c r="R286" s="4">
        <f t="shared" si="218"/>
        <v>687.38851336949244</v>
      </c>
      <c r="S286" s="4">
        <f t="shared" si="219"/>
        <v>1.569341544916407</v>
      </c>
      <c r="T286" s="4" t="str">
        <f t="shared" si="210"/>
        <v>1+0,00601464312731122i</v>
      </c>
      <c r="U286" s="4">
        <f t="shared" si="220"/>
        <v>1.0000180878023901</v>
      </c>
      <c r="V286" s="4">
        <f t="shared" si="221"/>
        <v>6.0145706004452928E-3</v>
      </c>
      <c r="W286" t="str">
        <f t="shared" si="211"/>
        <v>1-0,0522104438134654i</v>
      </c>
      <c r="X286" s="4">
        <f t="shared" si="222"/>
        <v>1.0013620376483219</v>
      </c>
      <c r="Y286" s="4">
        <f t="shared" si="223"/>
        <v>-5.2163080575286826E-2</v>
      </c>
      <c r="Z286" t="str">
        <f t="shared" si="212"/>
        <v>0,999908365293889+0,0447652345256652i</v>
      </c>
      <c r="AA286" s="4">
        <f t="shared" si="224"/>
        <v>1.0009099186274635</v>
      </c>
      <c r="AB286" s="4">
        <f t="shared" si="225"/>
        <v>4.4739462571214639E-2</v>
      </c>
      <c r="AC286" s="48" t="str">
        <f t="shared" si="226"/>
        <v>-0,0421921480731316-0,470514350525387i</v>
      </c>
      <c r="AD286" s="20">
        <f t="shared" si="227"/>
        <v>-6.5137599636388996</v>
      </c>
      <c r="AE286" s="44">
        <f t="shared" si="228"/>
        <v>-95.124144373640348</v>
      </c>
      <c r="AF286" t="str">
        <f t="shared" si="213"/>
        <v>-20791,6666666667</v>
      </c>
      <c r="AG286" t="str">
        <f t="shared" si="229"/>
        <v>30073,2156365561i</v>
      </c>
      <c r="AH286">
        <f t="shared" si="230"/>
        <v>30073.215636556099</v>
      </c>
      <c r="AI286">
        <f t="shared" si="231"/>
        <v>1.5707963267948966</v>
      </c>
      <c r="AJ286" t="str">
        <f t="shared" si="214"/>
        <v>-15,8704809021255+35,2824679759047i</v>
      </c>
      <c r="AK286">
        <f t="shared" si="232"/>
        <v>38.687526549722335</v>
      </c>
      <c r="AL286">
        <f t="shared" si="233"/>
        <v>1.9934939815209913</v>
      </c>
      <c r="AM286" t="str">
        <f t="shared" si="215"/>
        <v>1+48,5020821786376i</v>
      </c>
      <c r="AN286">
        <f t="shared" si="234"/>
        <v>48.51238991910536</v>
      </c>
      <c r="AO286">
        <f t="shared" si="235"/>
        <v>1.5501815759411142</v>
      </c>
      <c r="AP286" t="str">
        <f t="shared" si="216"/>
        <v>1+34,0669386730907i</v>
      </c>
      <c r="AQ286">
        <f t="shared" si="236"/>
        <v>34.081612499353994</v>
      </c>
      <c r="AR286">
        <f t="shared" si="237"/>
        <v>1.5414507803865733</v>
      </c>
      <c r="AS286" s="42" t="str">
        <f t="shared" si="238"/>
        <v>-26,3073797951983+13,4513370478723i</v>
      </c>
      <c r="AT286">
        <f t="shared" si="239"/>
        <v>29.410225514677574</v>
      </c>
      <c r="AU286" s="44">
        <f t="shared" si="240"/>
        <v>152.9186941977791</v>
      </c>
      <c r="AV286" s="42" t="str">
        <f t="shared" si="217"/>
        <v>7,43901197851283+11,810458913857i</v>
      </c>
      <c r="AW286" s="20">
        <f t="shared" si="241"/>
        <v>22.896465551038681</v>
      </c>
      <c r="AX286" s="44">
        <f t="shared" si="242"/>
        <v>57.794549824138784</v>
      </c>
    </row>
    <row r="287" spans="14:50" x14ac:dyDescent="0.3">
      <c r="N287" s="8">
        <v>69</v>
      </c>
      <c r="O287" s="35">
        <f t="shared" si="243"/>
        <v>4897.7881936844633</v>
      </c>
      <c r="P287" s="34" t="str">
        <f t="shared" si="208"/>
        <v>324,571428571429</v>
      </c>
      <c r="Q287" s="4" t="str">
        <f t="shared" si="209"/>
        <v>1+703,399104371106i</v>
      </c>
      <c r="R287" s="4">
        <f t="shared" si="218"/>
        <v>703.39981520474839</v>
      </c>
      <c r="S287" s="4">
        <f t="shared" si="219"/>
        <v>1.5693746597497251</v>
      </c>
      <c r="T287" s="4" t="str">
        <f t="shared" si="210"/>
        <v>1+0,00615474216324718i</v>
      </c>
      <c r="U287" s="4">
        <f t="shared" si="220"/>
        <v>1.0000189402461817</v>
      </c>
      <c r="V287" s="4">
        <f t="shared" si="221"/>
        <v>6.1546644493896858E-3</v>
      </c>
      <c r="W287" t="str">
        <f t="shared" si="211"/>
        <v>1-0,0534265812781873i</v>
      </c>
      <c r="X287" s="4">
        <f t="shared" si="222"/>
        <v>1.0014261827948552</v>
      </c>
      <c r="Y287" s="4">
        <f t="shared" si="223"/>
        <v>-5.3375834556882558E-2</v>
      </c>
      <c r="Z287" t="str">
        <f t="shared" si="212"/>
        <v>0,999904046683239+0,0458079507879178i</v>
      </c>
      <c r="AA287" s="4">
        <f t="shared" si="224"/>
        <v>1.0009527815680943</v>
      </c>
      <c r="AB287" s="4">
        <f t="shared" si="225"/>
        <v>4.5780337056890469E-2</v>
      </c>
      <c r="AC287" s="48" t="str">
        <f t="shared" si="226"/>
        <v>-0,0422196144979168-0,459724741799149i</v>
      </c>
      <c r="AD287" s="20">
        <f t="shared" si="227"/>
        <v>-6.7135677202083368</v>
      </c>
      <c r="AE287" s="44">
        <f t="shared" si="228"/>
        <v>-95.247138327313692</v>
      </c>
      <c r="AF287" t="str">
        <f t="shared" si="213"/>
        <v>-20791,6666666667</v>
      </c>
      <c r="AG287" t="str">
        <f t="shared" si="229"/>
        <v>30773,7108162359i</v>
      </c>
      <c r="AH287">
        <f t="shared" si="230"/>
        <v>30773.7108162359</v>
      </c>
      <c r="AI287">
        <f t="shared" si="231"/>
        <v>1.5707963267948966</v>
      </c>
      <c r="AJ287" t="str">
        <f t="shared" si="214"/>
        <v>-16,6655621719631+36,1043022301134i</v>
      </c>
      <c r="AK287">
        <f t="shared" si="232"/>
        <v>39.765080183886695</v>
      </c>
      <c r="AL287">
        <f t="shared" si="233"/>
        <v>2.0032506376904564</v>
      </c>
      <c r="AM287" t="str">
        <f t="shared" si="215"/>
        <v>1+49,6318408044252i</v>
      </c>
      <c r="AN287">
        <f t="shared" si="234"/>
        <v>49.64191396023935</v>
      </c>
      <c r="AO287">
        <f t="shared" si="235"/>
        <v>1.5506506965302447</v>
      </c>
      <c r="AP287" t="str">
        <f t="shared" si="216"/>
        <v>1+34,860459612632i</v>
      </c>
      <c r="AQ287">
        <f t="shared" si="236"/>
        <v>34.87479956077091</v>
      </c>
      <c r="AR287">
        <f t="shared" si="237"/>
        <v>1.5421183961295726</v>
      </c>
      <c r="AS287" s="42" t="str">
        <f t="shared" si="238"/>
        <v>-26,0735141681563+13,6165315778054i</v>
      </c>
      <c r="AT287">
        <f t="shared" si="239"/>
        <v>29.3713562155577</v>
      </c>
      <c r="AU287" s="44">
        <f t="shared" si="240"/>
        <v>152.42480917135862</v>
      </c>
      <c r="AV287" s="42" t="str">
        <f t="shared" si="217"/>
        <v>7,36067018059208+11,4117548547385i</v>
      </c>
      <c r="AW287" s="20">
        <f t="shared" si="241"/>
        <v>22.657788495349386</v>
      </c>
      <c r="AX287" s="44">
        <f t="shared" si="242"/>
        <v>57.177670844045011</v>
      </c>
    </row>
    <row r="288" spans="14:50" x14ac:dyDescent="0.3">
      <c r="N288" s="8">
        <v>70</v>
      </c>
      <c r="O288" s="35">
        <f t="shared" si="243"/>
        <v>5011.8723362727324</v>
      </c>
      <c r="P288" s="34" t="str">
        <f t="shared" si="208"/>
        <v>324,571428571429</v>
      </c>
      <c r="Q288" s="4" t="str">
        <f t="shared" si="209"/>
        <v>1+719,783374279513i</v>
      </c>
      <c r="R288" s="4">
        <f t="shared" si="218"/>
        <v>719.78406893262206</v>
      </c>
      <c r="S288" s="4">
        <f t="shared" si="219"/>
        <v>1.5694070208004223</v>
      </c>
      <c r="T288" s="4" t="str">
        <f t="shared" si="210"/>
        <v>1+0,00629810452494574i</v>
      </c>
      <c r="U288" s="4">
        <f t="shared" si="220"/>
        <v>1.0000198328636323</v>
      </c>
      <c r="V288" s="4">
        <f t="shared" si="221"/>
        <v>6.2980212531363452E-3</v>
      </c>
      <c r="W288" t="str">
        <f t="shared" si="211"/>
        <v>1-0,0546710462234873i</v>
      </c>
      <c r="X288" s="4">
        <f t="shared" si="222"/>
        <v>1.0014933466055431</v>
      </c>
      <c r="Y288" s="4">
        <f t="shared" si="223"/>
        <v>-5.4616674510082529E-2</v>
      </c>
      <c r="Z288" t="str">
        <f t="shared" si="212"/>
        <v>0,99989952454274+0,046874955032018i</v>
      </c>
      <c r="AA288" s="4">
        <f t="shared" si="224"/>
        <v>1.0009976626296644</v>
      </c>
      <c r="AB288" s="4">
        <f t="shared" si="225"/>
        <v>4.6845367974375801E-2</v>
      </c>
      <c r="AC288" s="48" t="str">
        <f t="shared" si="226"/>
        <v>-0,0422455271239764-0,449178895429007i</v>
      </c>
      <c r="AD288" s="20">
        <f t="shared" si="227"/>
        <v>-6.9133664971715705</v>
      </c>
      <c r="AE288" s="44">
        <f t="shared" si="228"/>
        <v>-95.372895408112498</v>
      </c>
      <c r="AF288" t="str">
        <f t="shared" si="213"/>
        <v>-20791,6666666667</v>
      </c>
      <c r="AG288" t="str">
        <f t="shared" si="229"/>
        <v>31490,5226247287i</v>
      </c>
      <c r="AH288">
        <f t="shared" si="230"/>
        <v>31490.522624728699</v>
      </c>
      <c r="AI288">
        <f t="shared" si="231"/>
        <v>1.5707963267948966</v>
      </c>
      <c r="AJ288" t="str">
        <f t="shared" si="214"/>
        <v>-17,4981144676307+36,9452794632615i</v>
      </c>
      <c r="AK288">
        <f t="shared" si="232"/>
        <v>40.879550933697871</v>
      </c>
      <c r="AL288">
        <f t="shared" si="233"/>
        <v>2.0131201214509877</v>
      </c>
      <c r="AM288" t="str">
        <f t="shared" si="215"/>
        <v>1+50,7879148891624i</v>
      </c>
      <c r="AN288">
        <f t="shared" si="234"/>
        <v>50.797758796907601</v>
      </c>
      <c r="AO288">
        <f t="shared" si="235"/>
        <v>1.5511091472004945</v>
      </c>
      <c r="AP288" t="str">
        <f t="shared" si="216"/>
        <v>1+35,6724640292927i</v>
      </c>
      <c r="AQ288">
        <f t="shared" si="236"/>
        <v>35.686477690032412</v>
      </c>
      <c r="AR288">
        <f t="shared" si="237"/>
        <v>1.5427708397928781</v>
      </c>
      <c r="AS288" s="42" t="str">
        <f t="shared" si="238"/>
        <v>-25,8330426927525+13,780248667255i</v>
      </c>
      <c r="AT288">
        <f t="shared" si="239"/>
        <v>29.331031105933846</v>
      </c>
      <c r="AU288" s="44">
        <f t="shared" si="240"/>
        <v>151.922978962705</v>
      </c>
      <c r="AV288" s="42" t="str">
        <f t="shared" si="217"/>
        <v>7,28112738086616+11,0215037134533i</v>
      </c>
      <c r="AW288" s="20">
        <f t="shared" si="241"/>
        <v>22.41766460876228</v>
      </c>
      <c r="AX288" s="44">
        <f t="shared" si="242"/>
        <v>56.550083554592554</v>
      </c>
    </row>
    <row r="289" spans="14:50" x14ac:dyDescent="0.3">
      <c r="N289" s="8">
        <v>71</v>
      </c>
      <c r="O289" s="35">
        <f t="shared" si="243"/>
        <v>5128.6138399136489</v>
      </c>
      <c r="P289" s="34" t="str">
        <f t="shared" si="208"/>
        <v>324,571428571429</v>
      </c>
      <c r="Q289" s="4" t="str">
        <f t="shared" si="209"/>
        <v>1+736,549282860418i</v>
      </c>
      <c r="R289" s="4">
        <f t="shared" si="218"/>
        <v>736.54996170130653</v>
      </c>
      <c r="S289" s="4">
        <f t="shared" si="219"/>
        <v>1.5694386452264844</v>
      </c>
      <c r="T289" s="4" t="str">
        <f t="shared" si="210"/>
        <v>1+0,00644480622502866i</v>
      </c>
      <c r="U289" s="4">
        <f t="shared" si="220"/>
        <v>1.0000207675479935</v>
      </c>
      <c r="V289" s="4">
        <f t="shared" si="221"/>
        <v>6.444716997777389E-3</v>
      </c>
      <c r="W289" t="str">
        <f t="shared" si="211"/>
        <v>1-0,0559444984811516i</v>
      </c>
      <c r="X289" s="4">
        <f t="shared" si="222"/>
        <v>1.0015636709217779</v>
      </c>
      <c r="Y289" s="4">
        <f t="shared" si="223"/>
        <v>-5.5886243051981928E-2</v>
      </c>
      <c r="Z289" t="str">
        <f t="shared" si="212"/>
        <v>0,999894789280324+0,0479668129977393i</v>
      </c>
      <c r="AA289" s="4">
        <f t="shared" si="224"/>
        <v>1.0010446567357041</v>
      </c>
      <c r="AB289" s="4">
        <f t="shared" si="225"/>
        <v>4.7935111676095675E-2</v>
      </c>
      <c r="AC289" s="48" t="str">
        <f t="shared" si="226"/>
        <v>-0,042269941004003-0,438871221141215i</v>
      </c>
      <c r="AD289" s="20">
        <f t="shared" si="227"/>
        <v>-7.1131558736952885</v>
      </c>
      <c r="AE289" s="44">
        <f t="shared" si="228"/>
        <v>-95.501480941327841</v>
      </c>
      <c r="AF289" t="str">
        <f t="shared" si="213"/>
        <v>-20791,6666666667</v>
      </c>
      <c r="AG289" t="str">
        <f t="shared" si="229"/>
        <v>32224,0311251433i</v>
      </c>
      <c r="AH289">
        <f t="shared" si="230"/>
        <v>32224.031125143301</v>
      </c>
      <c r="AI289">
        <f t="shared" si="231"/>
        <v>1.5707963267948966</v>
      </c>
      <c r="AJ289" t="str">
        <f t="shared" si="214"/>
        <v>-18,3699037441693+37,8058455726095i</v>
      </c>
      <c r="AK289">
        <f t="shared" si="232"/>
        <v>42.032550755694594</v>
      </c>
      <c r="AL289">
        <f t="shared" si="233"/>
        <v>2.0231013705995933</v>
      </c>
      <c r="AM289" t="str">
        <f t="shared" si="215"/>
        <v>1+51,9709173986311i</v>
      </c>
      <c r="AN289">
        <f t="shared" si="234"/>
        <v>51.980537273630958</v>
      </c>
      <c r="AO289">
        <f t="shared" si="235"/>
        <v>1.5515571702571893</v>
      </c>
      <c r="AP289" t="str">
        <f t="shared" si="216"/>
        <v>1+36,5033824585623i</v>
      </c>
      <c r="AQ289">
        <f t="shared" si="236"/>
        <v>36.517077250460147</v>
      </c>
      <c r="AR289">
        <f t="shared" si="237"/>
        <v>1.5434084550876124</v>
      </c>
      <c r="AS289" s="42" t="str">
        <f t="shared" si="238"/>
        <v>-25,5859472278831+13,9422086663098i</v>
      </c>
      <c r="AT289">
        <f t="shared" si="239"/>
        <v>29.289209276055249</v>
      </c>
      <c r="AU289" s="44">
        <f t="shared" si="240"/>
        <v>151.41329800783583</v>
      </c>
      <c r="AV289" s="42" t="str">
        <f t="shared" si="217"/>
        <v>7,20035062264316+10,6395995661653i</v>
      </c>
      <c r="AW289" s="20">
        <f t="shared" si="241"/>
        <v>22.176053402359944</v>
      </c>
      <c r="AX289" s="44">
        <f t="shared" si="242"/>
        <v>55.911817066507929</v>
      </c>
    </row>
    <row r="290" spans="14:50" x14ac:dyDescent="0.3">
      <c r="N290" s="8">
        <v>72</v>
      </c>
      <c r="O290" s="35">
        <f t="shared" si="243"/>
        <v>5248.0746024977261</v>
      </c>
      <c r="P290" s="34" t="str">
        <f t="shared" si="208"/>
        <v>324,571428571429</v>
      </c>
      <c r="Q290" s="4" t="str">
        <f t="shared" si="209"/>
        <v>1+753,705719620482i</v>
      </c>
      <c r="R290" s="4">
        <f t="shared" si="218"/>
        <v>753.7063830090791</v>
      </c>
      <c r="S290" s="4">
        <f t="shared" si="219"/>
        <v>1.5694695497953477</v>
      </c>
      <c r="T290" s="4" t="str">
        <f t="shared" si="210"/>
        <v>1+0,00659492504667922i</v>
      </c>
      <c r="U290" s="4">
        <f t="shared" si="220"/>
        <v>1.0000217462817353</v>
      </c>
      <c r="V290" s="4">
        <f t="shared" si="221"/>
        <v>6.5948294380692189E-3</v>
      </c>
      <c r="W290" t="str">
        <f t="shared" si="211"/>
        <v>1-0,0572476132524238i</v>
      </c>
      <c r="X290" s="4">
        <f t="shared" si="222"/>
        <v>1.0016373042289803</v>
      </c>
      <c r="Y290" s="4">
        <f t="shared" si="223"/>
        <v>-5.7185196944985958E-2</v>
      </c>
      <c r="Z290" t="str">
        <f t="shared" si="212"/>
        <v>0,999889830851866+0,0490841036026281i</v>
      </c>
      <c r="AA290" s="4">
        <f t="shared" si="224"/>
        <v>1.0010938632653017</v>
      </c>
      <c r="AB290" s="4">
        <f t="shared" si="225"/>
        <v>4.9050137023429877E-2</v>
      </c>
      <c r="AC290" s="48" t="str">
        <f t="shared" si="226"/>
        <v>-0,0422929080202908-0,42879625499807i</v>
      </c>
      <c r="AD290" s="20">
        <f t="shared" si="227"/>
        <v>-7.3129354095814536</v>
      </c>
      <c r="AE290" s="44">
        <f t="shared" si="228"/>
        <v>-95.632961655713842</v>
      </c>
      <c r="AF290" t="str">
        <f t="shared" si="213"/>
        <v>-20791,6666666667</v>
      </c>
      <c r="AG290" t="str">
        <f t="shared" si="229"/>
        <v>32974,6252333961i</v>
      </c>
      <c r="AH290">
        <f t="shared" si="230"/>
        <v>32974.625233396102</v>
      </c>
      <c r="AI290">
        <f t="shared" si="231"/>
        <v>1.5707963267948966</v>
      </c>
      <c r="AJ290" t="str">
        <f t="shared" si="214"/>
        <v>-19,2827791835177+38,6864568416997i</v>
      </c>
      <c r="AK290">
        <f t="shared" si="232"/>
        <v>43.2257737467474</v>
      </c>
      <c r="AL290">
        <f t="shared" si="233"/>
        <v>2.0331931205769793</v>
      </c>
      <c r="AM290" t="str">
        <f t="shared" si="215"/>
        <v>1+53,1814755764212i</v>
      </c>
      <c r="AN290">
        <f t="shared" si="234"/>
        <v>53.190876515484163</v>
      </c>
      <c r="AO290">
        <f t="shared" si="235"/>
        <v>1.551995002528237</v>
      </c>
      <c r="AP290" t="str">
        <f t="shared" si="216"/>
        <v>1+37,3536554643911i</v>
      </c>
      <c r="AQ290">
        <f t="shared" si="236"/>
        <v>37.367038637714323</v>
      </c>
      <c r="AR290">
        <f t="shared" si="237"/>
        <v>1.5440315780108611</v>
      </c>
      <c r="AS290" s="42" t="str">
        <f t="shared" si="238"/>
        <v>-25,3322230490737+14,1021253384686i</v>
      </c>
      <c r="AT290">
        <f t="shared" si="239"/>
        <v>29.24584975367393</v>
      </c>
      <c r="AU290" s="44">
        <f t="shared" si="240"/>
        <v>150.89587158111598</v>
      </c>
      <c r="AV290" s="42" t="str">
        <f t="shared" si="217"/>
        <v>7,11831191201269+10,2659424843881i</v>
      </c>
      <c r="AW290" s="20">
        <f t="shared" si="241"/>
        <v>21.93291434409246</v>
      </c>
      <c r="AX290" s="44">
        <f t="shared" si="242"/>
        <v>55.262909925402063</v>
      </c>
    </row>
    <row r="291" spans="14:50" x14ac:dyDescent="0.3">
      <c r="N291" s="8">
        <v>73</v>
      </c>
      <c r="O291" s="35">
        <f t="shared" si="243"/>
        <v>5370.3179637025269</v>
      </c>
      <c r="P291" s="34" t="str">
        <f t="shared" si="208"/>
        <v>324,571428571429</v>
      </c>
      <c r="Q291" s="4" t="str">
        <f t="shared" si="209"/>
        <v>1+771,261781129561i</v>
      </c>
      <c r="R291" s="4">
        <f t="shared" si="218"/>
        <v>771.26242941760279</v>
      </c>
      <c r="S291" s="4">
        <f t="shared" si="219"/>
        <v>1.5694997508927877</v>
      </c>
      <c r="T291" s="4" t="str">
        <f t="shared" si="210"/>
        <v>1+0,00674854058488366i</v>
      </c>
      <c r="U291" s="4">
        <f t="shared" si="220"/>
        <v>1.0000227711407506</v>
      </c>
      <c r="V291" s="4">
        <f t="shared" si="221"/>
        <v>6.7484381385382866E-3</v>
      </c>
      <c r="W291" t="str">
        <f t="shared" si="211"/>
        <v>1-0,058581081466004i</v>
      </c>
      <c r="X291" s="4">
        <f t="shared" si="222"/>
        <v>1.0017144019658131</v>
      </c>
      <c r="Y291" s="4">
        <f t="shared" si="223"/>
        <v>-5.8514207368112907E-2</v>
      </c>
      <c r="Z291" t="str">
        <f t="shared" si="212"/>
        <v>0,999884638739875+0,0502274192489518i</v>
      </c>
      <c r="AA291" s="4">
        <f t="shared" si="224"/>
        <v>1.0011453862613462</v>
      </c>
      <c r="AB291" s="4">
        <f t="shared" si="225"/>
        <v>5.0191025646138948E-2</v>
      </c>
      <c r="AC291" s="48" t="str">
        <f t="shared" si="226"/>
        <v>-0,0423144769956016-0,418948656507126i</v>
      </c>
      <c r="AD291" s="20">
        <f t="shared" si="227"/>
        <v>-7.51270464438816</v>
      </c>
      <c r="AE291" s="44">
        <f t="shared" si="228"/>
        <v>-95.76740571205022</v>
      </c>
      <c r="AF291" t="str">
        <f t="shared" si="213"/>
        <v>-20791,6666666667</v>
      </c>
      <c r="AG291" t="str">
        <f t="shared" si="229"/>
        <v>33742,7029244183i</v>
      </c>
      <c r="AH291">
        <f t="shared" si="230"/>
        <v>33742.7029244183</v>
      </c>
      <c r="AI291">
        <f t="shared" si="231"/>
        <v>1.5707963267948966</v>
      </c>
      <c r="AJ291" t="str">
        <f t="shared" si="214"/>
        <v>-20,238677116874+39,5875801822831i</v>
      </c>
      <c r="AK291">
        <f t="shared" si="232"/>
        <v>44.461000395062776</v>
      </c>
      <c r="AL291">
        <f t="shared" si="233"/>
        <v>2.0433939000698929</v>
      </c>
      <c r="AM291" t="str">
        <f t="shared" si="215"/>
        <v>1+54,4202312765018i</v>
      </c>
      <c r="AN291">
        <f t="shared" si="234"/>
        <v>54.429418260605587</v>
      </c>
      <c r="AO291">
        <f t="shared" si="235"/>
        <v>1.5524228754862686</v>
      </c>
      <c r="AP291" t="str">
        <f t="shared" si="216"/>
        <v>1+38,223733872781i</v>
      </c>
      <c r="AQ291">
        <f t="shared" si="236"/>
        <v>38.236812513299078</v>
      </c>
      <c r="AR291">
        <f t="shared" si="237"/>
        <v>1.5446405370139575</v>
      </c>
      <c r="AS291" s="42" t="str">
        <f t="shared" si="238"/>
        <v>-25,0718796043688+14,2597065399465i</v>
      </c>
      <c r="AT291">
        <f t="shared" si="239"/>
        <v>29.200911588601318</v>
      </c>
      <c r="AU291" s="44">
        <f t="shared" si="240"/>
        <v>150.37081606386531</v>
      </c>
      <c r="AV291" s="42" t="str">
        <f t="shared" si="217"/>
        <v>7,03498836985202+9,90043825201013i</v>
      </c>
      <c r="AW291" s="20">
        <f t="shared" si="241"/>
        <v>21.688206944213164</v>
      </c>
      <c r="AX291" s="44">
        <f t="shared" si="242"/>
        <v>54.603410351815107</v>
      </c>
    </row>
    <row r="292" spans="14:50" x14ac:dyDescent="0.3">
      <c r="N292" s="8">
        <v>74</v>
      </c>
      <c r="O292" s="35">
        <f t="shared" si="243"/>
        <v>5495.4087385762541</v>
      </c>
      <c r="P292" s="34" t="str">
        <f t="shared" si="208"/>
        <v>324,571428571429</v>
      </c>
      <c r="Q292" s="4" t="str">
        <f t="shared" si="209"/>
        <v>1+789,226775843854i</v>
      </c>
      <c r="R292" s="4">
        <f t="shared" si="218"/>
        <v>789.22740937507047</v>
      </c>
      <c r="S292" s="4">
        <f t="shared" si="219"/>
        <v>1.569529264531605</v>
      </c>
      <c r="T292" s="4" t="str">
        <f t="shared" si="210"/>
        <v>1+0,00690573428863372i</v>
      </c>
      <c r="U292" s="4">
        <f t="shared" si="220"/>
        <v>1.0000238442987572</v>
      </c>
      <c r="V292" s="4">
        <f t="shared" si="221"/>
        <v>6.9056245155382648E-3</v>
      </c>
      <c r="W292" t="str">
        <f t="shared" si="211"/>
        <v>1-0,0599456101443899i</v>
      </c>
      <c r="X292" s="4">
        <f t="shared" si="222"/>
        <v>1.0017951268475922</v>
      </c>
      <c r="Y292" s="4">
        <f t="shared" si="223"/>
        <v>-5.9873960190542162E-2</v>
      </c>
      <c r="Z292" t="str">
        <f t="shared" si="212"/>
        <v>0,999879201931184+0,0513973661377999i</v>
      </c>
      <c r="AA292" s="4">
        <f t="shared" si="224"/>
        <v>1.0011993346484229</v>
      </c>
      <c r="AB292" s="4">
        <f t="shared" si="225"/>
        <v>5.135837220558212E-2</v>
      </c>
      <c r="AC292" s="48" t="str">
        <f t="shared" si="226"/>
        <v>-0,0423346937976206-0,409323205796099i</v>
      </c>
      <c r="AD292" s="20">
        <f t="shared" si="227"/>
        <v>-7.7124630965135132</v>
      </c>
      <c r="AE292" s="44">
        <f t="shared" si="228"/>
        <v>-95.904882731984898</v>
      </c>
      <c r="AF292" t="str">
        <f t="shared" si="213"/>
        <v>-20791,6666666667</v>
      </c>
      <c r="AG292" t="str">
        <f t="shared" si="229"/>
        <v>34528,6714431686i</v>
      </c>
      <c r="AH292">
        <f t="shared" si="230"/>
        <v>34528.671443168598</v>
      </c>
      <c r="AI292">
        <f t="shared" si="231"/>
        <v>1.5707963267948966</v>
      </c>
      <c r="AJ292" t="str">
        <f t="shared" si="214"/>
        <v>-21,2396251319142+40,5096933818829i</v>
      </c>
      <c r="AK292">
        <f t="shared" si="232"/>
        <v>45.740102029164824</v>
      </c>
      <c r="AL292">
        <f t="shared" si="233"/>
        <v>2.0537020271223385</v>
      </c>
      <c r="AM292" t="str">
        <f t="shared" si="215"/>
        <v>1+55,6878413035423i</v>
      </c>
      <c r="AN292">
        <f t="shared" si="234"/>
        <v>55.696819200458037</v>
      </c>
      <c r="AO292">
        <f t="shared" si="235"/>
        <v>1.5528410153681671</v>
      </c>
      <c r="AP292" t="str">
        <f t="shared" si="216"/>
        <v>1+39,1140790108214i</v>
      </c>
      <c r="AQ292">
        <f t="shared" si="236"/>
        <v>39.126860043514597</v>
      </c>
      <c r="AR292">
        <f t="shared" si="237"/>
        <v>1.5452356531674238</v>
      </c>
      <c r="AS292" s="42" t="str">
        <f t="shared" si="238"/>
        <v>-24,8049412390834+14,4146549773305i</v>
      </c>
      <c r="AT292">
        <f t="shared" si="239"/>
        <v>29.154353941843659</v>
      </c>
      <c r="AU292" s="44">
        <f t="shared" si="240"/>
        <v>149.8382591834681</v>
      </c>
      <c r="AV292" s="42" t="str">
        <f t="shared" si="217"/>
        <v>6,95036237779018+9,54299806290184i</v>
      </c>
      <c r="AW292" s="20">
        <f t="shared" si="241"/>
        <v>21.441890845330143</v>
      </c>
      <c r="AX292" s="44">
        <f t="shared" si="242"/>
        <v>53.933376451483213</v>
      </c>
    </row>
    <row r="293" spans="14:50" x14ac:dyDescent="0.3">
      <c r="N293" s="8">
        <v>75</v>
      </c>
      <c r="O293" s="35">
        <f t="shared" si="243"/>
        <v>5623.4132519034993</v>
      </c>
      <c r="P293" s="34" t="str">
        <f t="shared" si="208"/>
        <v>324,571428571429</v>
      </c>
      <c r="Q293" s="4" t="str">
        <f t="shared" si="209"/>
        <v>1+807,610229041349i</v>
      </c>
      <c r="R293" s="4">
        <f t="shared" si="218"/>
        <v>807.61084815164554</v>
      </c>
      <c r="S293" s="4">
        <f t="shared" si="219"/>
        <v>1.5695581063601163</v>
      </c>
      <c r="T293" s="4" t="str">
        <f t="shared" si="210"/>
        <v>1+0,0070665895041118i</v>
      </c>
      <c r="U293" s="4">
        <f t="shared" si="220"/>
        <v>1.0000249680319084</v>
      </c>
      <c r="V293" s="4">
        <f t="shared" si="221"/>
        <v>7.0664718802794348E-3</v>
      </c>
      <c r="W293" t="str">
        <f t="shared" si="211"/>
        <v>1-0,0613419227787483i</v>
      </c>
      <c r="X293" s="4">
        <f t="shared" si="222"/>
        <v>1.001879649204531</v>
      </c>
      <c r="Y293" s="4">
        <f t="shared" si="223"/>
        <v>-6.1265156247172117E-2</v>
      </c>
      <c r="Z293" t="str">
        <f t="shared" si="212"/>
        <v>0,999873508893593+0,0525945645904987i</v>
      </c>
      <c r="AA293" s="4">
        <f t="shared" si="224"/>
        <v>1.0012558224607988</v>
      </c>
      <c r="AB293" s="4">
        <f t="shared" si="225"/>
        <v>5.2552784661651829E-2</v>
      </c>
      <c r="AC293" s="48" t="str">
        <f t="shared" si="226"/>
        <v>-0,0423536014372292-0,399914800852058i</v>
      </c>
      <c r="AD293" s="20">
        <f t="shared" si="227"/>
        <v>-7.9122102622398831</v>
      </c>
      <c r="AE293" s="44">
        <f t="shared" si="228"/>
        <v>-96.045463827137354</v>
      </c>
      <c r="AF293" t="str">
        <f t="shared" si="213"/>
        <v>-20791,6666666667</v>
      </c>
      <c r="AG293" t="str">
        <f t="shared" si="229"/>
        <v>35332,947520559i</v>
      </c>
      <c r="AH293">
        <f t="shared" si="230"/>
        <v>35332.947520558999</v>
      </c>
      <c r="AI293">
        <f t="shared" si="231"/>
        <v>1.5707963267948966</v>
      </c>
      <c r="AJ293" t="str">
        <f t="shared" si="214"/>
        <v>-22,2877463735776+41,4532853571228i</v>
      </c>
      <c r="AK293">
        <f t="shared" si="232"/>
        <v>47.065045472324499</v>
      </c>
      <c r="AL293">
        <f t="shared" si="233"/>
        <v>2.064115605811105</v>
      </c>
      <c r="AM293" t="str">
        <f t="shared" si="215"/>
        <v>1+56,9849777611575i</v>
      </c>
      <c r="AN293">
        <f t="shared" si="234"/>
        <v>56.99375132801503</v>
      </c>
      <c r="AO293">
        <f t="shared" si="235"/>
        <v>1.5532496432920329</v>
      </c>
      <c r="AP293" t="str">
        <f t="shared" si="216"/>
        <v>1+40,0251629512892i</v>
      </c>
      <c r="AQ293">
        <f t="shared" si="236"/>
        <v>40.037653143975028</v>
      </c>
      <c r="AR293">
        <f t="shared" si="237"/>
        <v>1.54581724032261</v>
      </c>
      <c r="AS293" s="42" t="str">
        <f t="shared" si="238"/>
        <v>-24,5314478812872+14,566669043302i</v>
      </c>
      <c r="AT293">
        <f t="shared" si="239"/>
        <v>29.106136179097057</v>
      </c>
      <c r="AU293" s="44">
        <f t="shared" si="240"/>
        <v>149.29834021981441</v>
      </c>
      <c r="AV293" s="42" t="str">
        <f t="shared" si="217"/>
        <v>6,86442171577216+9,19353819912957i</v>
      </c>
      <c r="AW293" s="20">
        <f t="shared" si="241"/>
        <v>21.193925916857172</v>
      </c>
      <c r="AX293" s="44">
        <f t="shared" si="242"/>
        <v>53.25287639267701</v>
      </c>
    </row>
    <row r="294" spans="14:50" x14ac:dyDescent="0.3">
      <c r="N294" s="8">
        <v>76</v>
      </c>
      <c r="O294" s="35">
        <f t="shared" si="243"/>
        <v>5754.399373371567</v>
      </c>
      <c r="P294" s="34" t="str">
        <f t="shared" si="208"/>
        <v>324,571428571429</v>
      </c>
      <c r="Q294" s="4" t="str">
        <f t="shared" si="209"/>
        <v>1+826,421887872265i</v>
      </c>
      <c r="R294" s="4">
        <f t="shared" si="218"/>
        <v>826.42249288990104</v>
      </c>
      <c r="S294" s="4">
        <f t="shared" si="219"/>
        <v>1.5695862916704484</v>
      </c>
      <c r="T294" s="4" t="str">
        <f t="shared" si="210"/>
        <v>1+0,00723119151888232i</v>
      </c>
      <c r="U294" s="4">
        <f t="shared" si="220"/>
        <v>1.0000261447236181</v>
      </c>
      <c r="V294" s="4">
        <f t="shared" si="221"/>
        <v>7.2310654828531482E-3</v>
      </c>
      <c r="W294" t="str">
        <f t="shared" si="211"/>
        <v>1-0,0627707597125201i</v>
      </c>
      <c r="X294" s="4">
        <f t="shared" si="222"/>
        <v>1.0019681473354765</v>
      </c>
      <c r="Y294" s="4">
        <f t="shared" si="223"/>
        <v>-6.268851161593865E-2</v>
      </c>
      <c r="Z294" t="str">
        <f t="shared" si="212"/>
        <v>0,999867547551407+0,0538196493775147i</v>
      </c>
      <c r="AA294" s="4">
        <f t="shared" si="224"/>
        <v>1.0013149690809502</v>
      </c>
      <c r="AB294" s="4">
        <f t="shared" si="225"/>
        <v>5.3774884543348292E-2</v>
      </c>
      <c r="AC294" s="48" t="str">
        <f t="shared" si="226"/>
        <v>-0,0423712401608137-0,390718454823432i</v>
      </c>
      <c r="AD294" s="20">
        <f t="shared" si="227"/>
        <v>-8.1119456147377473</v>
      </c>
      <c r="AE294" s="44">
        <f t="shared" si="228"/>
        <v>-96.189221628443576</v>
      </c>
      <c r="AF294" t="str">
        <f t="shared" si="213"/>
        <v>-20791,6666666667</v>
      </c>
      <c r="AG294" t="str">
        <f t="shared" si="229"/>
        <v>36155,9575944116i</v>
      </c>
      <c r="AH294">
        <f t="shared" si="230"/>
        <v>36155.9575944116</v>
      </c>
      <c r="AI294">
        <f t="shared" si="231"/>
        <v>1.5707963267948966</v>
      </c>
      <c r="AJ294" t="str">
        <f t="shared" si="214"/>
        <v>-23,3852640475417+42,418856412958i</v>
      </c>
      <c r="AK294">
        <f t="shared" si="232"/>
        <v>48.437897910173547</v>
      </c>
      <c r="AL294">
        <f t="shared" si="233"/>
        <v>2.0746325235405205</v>
      </c>
      <c r="AM294" t="str">
        <f t="shared" si="215"/>
        <v>1+58,312328408267i</v>
      </c>
      <c r="AN294">
        <f t="shared" si="234"/>
        <v>58.320902294062492</v>
      </c>
      <c r="AO294">
        <f t="shared" si="235"/>
        <v>1.5536489753716363</v>
      </c>
      <c r="AP294" t="str">
        <f t="shared" si="216"/>
        <v>1+40,9574687629495i</v>
      </c>
      <c r="AQ294">
        <f t="shared" si="236"/>
        <v>40.969674729828945</v>
      </c>
      <c r="AR294">
        <f t="shared" si="237"/>
        <v>1.5463856052700777</v>
      </c>
      <c r="AS294" s="42" t="str">
        <f t="shared" si="238"/>
        <v>-24,2514556796373+14,7154437292867i</v>
      </c>
      <c r="AT294">
        <f t="shared" si="239"/>
        <v>29.056217968335496</v>
      </c>
      <c r="AU294" s="44">
        <f t="shared" si="240"/>
        <v>148.75121017593091</v>
      </c>
      <c r="AV294" s="42" t="str">
        <f t="shared" si="217"/>
        <v>6,7771596887993+8,85197969004028i</v>
      </c>
      <c r="AW294" s="20">
        <f t="shared" si="241"/>
        <v>20.944272353597743</v>
      </c>
      <c r="AX294" s="44">
        <f t="shared" si="242"/>
        <v>52.561988547487346</v>
      </c>
    </row>
    <row r="295" spans="14:50" x14ac:dyDescent="0.3">
      <c r="N295" s="8">
        <v>77</v>
      </c>
      <c r="O295" s="35">
        <f t="shared" si="243"/>
        <v>5888.4365535558973</v>
      </c>
      <c r="P295" s="34" t="str">
        <f t="shared" si="208"/>
        <v>324,571428571429</v>
      </c>
      <c r="Q295" s="4" t="str">
        <f t="shared" si="209"/>
        <v>1+845,671726527122i</v>
      </c>
      <c r="R295" s="4">
        <f t="shared" si="218"/>
        <v>845.67231777288509</v>
      </c>
      <c r="S295" s="4">
        <f t="shared" si="219"/>
        <v>1.5696138354066469</v>
      </c>
      <c r="T295" s="4" t="str">
        <f t="shared" si="210"/>
        <v>1+0,00739962760711232i</v>
      </c>
      <c r="U295" s="4">
        <f t="shared" si="220"/>
        <v>1.0000273768696155</v>
      </c>
      <c r="V295" s="4">
        <f t="shared" si="221"/>
        <v>7.3994925572735855E-3</v>
      </c>
      <c r="W295" t="str">
        <f t="shared" si="211"/>
        <v>1-0,0642328785339611i</v>
      </c>
      <c r="X295" s="4">
        <f t="shared" si="222"/>
        <v>1.0020608078778246</v>
      </c>
      <c r="Y295" s="4">
        <f t="shared" si="223"/>
        <v>-6.414475789661353E-2</v>
      </c>
      <c r="Z295" t="str">
        <f t="shared" si="212"/>
        <v>0,999861305259819+0,0550732700550182i</v>
      </c>
      <c r="AA295" s="4">
        <f t="shared" si="224"/>
        <v>1.0013768994891095</v>
      </c>
      <c r="AB295" s="4">
        <f t="shared" si="225"/>
        <v>5.5025307222895933E-2</v>
      </c>
      <c r="AC295" s="48" t="str">
        <f t="shared" si="226"/>
        <v>-0,0423876475368139-0,381729293383446i</v>
      </c>
      <c r="AD295" s="20">
        <f t="shared" si="227"/>
        <v>-8.3116686030274103</v>
      </c>
      <c r="AE295" s="44">
        <f t="shared" si="228"/>
        <v>-96.336230315719547</v>
      </c>
      <c r="AF295" t="str">
        <f t="shared" si="213"/>
        <v>-20791,6666666667</v>
      </c>
      <c r="AG295" t="str">
        <f t="shared" si="229"/>
        <v>36998,1380355616i</v>
      </c>
      <c r="AH295">
        <f t="shared" si="230"/>
        <v>36998.138035561598</v>
      </c>
      <c r="AI295">
        <f t="shared" si="231"/>
        <v>1.5707963267948966</v>
      </c>
      <c r="AJ295" t="str">
        <f t="shared" si="214"/>
        <v>-24,5345061359403+43,4069185079436i</v>
      </c>
      <c r="AK295">
        <f t="shared" si="232"/>
        <v>49.860831979518238</v>
      </c>
      <c r="AL295">
        <f t="shared" si="233"/>
        <v>2.0852504490103154</v>
      </c>
      <c r="AM295" t="str">
        <f t="shared" si="215"/>
        <v>1+59,6705970237537i</v>
      </c>
      <c r="AN295">
        <f t="shared" si="234"/>
        <v>59.678975771800943</v>
      </c>
      <c r="AO295">
        <f t="shared" si="235"/>
        <v>1.5540392228283999</v>
      </c>
      <c r="AP295" t="str">
        <f t="shared" si="216"/>
        <v>1+41,9114907666842i</v>
      </c>
      <c r="AQ295">
        <f t="shared" si="236"/>
        <v>41.923418971809248</v>
      </c>
      <c r="AR295">
        <f t="shared" si="237"/>
        <v>1.5469410478947723</v>
      </c>
      <c r="AS295" s="42" t="str">
        <f t="shared" si="238"/>
        <v>-23,9650375849965+14,8606716129617i</v>
      </c>
      <c r="AT295">
        <f t="shared" si="239"/>
        <v>29.004559381170324</v>
      </c>
      <c r="AU295" s="44">
        <f t="shared" si="240"/>
        <v>148.19703190972214</v>
      </c>
      <c r="AV295" s="42" t="str">
        <f t="shared" si="217"/>
        <v>6,68857524037863+8,51824795273788i</v>
      </c>
      <c r="AW295" s="20">
        <f t="shared" si="241"/>
        <v>20.692890778142914</v>
      </c>
      <c r="AX295" s="44">
        <f t="shared" si="242"/>
        <v>51.860801594002595</v>
      </c>
    </row>
    <row r="296" spans="14:50" x14ac:dyDescent="0.3">
      <c r="N296" s="8">
        <v>78</v>
      </c>
      <c r="O296" s="35">
        <f t="shared" si="243"/>
        <v>6025.595860743585</v>
      </c>
      <c r="P296" s="34" t="str">
        <f t="shared" si="208"/>
        <v>324,571428571429</v>
      </c>
      <c r="Q296" s="4" t="str">
        <f t="shared" si="209"/>
        <v>1+865,36995152517i</v>
      </c>
      <c r="R296" s="4">
        <f t="shared" si="218"/>
        <v>865.3705293125455</v>
      </c>
      <c r="S296" s="4">
        <f t="shared" si="219"/>
        <v>1.5696407521725979</v>
      </c>
      <c r="T296" s="4" t="str">
        <f t="shared" si="210"/>
        <v>1+0,00757198707584524i</v>
      </c>
      <c r="U296" s="4">
        <f t="shared" si="220"/>
        <v>1.0000286670832377</v>
      </c>
      <c r="V296" s="4">
        <f t="shared" si="221"/>
        <v>7.5718423675599084E-3</v>
      </c>
      <c r="W296" t="str">
        <f t="shared" si="211"/>
        <v>1-0,0657290544778233i</v>
      </c>
      <c r="X296" s="4">
        <f t="shared" si="222"/>
        <v>1.0021578261943318</v>
      </c>
      <c r="Y296" s="4">
        <f t="shared" si="223"/>
        <v>-6.563464249077168E-2</v>
      </c>
      <c r="Z296" t="str">
        <f t="shared" si="212"/>
        <v>0,999854768778092+0,0563560913092856i</v>
      </c>
      <c r="AA296" s="4">
        <f t="shared" si="224"/>
        <v>1.0014417445243393</v>
      </c>
      <c r="AB296" s="4">
        <f t="shared" si="225"/>
        <v>5.63047021932917E-2</v>
      </c>
      <c r="AC296" s="48" t="str">
        <f t="shared" si="226"/>
        <v>-0,0424028585367037-0,372942552153633i</v>
      </c>
      <c r="AD296" s="20">
        <f t="shared" si="227"/>
        <v>-8.511378650896809</v>
      </c>
      <c r="AE296" s="44">
        <f t="shared" si="228"/>
        <v>-96.486565647418175</v>
      </c>
      <c r="AF296" t="str">
        <f t="shared" si="213"/>
        <v>-20791,6666666667</v>
      </c>
      <c r="AG296" t="str">
        <f t="shared" si="229"/>
        <v>37859,9353792262i</v>
      </c>
      <c r="AH296">
        <f t="shared" si="230"/>
        <v>37859.935379226197</v>
      </c>
      <c r="AI296">
        <f t="shared" si="231"/>
        <v>1.5707963267948966</v>
      </c>
      <c r="AJ296" t="str">
        <f t="shared" si="214"/>
        <v>-25,7379103353238+44,4179955256804i</v>
      </c>
      <c r="AK296">
        <f t="shared" si="232"/>
        <v>51.336131086677462</v>
      </c>
      <c r="AL296">
        <f t="shared" si="233"/>
        <v>2.0959668309085444</v>
      </c>
      <c r="AM296" t="str">
        <f t="shared" si="215"/>
        <v>1+61,060503779616i</v>
      </c>
      <c r="AN296">
        <f t="shared" si="234"/>
        <v>61.068691829942615</v>
      </c>
      <c r="AO296">
        <f t="shared" si="235"/>
        <v>1.554420592100962</v>
      </c>
      <c r="AP296" t="str">
        <f t="shared" si="216"/>
        <v>1+42,8877347975874i</v>
      </c>
      <c r="AQ296">
        <f t="shared" si="236"/>
        <v>42.899391558251601</v>
      </c>
      <c r="AR296">
        <f t="shared" si="237"/>
        <v>1.5474838613280344</v>
      </c>
      <c r="AS296" s="42" t="str">
        <f t="shared" si="238"/>
        <v>-23,6722838672162+15,0020439175713i</v>
      </c>
      <c r="AT296">
        <f t="shared" si="239"/>
        <v>28.951120997609848</v>
      </c>
      <c r="AU296" s="44">
        <f t="shared" si="240"/>
        <v>147.63598022384602</v>
      </c>
      <c r="AV296" s="42" t="str">
        <f t="shared" si="217"/>
        <v>6,59867305020219+8,19227241474669i</v>
      </c>
      <c r="AW296" s="20">
        <f t="shared" si="241"/>
        <v>20.439742346713039</v>
      </c>
      <c r="AX296" s="44">
        <f t="shared" si="242"/>
        <v>51.14941457642783</v>
      </c>
    </row>
    <row r="297" spans="14:50" x14ac:dyDescent="0.3">
      <c r="N297" s="8">
        <v>79</v>
      </c>
      <c r="O297" s="35">
        <f t="shared" si="243"/>
        <v>6165.9500186148289</v>
      </c>
      <c r="P297" s="34" t="str">
        <f t="shared" si="208"/>
        <v>324,571428571429</v>
      </c>
      <c r="Q297" s="4" t="str">
        <f t="shared" si="209"/>
        <v>1+885,527007126043i</v>
      </c>
      <c r="R297" s="4">
        <f t="shared" si="218"/>
        <v>885.52757176138061</v>
      </c>
      <c r="S297" s="4">
        <f t="shared" si="219"/>
        <v>1.569667056239771</v>
      </c>
      <c r="T297" s="4" t="str">
        <f t="shared" si="210"/>
        <v>1+0,00774836131235288i</v>
      </c>
      <c r="U297" s="4">
        <f t="shared" si="220"/>
        <v>1.0000300181009703</v>
      </c>
      <c r="V297" s="4">
        <f t="shared" si="221"/>
        <v>7.7482062548828966E-3</v>
      </c>
      <c r="W297" t="str">
        <f t="shared" si="211"/>
        <v>1-0,0672600808363965i</v>
      </c>
      <c r="X297" s="4">
        <f t="shared" si="222"/>
        <v>1.0022594067775661</v>
      </c>
      <c r="Y297" s="4">
        <f t="shared" si="223"/>
        <v>-6.7158928882596655E-2</v>
      </c>
      <c r="Z297" t="str">
        <f t="shared" si="212"/>
        <v>0,999847924241472+0,0576687933091263i</v>
      </c>
      <c r="AA297" s="4">
        <f t="shared" si="224"/>
        <v>1.001509641157643</v>
      </c>
      <c r="AB297" s="4">
        <f t="shared" si="225"/>
        <v>5.7613733349163865E-2</v>
      </c>
      <c r="AC297" s="48" t="str">
        <f t="shared" si="226"/>
        <v>-0,0424169056105876-0,364353574186074i</v>
      </c>
      <c r="AD297" s="20">
        <f t="shared" si="227"/>
        <v>-8.7110751557741644</v>
      </c>
      <c r="AE297" s="44">
        <f t="shared" si="228"/>
        <v>-96.64030499055248</v>
      </c>
      <c r="AF297" t="str">
        <f t="shared" si="213"/>
        <v>-20791,6666666667</v>
      </c>
      <c r="AG297" t="str">
        <f t="shared" si="229"/>
        <v>38741,8065617644i</v>
      </c>
      <c r="AH297">
        <f t="shared" si="230"/>
        <v>38741.806561764402</v>
      </c>
      <c r="AI297">
        <f t="shared" si="231"/>
        <v>1.5707963267948966</v>
      </c>
      <c r="AJ297" t="str">
        <f t="shared" si="214"/>
        <v>-26,9980292273429+45,4526235525867i</v>
      </c>
      <c r="AK297">
        <f t="shared" si="232"/>
        <v>52.866194964018554</v>
      </c>
      <c r="AL297">
        <f t="shared" si="233"/>
        <v>2.1067788973791366</v>
      </c>
      <c r="AM297" t="str">
        <f t="shared" si="215"/>
        <v>1+62,4827856228136i</v>
      </c>
      <c r="AN297">
        <f t="shared" si="234"/>
        <v>62.490787314503265</v>
      </c>
      <c r="AO297">
        <f t="shared" si="235"/>
        <v>1.5547932849523658</v>
      </c>
      <c r="AP297" t="str">
        <f t="shared" si="216"/>
        <v>1+43,8867184731667i</v>
      </c>
      <c r="AQ297">
        <f t="shared" si="236"/>
        <v>43.898109963220413</v>
      </c>
      <c r="AR297">
        <f t="shared" si="237"/>
        <v>1.5480143320964939</v>
      </c>
      <c r="AS297" s="42" t="str">
        <f t="shared" si="238"/>
        <v>-23,3733025585011+15,1392516389691i</v>
      </c>
      <c r="AT297">
        <f t="shared" si="239"/>
        <v>28.895864013790234</v>
      </c>
      <c r="AU297" s="44">
        <f t="shared" si="240"/>
        <v>147.06824191089402</v>
      </c>
      <c r="AV297" s="42" t="str">
        <f t="shared" si="217"/>
        <v>6,50746361359242+7,8739861199373i</v>
      </c>
      <c r="AW297" s="20">
        <f t="shared" si="241"/>
        <v>20.18478885801607</v>
      </c>
      <c r="AX297" s="44">
        <f t="shared" si="242"/>
        <v>50.427936920341544</v>
      </c>
    </row>
    <row r="298" spans="14:50" x14ac:dyDescent="0.3">
      <c r="N298" s="8">
        <v>80</v>
      </c>
      <c r="O298" s="35">
        <f t="shared" si="243"/>
        <v>6309.5734448019384</v>
      </c>
      <c r="P298" s="34" t="str">
        <f t="shared" si="208"/>
        <v>324,571428571429</v>
      </c>
      <c r="Q298" s="4" t="str">
        <f t="shared" si="209"/>
        <v>1+906,153580867429i</v>
      </c>
      <c r="R298" s="4">
        <f t="shared" si="218"/>
        <v>906.154132650105</v>
      </c>
      <c r="S298" s="4">
        <f t="shared" si="219"/>
        <v>1.5696927615547851</v>
      </c>
      <c r="T298" s="4" t="str">
        <f t="shared" si="210"/>
        <v>1+0,00792884383259i</v>
      </c>
      <c r="U298" s="4">
        <f t="shared" si="220"/>
        <v>1.0000314327882507</v>
      </c>
      <c r="V298" s="4">
        <f t="shared" si="221"/>
        <v>7.9286776857995407E-3</v>
      </c>
      <c r="W298" t="str">
        <f t="shared" si="211"/>
        <v>1-0,0688267693801215i</v>
      </c>
      <c r="X298" s="4">
        <f t="shared" si="222"/>
        <v>1.0023657636727745</v>
      </c>
      <c r="Y298" s="4">
        <f t="shared" si="223"/>
        <v>-6.8718396920148264E-2</v>
      </c>
      <c r="Z298" t="str">
        <f t="shared" si="212"/>
        <v>0,999840757131779+0,0590120720665161i</v>
      </c>
      <c r="AA298" s="4">
        <f t="shared" si="224"/>
        <v>1.0015807327776591</v>
      </c>
      <c r="AB298" s="4">
        <f t="shared" si="225"/>
        <v>5.8953079270793705E-2</v>
      </c>
      <c r="AC298" s="48" t="str">
        <f t="shared" si="226"/>
        <v>-0,042429818757585-0,355957807503076i</v>
      </c>
      <c r="AD298" s="20">
        <f t="shared" si="227"/>
        <v>-8.9107574875537825</v>
      </c>
      <c r="AE298" s="44">
        <f t="shared" si="228"/>
        <v>-96.797527350754336</v>
      </c>
      <c r="AF298" t="str">
        <f t="shared" si="213"/>
        <v>-20791,6666666667</v>
      </c>
      <c r="AG298" t="str">
        <f t="shared" si="229"/>
        <v>39644,21916295i</v>
      </c>
      <c r="AH298">
        <f t="shared" si="230"/>
        <v>39644.219162950001</v>
      </c>
      <c r="AI298">
        <f t="shared" si="231"/>
        <v>1.5707963267948966</v>
      </c>
      <c r="AJ298" t="str">
        <f t="shared" si="214"/>
        <v>-28,3175356931141+46,5113511621371i</v>
      </c>
      <c r="AK298">
        <f t="shared" si="232"/>
        <v>54.453545473719373</v>
      </c>
      <c r="AL298">
        <f t="shared" si="233"/>
        <v>2.1176836563102075</v>
      </c>
      <c r="AM298" t="str">
        <f t="shared" si="215"/>
        <v>1+63,9381966660057i</v>
      </c>
      <c r="AN298">
        <f t="shared" si="234"/>
        <v>63.94601623948769</v>
      </c>
      <c r="AO298">
        <f t="shared" si="235"/>
        <v>1.5551574985749208</v>
      </c>
      <c r="AP298" t="str">
        <f t="shared" si="216"/>
        <v>1+44,9089714677898i</v>
      </c>
      <c r="AQ298">
        <f t="shared" si="236"/>
        <v>44.920103720881571</v>
      </c>
      <c r="AR298">
        <f t="shared" si="237"/>
        <v>1.5485327402678968</v>
      </c>
      <c r="AS298" s="42" t="str">
        <f t="shared" si="238"/>
        <v>-23,0682198149652+15,2719867352535i</v>
      </c>
      <c r="AT298">
        <f t="shared" si="239"/>
        <v>28.83875035220165</v>
      </c>
      <c r="AU298" s="44">
        <f t="shared" si="240"/>
        <v>146.49401575123639</v>
      </c>
      <c r="AV298" s="42" t="str">
        <f t="shared" si="217"/>
        <v>6,414963300306+7,56332531908898i</v>
      </c>
      <c r="AW298" s="20">
        <f t="shared" si="241"/>
        <v>19.927992864647873</v>
      </c>
      <c r="AX298" s="44">
        <f t="shared" si="242"/>
        <v>49.696488400482068</v>
      </c>
    </row>
    <row r="299" spans="14:50" x14ac:dyDescent="0.3">
      <c r="N299" s="8">
        <v>81</v>
      </c>
      <c r="O299" s="35">
        <f t="shared" si="243"/>
        <v>6456.5422903465615</v>
      </c>
      <c r="P299" s="34" t="str">
        <f t="shared" si="208"/>
        <v>324,571428571429</v>
      </c>
      <c r="Q299" s="4" t="str">
        <f t="shared" si="209"/>
        <v>1+927,260609231753i</v>
      </c>
      <c r="R299" s="4">
        <f t="shared" si="218"/>
        <v>927.26114845432937</v>
      </c>
      <c r="S299" s="4">
        <f t="shared" si="219"/>
        <v>1.5697178817468025</v>
      </c>
      <c r="T299" s="4" t="str">
        <f t="shared" si="210"/>
        <v>1+0,00811353033077784i</v>
      </c>
      <c r="U299" s="4">
        <f t="shared" si="220"/>
        <v>1.0000329141455437</v>
      </c>
      <c r="V299" s="4">
        <f t="shared" si="221"/>
        <v>8.1133523016008232E-3</v>
      </c>
      <c r="W299" t="str">
        <f t="shared" si="211"/>
        <v>1-0,0704299507880021i</v>
      </c>
      <c r="X299" s="4">
        <f t="shared" si="222"/>
        <v>1.0024771209199741</v>
      </c>
      <c r="Y299" s="4">
        <f t="shared" si="223"/>
        <v>-7.0313843096692474E-2</v>
      </c>
      <c r="Z299" t="str">
        <f t="shared" si="212"/>
        <v>0,999833252246612+0,0603866398056329i</v>
      </c>
      <c r="AA299" s="4">
        <f t="shared" si="224"/>
        <v>1.0016551694895068</v>
      </c>
      <c r="AB299" s="4">
        <f t="shared" si="225"/>
        <v>6.0323433511144268E-2</v>
      </c>
      <c r="AC299" s="48" t="str">
        <f t="shared" si="226"/>
        <v>-0,0424416255911633-0,347750802693022i</v>
      </c>
      <c r="AD299" s="20">
        <f t="shared" si="227"/>
        <v>-9.1104249873732748</v>
      </c>
      <c r="AE299" s="44">
        <f t="shared" si="228"/>
        <v>-96.958313402435124</v>
      </c>
      <c r="AF299" t="str">
        <f t="shared" si="213"/>
        <v>-20791,6666666667</v>
      </c>
      <c r="AG299" t="str">
        <f t="shared" si="229"/>
        <v>40567,6516538892i</v>
      </c>
      <c r="AH299">
        <f t="shared" si="230"/>
        <v>40567.651653889203</v>
      </c>
      <c r="AI299">
        <f t="shared" si="231"/>
        <v>1.5707963267948966</v>
      </c>
      <c r="AJ299" t="str">
        <f t="shared" si="214"/>
        <v>-29,6992285827612+47,5947397057242i</v>
      </c>
      <c r="AK299">
        <f t="shared" si="232"/>
        <v>56.100832668212156</v>
      </c>
      <c r="AL299">
        <f t="shared" si="233"/>
        <v>2.1286778964854571</v>
      </c>
      <c r="AM299" t="str">
        <f t="shared" si="215"/>
        <v>1+65,4275085873925i</v>
      </c>
      <c r="AN299">
        <f t="shared" si="234"/>
        <v>65.435150186679621</v>
      </c>
      <c r="AO299">
        <f t="shared" si="235"/>
        <v>1.5555134256927805</v>
      </c>
      <c r="AP299" t="str">
        <f t="shared" si="216"/>
        <v>1+45,9550357935257i</v>
      </c>
      <c r="AQ299">
        <f t="shared" si="236"/>
        <v>45.965914706271519</v>
      </c>
      <c r="AR299">
        <f t="shared" si="237"/>
        <v>1.5490393595939136</v>
      </c>
      <c r="AS299" s="42" t="str">
        <f t="shared" si="238"/>
        <v>-22,757180188287+15,399943372794i</v>
      </c>
      <c r="AT299">
        <f t="shared" si="239"/>
        <v>28.779742773878894</v>
      </c>
      <c r="AU299" s="44">
        <f t="shared" si="240"/>
        <v>145.91351246110932</v>
      </c>
      <c r="AV299" s="42" t="str">
        <f t="shared" si="217"/>
        <v>6,32119439037811+7,2602290467533i</v>
      </c>
      <c r="AW299" s="20">
        <f t="shared" si="241"/>
        <v>19.669317786505619</v>
      </c>
      <c r="AX299" s="44">
        <f t="shared" si="242"/>
        <v>48.955199058674189</v>
      </c>
    </row>
    <row r="300" spans="14:50" x14ac:dyDescent="0.3">
      <c r="N300" s="8">
        <v>82</v>
      </c>
      <c r="O300" s="35">
        <f t="shared" si="243"/>
        <v>6606.9344800759654</v>
      </c>
      <c r="P300" s="34" t="str">
        <f t="shared" si="208"/>
        <v>324,571428571429</v>
      </c>
      <c r="Q300" s="4" t="str">
        <f t="shared" si="209"/>
        <v>1+948,859283444834i</v>
      </c>
      <c r="R300" s="4">
        <f t="shared" si="218"/>
        <v>948.85981039321291</v>
      </c>
      <c r="S300" s="4">
        <f t="shared" si="219"/>
        <v>1.5697424301347547</v>
      </c>
      <c r="T300" s="4" t="str">
        <f t="shared" si="210"/>
        <v>1+0,0083025187301423i</v>
      </c>
      <c r="U300" s="4">
        <f t="shared" si="220"/>
        <v>1.0000344653147033</v>
      </c>
      <c r="V300" s="4">
        <f t="shared" si="221"/>
        <v>8.302327968797308E-3</v>
      </c>
      <c r="W300" t="str">
        <f t="shared" si="211"/>
        <v>1-0,0720704750880408i</v>
      </c>
      <c r="X300" s="4">
        <f t="shared" si="222"/>
        <v>1.0025937130161031</v>
      </c>
      <c r="Y300" s="4">
        <f t="shared" si="223"/>
        <v>-7.1946080831649939E-2</v>
      </c>
      <c r="Z300" t="str">
        <f t="shared" si="212"/>
        <v>0,999825393667104+0,0617932253404861i</v>
      </c>
      <c r="AA300" s="4">
        <f t="shared" si="224"/>
        <v>1.0017331084273695</v>
      </c>
      <c r="AB300" s="4">
        <f t="shared" si="225"/>
        <v>6.1725504885712011E-2</v>
      </c>
      <c r="AC300" s="48" t="str">
        <f t="shared" si="226"/>
        <v>-0,0424523513995731-0,33972821056118i</v>
      </c>
      <c r="AD300" s="20">
        <f t="shared" si="227"/>
        <v>-9.3100769663401515</v>
      </c>
      <c r="AE300" s="44">
        <f t="shared" si="228"/>
        <v>-97.122745519011488</v>
      </c>
      <c r="AF300" t="str">
        <f t="shared" si="213"/>
        <v>-20791,6666666667</v>
      </c>
      <c r="AG300" t="str">
        <f t="shared" si="229"/>
        <v>41512,5936507115i</v>
      </c>
      <c r="AH300">
        <f t="shared" si="230"/>
        <v>41512.593650711497</v>
      </c>
      <c r="AI300">
        <f t="shared" si="231"/>
        <v>1.5707963267948966</v>
      </c>
      <c r="AJ300" t="str">
        <f t="shared" si="214"/>
        <v>-31,1460386521492+48,7033636102941i</v>
      </c>
      <c r="AK300">
        <f t="shared" si="232"/>
        <v>57.810841117196098</v>
      </c>
      <c r="AL300">
        <f t="shared" si="233"/>
        <v>2.1397581896359723</v>
      </c>
      <c r="AM300" t="str">
        <f t="shared" si="215"/>
        <v>1+66,9515110398675i</v>
      </c>
      <c r="AN300">
        <f t="shared" si="234"/>
        <v>66.958978714743708</v>
      </c>
      <c r="AO300">
        <f t="shared" si="235"/>
        <v>1.5558612546622845</v>
      </c>
      <c r="AP300" t="str">
        <f t="shared" si="216"/>
        <v>1+47,025466087526i</v>
      </c>
      <c r="AQ300">
        <f t="shared" si="236"/>
        <v>47.036097422607867</v>
      </c>
      <c r="AR300">
        <f t="shared" si="237"/>
        <v>1.5495344576499765</v>
      </c>
      <c r="AS300" s="42" t="str">
        <f t="shared" si="238"/>
        <v>-22,440346799841+15,5228192213748i</v>
      </c>
      <c r="AT300">
        <f t="shared" si="239"/>
        <v>28.718804991979852</v>
      </c>
      <c r="AU300" s="44">
        <f t="shared" si="240"/>
        <v>145.32695458881969</v>
      </c>
      <c r="AV300" s="42" t="str">
        <f t="shared" si="217"/>
        <v>6,22618508481749+6,96463868638443i</v>
      </c>
      <c r="AW300" s="20">
        <f t="shared" si="241"/>
        <v>19.4087280256397</v>
      </c>
      <c r="AX300" s="44">
        <f t="shared" si="242"/>
        <v>48.204209069808172</v>
      </c>
    </row>
    <row r="301" spans="14:50" x14ac:dyDescent="0.3">
      <c r="N301" s="8">
        <v>83</v>
      </c>
      <c r="O301" s="35">
        <f t="shared" si="243"/>
        <v>6760.8297539198229</v>
      </c>
      <c r="P301" s="34" t="str">
        <f t="shared" si="208"/>
        <v>324,571428571429</v>
      </c>
      <c r="Q301" s="4" t="str">
        <f t="shared" si="209"/>
        <v>1+970,961055409637i</v>
      </c>
      <c r="R301" s="4">
        <f t="shared" si="218"/>
        <v>970.96157036321267</v>
      </c>
      <c r="S301" s="4">
        <f t="shared" si="219"/>
        <v>1.5697664197344032</v>
      </c>
      <c r="T301" s="4" t="str">
        <f t="shared" si="210"/>
        <v>1+0,00849590923483432i</v>
      </c>
      <c r="U301" s="4">
        <f t="shared" si="220"/>
        <v>1.0000360895856342</v>
      </c>
      <c r="V301" s="4">
        <f t="shared" si="221"/>
        <v>8.4957048307688666E-3</v>
      </c>
      <c r="W301" t="str">
        <f t="shared" si="211"/>
        <v>1-0,0737492121079368i</v>
      </c>
      <c r="X301" s="4">
        <f t="shared" si="222"/>
        <v>1.0027157853981064</v>
      </c>
      <c r="Y301" s="4">
        <f t="shared" si="223"/>
        <v>-7.3615940750688433E-2</v>
      </c>
      <c r="Z301" t="str">
        <f t="shared" si="212"/>
        <v>0,999817164724154+0,063232574461345i</v>
      </c>
      <c r="AA301" s="4">
        <f t="shared" si="224"/>
        <v>1.0018147140814291</v>
      </c>
      <c r="AB301" s="4">
        <f t="shared" si="225"/>
        <v>6.3160017765005377E-2</v>
      </c>
      <c r="AC301" s="48" t="str">
        <f t="shared" si="226"/>
        <v>-0,0424620192015291-0,331885779834213i</v>
      </c>
      <c r="AD301" s="20">
        <f t="shared" si="227"/>
        <v>-9.5097127042074057</v>
      </c>
      <c r="AE301" s="44">
        <f t="shared" si="228"/>
        <v>-97.290907803156728</v>
      </c>
      <c r="AF301" t="str">
        <f t="shared" si="213"/>
        <v>-20791,6666666667</v>
      </c>
      <c r="AG301" t="str">
        <f t="shared" si="229"/>
        <v>42479,5461741716i</v>
      </c>
      <c r="AH301">
        <f t="shared" si="230"/>
        <v>42479.546174171599</v>
      </c>
      <c r="AI301">
        <f t="shared" si="231"/>
        <v>1.5707963267948966</v>
      </c>
      <c r="AJ301" t="str">
        <f t="shared" si="214"/>
        <v>-32,6610347794132+49,8378106829154i</v>
      </c>
      <c r="AK301">
        <f t="shared" si="232"/>
        <v>59.586496511610378</v>
      </c>
      <c r="AL301">
        <f t="shared" si="233"/>
        <v>2.1509208934244919</v>
      </c>
      <c r="AM301" t="str">
        <f t="shared" si="215"/>
        <v>1+68,5110120697039i</v>
      </c>
      <c r="AN301">
        <f t="shared" si="234"/>
        <v>68.518309777862399</v>
      </c>
      <c r="AO301">
        <f t="shared" si="235"/>
        <v>1.5562011695701068</v>
      </c>
      <c r="AP301" t="str">
        <f t="shared" si="216"/>
        <v>1+48,1208299061016i</v>
      </c>
      <c r="AQ301">
        <f t="shared" si="236"/>
        <v>48.131219295296916</v>
      </c>
      <c r="AR301">
        <f t="shared" si="237"/>
        <v>1.5500182959721958</v>
      </c>
      <c r="AS301" s="42" t="str">
        <f t="shared" si="238"/>
        <v>-22,1179014102689+15,6403167901521i</v>
      </c>
      <c r="AT301">
        <f t="shared" si="239"/>
        <v>28.655901786127771</v>
      </c>
      <c r="AU301" s="44">
        <f t="shared" si="240"/>
        <v>144.73457635722448</v>
      </c>
      <c r="AV301" s="42" t="str">
        <f t="shared" si="217"/>
        <v>6,12996948913413+6,6764975259819i</v>
      </c>
      <c r="AW301" s="20">
        <f t="shared" si="241"/>
        <v>19.146189081920369</v>
      </c>
      <c r="AX301" s="44">
        <f t="shared" si="242"/>
        <v>47.443668554067791</v>
      </c>
    </row>
    <row r="302" spans="14:50" x14ac:dyDescent="0.3">
      <c r="N302" s="8">
        <v>84</v>
      </c>
      <c r="O302" s="35">
        <f t="shared" si="243"/>
        <v>6918.3097091893687</v>
      </c>
      <c r="P302" s="34" t="str">
        <f t="shared" si="208"/>
        <v>324,571428571429</v>
      </c>
      <c r="Q302" s="4" t="str">
        <f t="shared" si="209"/>
        <v>1+993,577643778206i</v>
      </c>
      <c r="R302" s="4">
        <f t="shared" si="218"/>
        <v>993.57814701001337</v>
      </c>
      <c r="S302" s="4">
        <f t="shared" si="219"/>
        <v>1.5697898632652412</v>
      </c>
      <c r="T302" s="4" t="str">
        <f t="shared" si="210"/>
        <v>1+0,0086938043830593i</v>
      </c>
      <c r="U302" s="4">
        <f t="shared" si="220"/>
        <v>1.0000377904032682</v>
      </c>
      <c r="V302" s="4">
        <f t="shared" si="221"/>
        <v>8.6935853606041093E-3</v>
      </c>
      <c r="W302" t="str">
        <f t="shared" si="211"/>
        <v>1-0,0754670519362786i</v>
      </c>
      <c r="X302" s="4">
        <f t="shared" si="222"/>
        <v>1.0028435949478627</v>
      </c>
      <c r="Y302" s="4">
        <f t="shared" si="223"/>
        <v>-7.5324270964430798E-2</v>
      </c>
      <c r="Z302" t="str">
        <f t="shared" si="212"/>
        <v>0,999808547963071+0,0647054503301653i</v>
      </c>
      <c r="AA302" s="4">
        <f t="shared" si="224"/>
        <v>1.0019001586397986</v>
      </c>
      <c r="AB302" s="4">
        <f t="shared" si="225"/>
        <v>6.4627712369420415E-2</v>
      </c>
      <c r="AC302" s="48" t="str">
        <f t="shared" si="226"/>
        <v>-0,0424706497972721-0,324219354917298i</v>
      </c>
      <c r="AD302" s="20">
        <f t="shared" si="227"/>
        <v>-9.7093314479944652</v>
      </c>
      <c r="AE302" s="44">
        <f t="shared" si="228"/>
        <v>-97.462886117032483</v>
      </c>
      <c r="AF302" t="str">
        <f t="shared" si="213"/>
        <v>-20791,6666666667</v>
      </c>
      <c r="AG302" t="str">
        <f t="shared" si="229"/>
        <v>43469,0219152965i</v>
      </c>
      <c r="AH302">
        <f t="shared" si="230"/>
        <v>43469.0219152965</v>
      </c>
      <c r="AI302">
        <f t="shared" si="231"/>
        <v>1.5707963267948966</v>
      </c>
      <c r="AJ302" t="str">
        <f t="shared" si="214"/>
        <v>-34,2474304744578+50,9986824224423i</v>
      </c>
      <c r="AK302">
        <f t="shared" si="232"/>
        <v>61.430872555482608</v>
      </c>
      <c r="AL302">
        <f t="shared" si="233"/>
        <v>2.1621621553876551</v>
      </c>
      <c r="AM302" t="str">
        <f t="shared" si="215"/>
        <v>1+70,1068385449901i</v>
      </c>
      <c r="AN302">
        <f t="shared" si="234"/>
        <v>70.113970154123407</v>
      </c>
      <c r="AO302">
        <f t="shared" si="235"/>
        <v>1.5565333503292544</v>
      </c>
      <c r="AP302" t="str">
        <f t="shared" si="216"/>
        <v>1+49,2417080256479i</v>
      </c>
      <c r="AQ302">
        <f t="shared" si="236"/>
        <v>49.251860972791235</v>
      </c>
      <c r="AR302">
        <f t="shared" si="237"/>
        <v>1.5504911301914044</v>
      </c>
      <c r="AS302" s="42" t="str">
        <f t="shared" si="238"/>
        <v>-21,7900443782213+15,7521447951167i</v>
      </c>
      <c r="AT302">
        <f t="shared" si="239"/>
        <v>28.590999116854974</v>
      </c>
      <c r="AU302" s="44">
        <f t="shared" si="240"/>
        <v>144.13662345103887</v>
      </c>
      <c r="AV302" s="42" t="str">
        <f t="shared" si="217"/>
        <v>6,03258756789106+6,39575030677688i</v>
      </c>
      <c r="AW302" s="20">
        <f t="shared" si="241"/>
        <v>18.881667668860509</v>
      </c>
      <c r="AX302" s="44">
        <f t="shared" si="242"/>
        <v>46.673737334006404</v>
      </c>
    </row>
    <row r="303" spans="14:50" x14ac:dyDescent="0.3">
      <c r="N303" s="8">
        <v>85</v>
      </c>
      <c r="O303" s="35">
        <f t="shared" si="243"/>
        <v>7079.4578438413828</v>
      </c>
      <c r="P303" s="34" t="str">
        <f t="shared" si="208"/>
        <v>324,571428571429</v>
      </c>
      <c r="Q303" s="4" t="str">
        <f t="shared" si="209"/>
        <v>1+1016,72104016506i</v>
      </c>
      <c r="R303" s="4">
        <f t="shared" si="218"/>
        <v>1016.7215319419186</v>
      </c>
      <c r="S303" s="4">
        <f t="shared" si="219"/>
        <v>1.5698127731572358</v>
      </c>
      <c r="T303" s="4" t="str">
        <f t="shared" si="210"/>
        <v>1+0,00889630910144428i</v>
      </c>
      <c r="U303" s="4">
        <f t="shared" si="220"/>
        <v>1.0000395713748673</v>
      </c>
      <c r="V303" s="4">
        <f t="shared" si="221"/>
        <v>8.896074415156812E-3</v>
      </c>
      <c r="W303" t="str">
        <f t="shared" si="211"/>
        <v>1-0,0772249053944816i</v>
      </c>
      <c r="X303" s="4">
        <f t="shared" si="222"/>
        <v>1.0029774105198914</v>
      </c>
      <c r="Y303" s="4">
        <f t="shared" si="223"/>
        <v>-7.7071937345218167E-2</v>
      </c>
      <c r="Z303" t="str">
        <f t="shared" si="212"/>
        <v>0,999799525106549+0,0662126338852285i</v>
      </c>
      <c r="AA303" s="4">
        <f t="shared" si="224"/>
        <v>1.00198962234611</v>
      </c>
      <c r="AB303" s="4">
        <f t="shared" si="225"/>
        <v>6.6129345066270759E-2</v>
      </c>
      <c r="AC303" s="48" t="str">
        <f t="shared" si="226"/>
        <v>-0,0424782618151354-0,316724873702646i</v>
      </c>
      <c r="AD303" s="20">
        <f t="shared" si="227"/>
        <v>-9.9089324105535077</v>
      </c>
      <c r="AE303" s="44">
        <f t="shared" si="228"/>
        <v>-97.638768112453803</v>
      </c>
      <c r="AF303" t="str">
        <f t="shared" si="213"/>
        <v>-20791,6666666667</v>
      </c>
      <c r="AG303" t="str">
        <f t="shared" si="229"/>
        <v>44481,5455072214i</v>
      </c>
      <c r="AH303">
        <f t="shared" si="230"/>
        <v>44481.545507221403</v>
      </c>
      <c r="AI303">
        <f t="shared" si="231"/>
        <v>1.5707963267948966</v>
      </c>
      <c r="AJ303" t="str">
        <f t="shared" si="214"/>
        <v>-35,9085906952439+52,1865943384368i</v>
      </c>
      <c r="AK303">
        <f t="shared" si="232"/>
        <v>63.347198157164939</v>
      </c>
      <c r="AL303">
        <f t="shared" si="233"/>
        <v>2.173477917855136</v>
      </c>
      <c r="AM303" t="str">
        <f t="shared" si="215"/>
        <v>1+71,7398365940466i</v>
      </c>
      <c r="AN303">
        <f t="shared" si="234"/>
        <v>71.746805883889394</v>
      </c>
      <c r="AO303">
        <f t="shared" si="235"/>
        <v>1.5568579727729612</v>
      </c>
      <c r="AP303" t="str">
        <f t="shared" si="216"/>
        <v>1+50,3886947505804i</v>
      </c>
      <c r="AQ303">
        <f t="shared" si="236"/>
        <v>50.39861663445901</v>
      </c>
      <c r="AR303">
        <f t="shared" si="237"/>
        <v>1.5509532101643779</v>
      </c>
      <c r="AS303" s="42" t="str">
        <f t="shared" si="238"/>
        <v>-21,4569945028781+15,8580195478366i</v>
      </c>
      <c r="AT303">
        <f t="shared" si="239"/>
        <v>28.524064239446755</v>
      </c>
      <c r="AU303" s="44">
        <f t="shared" si="240"/>
        <v>143.53335274788816</v>
      </c>
      <c r="AV303" s="42" t="str">
        <f t="shared" si="217"/>
        <v>5,93408506872182+6,1223427677399i</v>
      </c>
      <c r="AW303" s="20">
        <f t="shared" si="241"/>
        <v>18.615131828893254</v>
      </c>
      <c r="AX303" s="44">
        <f t="shared" si="242"/>
        <v>45.894584635434356</v>
      </c>
    </row>
    <row r="304" spans="14:50" x14ac:dyDescent="0.3">
      <c r="N304" s="8">
        <v>86</v>
      </c>
      <c r="O304" s="35">
        <f t="shared" si="243"/>
        <v>7244.3596007499036</v>
      </c>
      <c r="P304" s="34" t="str">
        <f t="shared" si="208"/>
        <v>324,571428571429</v>
      </c>
      <c r="Q304" s="4" t="str">
        <f t="shared" si="209"/>
        <v>1+1040,40351550531i</v>
      </c>
      <c r="R304" s="4">
        <f t="shared" si="218"/>
        <v>1040.4039960879657</v>
      </c>
      <c r="S304" s="4">
        <f t="shared" si="219"/>
        <v>1.5698351615574184</v>
      </c>
      <c r="T304" s="4" t="str">
        <f t="shared" si="210"/>
        <v>1+0,00910353076067144i</v>
      </c>
      <c r="U304" s="4">
        <f t="shared" si="220"/>
        <v>1.0000414362776726</v>
      </c>
      <c r="V304" s="4">
        <f t="shared" si="221"/>
        <v>9.1032792903464905E-3</v>
      </c>
      <c r="W304" t="str">
        <f t="shared" si="211"/>
        <v>1-0,0790237045197174i</v>
      </c>
      <c r="X304" s="4">
        <f t="shared" si="222"/>
        <v>1.0031175134928207</v>
      </c>
      <c r="Y304" s="4">
        <f t="shared" si="223"/>
        <v>-7.8859823801310597E-2</v>
      </c>
      <c r="Z304" t="str">
        <f t="shared" si="212"/>
        <v>0,9997900770159+0,0677549242552056i</v>
      </c>
      <c r="AA304" s="4">
        <f t="shared" si="224"/>
        <v>1.0020832938734623</v>
      </c>
      <c r="AB304" s="4">
        <f t="shared" si="225"/>
        <v>6.7665688668694296E-2</v>
      </c>
      <c r="AC304" s="48" t="str">
        <f t="shared" si="226"/>
        <v>-0,0424848717537398-0,309398365428353i</v>
      </c>
      <c r="AD304" s="20">
        <f t="shared" si="227"/>
        <v>-10.108514769078351</v>
      </c>
      <c r="AE304" s="44">
        <f t="shared" si="228"/>
        <v>-97.81864326093492</v>
      </c>
      <c r="AF304" t="str">
        <f t="shared" si="213"/>
        <v>-20791,6666666667</v>
      </c>
      <c r="AG304" t="str">
        <f t="shared" si="229"/>
        <v>45517,6538033572i</v>
      </c>
      <c r="AH304">
        <f t="shared" si="230"/>
        <v>45517.6538033572</v>
      </c>
      <c r="AI304">
        <f t="shared" si="231"/>
        <v>1.5707963267948966</v>
      </c>
      <c r="AJ304" t="str">
        <f t="shared" si="214"/>
        <v>-37,6480389853158+53,4021762775209i</v>
      </c>
      <c r="AK304">
        <f t="shared" si="232"/>
        <v>65.33886493210052</v>
      </c>
      <c r="AL304">
        <f t="shared" si="233"/>
        <v>2.1848639238567604</v>
      </c>
      <c r="AM304" t="str">
        <f t="shared" si="215"/>
        <v>1+73,4108720540544i</v>
      </c>
      <c r="AN304">
        <f t="shared" si="234"/>
        <v>73.417682718380206</v>
      </c>
      <c r="AO304">
        <f t="shared" si="235"/>
        <v>1.5571752087465176</v>
      </c>
      <c r="AP304" t="str">
        <f t="shared" si="216"/>
        <v>1+51,562398228443i</v>
      </c>
      <c r="AQ304">
        <f t="shared" si="236"/>
        <v>51.572094305627552</v>
      </c>
      <c r="AR304">
        <f t="shared" si="237"/>
        <v>1.5514047801022837</v>
      </c>
      <c r="AS304" s="42" t="str">
        <f t="shared" si="238"/>
        <v>-21,1189887459046+15,9576663544136i</v>
      </c>
      <c r="AT304">
        <f t="shared" si="239"/>
        <v>28.455065816456901</v>
      </c>
      <c r="AU304" s="44">
        <f t="shared" si="240"/>
        <v>142.92503199247605</v>
      </c>
      <c r="AV304" s="42" t="str">
        <f t="shared" si="217"/>
        <v>5,83451341454502+5,85622118892644i</v>
      </c>
      <c r="AW304" s="20">
        <f t="shared" si="241"/>
        <v>18.346551047378554</v>
      </c>
      <c r="AX304" s="44">
        <f t="shared" si="242"/>
        <v>45.106388731541188</v>
      </c>
    </row>
    <row r="305" spans="14:50" x14ac:dyDescent="0.3">
      <c r="N305" s="8">
        <v>87</v>
      </c>
      <c r="O305" s="35">
        <f t="shared" si="243"/>
        <v>7413.1024130091773</v>
      </c>
      <c r="P305" s="34" t="str">
        <f t="shared" si="208"/>
        <v>324,571428571429</v>
      </c>
      <c r="Q305" s="4" t="str">
        <f t="shared" si="209"/>
        <v>1+1064,63762656084i</v>
      </c>
      <c r="R305" s="4">
        <f t="shared" si="218"/>
        <v>1064.6380962041037</v>
      </c>
      <c r="S305" s="4">
        <f t="shared" si="219"/>
        <v>1.5698570403363257</v>
      </c>
      <c r="T305" s="4" t="str">
        <f t="shared" si="210"/>
        <v>1+0,00931557923240736i</v>
      </c>
      <c r="U305" s="4">
        <f t="shared" si="220"/>
        <v>1.000043389066912</v>
      </c>
      <c r="V305" s="4">
        <f t="shared" si="221"/>
        <v>9.3153097777308926E-3</v>
      </c>
      <c r="W305" t="str">
        <f t="shared" si="211"/>
        <v>1-0,0808644030590917i</v>
      </c>
      <c r="X305" s="4">
        <f t="shared" si="222"/>
        <v>1.0032641983456319</v>
      </c>
      <c r="Y305" s="4">
        <f t="shared" si="223"/>
        <v>-8.0688832547861397E-2</v>
      </c>
      <c r="Z305" t="str">
        <f t="shared" si="212"/>
        <v>0,999780183650457+0,0693331391828651i</v>
      </c>
      <c r="AA305" s="4">
        <f t="shared" si="224"/>
        <v>1.0021813707154468</v>
      </c>
      <c r="AB305" s="4">
        <f t="shared" si="225"/>
        <v>6.9237532736134755E-2</v>
      </c>
      <c r="AC305" s="48" t="str">
        <f t="shared" si="226"/>
        <v>-0,0424904940199228-0,302235948586484i</v>
      </c>
      <c r="AD305" s="20">
        <f t="shared" si="227"/>
        <v>-10.308077663554705</v>
      </c>
      <c r="AE305" s="44">
        <f t="shared" si="228"/>
        <v>-98.002602883558851</v>
      </c>
      <c r="AF305" t="str">
        <f t="shared" si="213"/>
        <v>-20791,6666666667</v>
      </c>
      <c r="AG305" t="str">
        <f t="shared" si="229"/>
        <v>46577,8961620368i</v>
      </c>
      <c r="AH305">
        <f t="shared" si="230"/>
        <v>46577.896162036799</v>
      </c>
      <c r="AI305">
        <f t="shared" si="231"/>
        <v>1.5707963267948966</v>
      </c>
      <c r="AJ305" t="str">
        <f t="shared" si="214"/>
        <v>-39,4694649477082+54,6460727573287i</v>
      </c>
      <c r="AK305">
        <f t="shared" si="232"/>
        <v>67.409435029954281</v>
      </c>
      <c r="AL305">
        <f t="shared" si="233"/>
        <v>2.1963157240207427</v>
      </c>
      <c r="AM305" t="str">
        <f t="shared" si="215"/>
        <v>1+75,1208309301329i</v>
      </c>
      <c r="AN305">
        <f t="shared" si="234"/>
        <v>75.127486578705742</v>
      </c>
      <c r="AO305">
        <f t="shared" si="235"/>
        <v>1.5574852261970793</v>
      </c>
      <c r="AP305" t="str">
        <f t="shared" si="216"/>
        <v>1+52,7634407723553i</v>
      </c>
      <c r="AQ305">
        <f t="shared" si="236"/>
        <v>52.772916179967218</v>
      </c>
      <c r="AR305">
        <f t="shared" si="237"/>
        <v>1.5518460786964008</v>
      </c>
      <c r="AS305" s="42" t="str">
        <f t="shared" si="238"/>
        <v>-20,7762818296568+16,0508209128663i</v>
      </c>
      <c r="AT305">
        <f t="shared" si="239"/>
        <v>28.383974028140866</v>
      </c>
      <c r="AU305" s="44">
        <f t="shared" si="240"/>
        <v>142.31193941369315</v>
      </c>
      <c r="AV305" s="42" t="str">
        <f t="shared" si="217"/>
        <v>5,73392956303118+5,59733193687346i</v>
      </c>
      <c r="AW305" s="20">
        <f t="shared" si="241"/>
        <v>18.075896364586161</v>
      </c>
      <c r="AX305" s="44">
        <f t="shared" si="242"/>
        <v>44.30933653013436</v>
      </c>
    </row>
    <row r="306" spans="14:50" x14ac:dyDescent="0.3">
      <c r="N306" s="8">
        <v>88</v>
      </c>
      <c r="O306" s="35">
        <f t="shared" si="243"/>
        <v>7585.7757502918394</v>
      </c>
      <c r="P306" s="34" t="str">
        <f t="shared" si="208"/>
        <v>324,571428571429</v>
      </c>
      <c r="Q306" s="4" t="str">
        <f t="shared" si="209"/>
        <v>1+1089,43622257812i</v>
      </c>
      <c r="R306" s="4">
        <f t="shared" si="218"/>
        <v>1089.4366815310025</v>
      </c>
      <c r="S306" s="4">
        <f t="shared" si="219"/>
        <v>1.569878421094292</v>
      </c>
      <c r="T306" s="4" t="str">
        <f t="shared" si="210"/>
        <v>1+0,00953256694755858i</v>
      </c>
      <c r="U306" s="4">
        <f t="shared" si="220"/>
        <v>1.000045433884186</v>
      </c>
      <c r="V306" s="4">
        <f t="shared" si="221"/>
        <v>9.5322782223793059E-3</v>
      </c>
      <c r="W306" t="str">
        <f t="shared" si="211"/>
        <v>1-0,0827479769753349i</v>
      </c>
      <c r="X306" s="4">
        <f t="shared" si="222"/>
        <v>1.0034177732597278</v>
      </c>
      <c r="Y306" s="4">
        <f t="shared" si="223"/>
        <v>-8.2559884373948095E-2</v>
      </c>
      <c r="Z306" t="str">
        <f t="shared" si="212"/>
        <v>0,999769824025065+0,0709481154586521i</v>
      </c>
      <c r="AA306" s="4">
        <f t="shared" si="224"/>
        <v>1.0022840595950049</v>
      </c>
      <c r="AB306" s="4">
        <f t="shared" si="225"/>
        <v>7.0845683876068086E-2</v>
      </c>
      <c r="AC306" s="48" t="str">
        <f t="shared" si="226"/>
        <v>-0,0424951409625119-0,295233828879346i</v>
      </c>
      <c r="AD306" s="20">
        <f t="shared" si="227"/>
        <v>-10.507620195149832</v>
      </c>
      <c r="AE306" s="44">
        <f t="shared" si="228"/>
        <v>-98.190740180609566</v>
      </c>
      <c r="AF306" t="str">
        <f t="shared" si="213"/>
        <v>-20791,6666666667</v>
      </c>
      <c r="AG306" t="str">
        <f t="shared" si="229"/>
        <v>47662,8347377929i</v>
      </c>
      <c r="AH306">
        <f t="shared" si="230"/>
        <v>47662.834737792902</v>
      </c>
      <c r="AI306">
        <f t="shared" si="231"/>
        <v>1.5707963267948966</v>
      </c>
      <c r="AJ306" t="str">
        <f t="shared" si="214"/>
        <v>-41,3767320710906+55,9189433082386i</v>
      </c>
      <c r="AK306">
        <f t="shared" si="232"/>
        <v>69.562649299698336</v>
      </c>
      <c r="AL306">
        <f t="shared" si="233"/>
        <v>2.207828684457589</v>
      </c>
      <c r="AM306" t="str">
        <f t="shared" si="215"/>
        <v>1+76,8706198651123i</v>
      </c>
      <c r="AN306">
        <f t="shared" si="234"/>
        <v>76.877124025594227</v>
      </c>
      <c r="AO306">
        <f t="shared" si="235"/>
        <v>1.5577881892614975</v>
      </c>
      <c r="AP306" t="str">
        <f t="shared" si="216"/>
        <v>1+53,9924591909718i</v>
      </c>
      <c r="AQ306">
        <f t="shared" si="236"/>
        <v>54.001718949388597</v>
      </c>
      <c r="AR306">
        <f t="shared" si="237"/>
        <v>1.5522773392411668</v>
      </c>
      <c r="AS306" s="42" t="str">
        <f t="shared" si="238"/>
        <v>-20,4291457097388+16,1372306965641i</v>
      </c>
      <c r="AT306">
        <f t="shared" si="239"/>
        <v>28.310760680038598</v>
      </c>
      <c r="AU306" s="44">
        <f t="shared" si="240"/>
        <v>141.69436328498577</v>
      </c>
      <c r="AV306" s="42" t="str">
        <f t="shared" si="217"/>
        <v>5,63239583273498+5,34562101542519i</v>
      </c>
      <c r="AW306" s="20">
        <f t="shared" si="241"/>
        <v>17.803140484888768</v>
      </c>
      <c r="AX306" s="44">
        <f t="shared" si="242"/>
        <v>43.503623104376238</v>
      </c>
    </row>
    <row r="307" spans="14:50" x14ac:dyDescent="0.3">
      <c r="N307" s="8">
        <v>89</v>
      </c>
      <c r="O307" s="35">
        <f t="shared" si="243"/>
        <v>7762.4711662869322</v>
      </c>
      <c r="P307" s="34" t="str">
        <f t="shared" si="208"/>
        <v>324,571428571429</v>
      </c>
      <c r="Q307" s="4" t="str">
        <f t="shared" si="209"/>
        <v>1+1114,81245210101i</v>
      </c>
      <c r="R307" s="4">
        <f t="shared" si="218"/>
        <v>1114.8129006068536</v>
      </c>
      <c r="S307" s="4">
        <f t="shared" si="219"/>
        <v>1.5698993151675997</v>
      </c>
      <c r="T307" s="4" t="str">
        <f t="shared" si="210"/>
        <v>1+0,00975460895588384i</v>
      </c>
      <c r="U307" s="4">
        <f t="shared" si="220"/>
        <v>1.0000475750662476</v>
      </c>
      <c r="V307" s="4">
        <f t="shared" si="221"/>
        <v>9.7542995820752293E-3</v>
      </c>
      <c r="W307" t="str">
        <f t="shared" si="211"/>
        <v>1-0,0846754249642694i</v>
      </c>
      <c r="X307" s="4">
        <f t="shared" si="222"/>
        <v>1.0035785607479264</v>
      </c>
      <c r="Y307" s="4">
        <f t="shared" si="223"/>
        <v>-8.4473918904879389E-2</v>
      </c>
      <c r="Z307" t="str">
        <f t="shared" si="212"/>
        <v>0,99975897616557+0,0726007093643646i</v>
      </c>
      <c r="AA307" s="4">
        <f t="shared" si="224"/>
        <v>1.0023915768919041</v>
      </c>
      <c r="AB307" s="4">
        <f t="shared" si="225"/>
        <v>7.2490966046604891E-2</v>
      </c>
      <c r="AC307" s="48" t="str">
        <f t="shared" si="226"/>
        <v>-0,0424988229020323-0,288388297222917i</v>
      </c>
      <c r="AD307" s="20">
        <f t="shared" si="227"/>
        <v>-10.70714142454028</v>
      </c>
      <c r="AE307" s="44">
        <f t="shared" si="228"/>
        <v>-98.383150260899143</v>
      </c>
      <c r="AF307" t="str">
        <f t="shared" si="213"/>
        <v>-20791,6666666667</v>
      </c>
      <c r="AG307" t="str">
        <f t="shared" si="229"/>
        <v>48773,0447794192i</v>
      </c>
      <c r="AH307">
        <f t="shared" si="230"/>
        <v>48773.0447794192</v>
      </c>
      <c r="AI307">
        <f t="shared" si="231"/>
        <v>1.5707963267948966</v>
      </c>
      <c r="AJ307" t="str">
        <f t="shared" si="214"/>
        <v>-43,373885924743+57,2214628230655i</v>
      </c>
      <c r="AK307">
        <f t="shared" si="232"/>
        <v>71.802435807039899</v>
      </c>
      <c r="AL307">
        <f t="shared" si="233"/>
        <v>2.2193979956152026</v>
      </c>
      <c r="AM307" t="str">
        <f t="shared" si="215"/>
        <v>1+78,6611666202472i</v>
      </c>
      <c r="AN307">
        <f t="shared" si="234"/>
        <v>78.667522740062765</v>
      </c>
      <c r="AO307">
        <f t="shared" si="235"/>
        <v>1.5580842583522079</v>
      </c>
      <c r="AP307" t="str">
        <f t="shared" si="216"/>
        <v>1+55,2501051261261i</v>
      </c>
      <c r="AQ307">
        <f t="shared" si="236"/>
        <v>55.259154141626034</v>
      </c>
      <c r="AR307">
        <f t="shared" si="237"/>
        <v>1.5526987897545972</v>
      </c>
      <c r="AS307" s="42" t="str">
        <f t="shared" si="238"/>
        <v>-20,0778689213971+16,2166563109005i</v>
      </c>
      <c r="AT307">
        <f t="shared" si="239"/>
        <v>28.235399306930624</v>
      </c>
      <c r="AU307" s="44">
        <f t="shared" si="240"/>
        <v>141.07260142881606</v>
      </c>
      <c r="AV307" s="42" t="str">
        <f t="shared" si="217"/>
        <v>5,52997969569054+5,10103362548655i</v>
      </c>
      <c r="AW307" s="20">
        <f t="shared" si="241"/>
        <v>17.528257882390342</v>
      </c>
      <c r="AX307" s="44">
        <f t="shared" si="242"/>
        <v>42.689451167916914</v>
      </c>
    </row>
    <row r="308" spans="14:50" x14ac:dyDescent="0.3">
      <c r="N308" s="8">
        <v>90</v>
      </c>
      <c r="O308" s="35">
        <f t="shared" si="243"/>
        <v>7943.2823472428154</v>
      </c>
      <c r="P308" s="34" t="str">
        <f t="shared" si="208"/>
        <v>324,571428571429</v>
      </c>
      <c r="Q308" s="4" t="str">
        <f t="shared" si="209"/>
        <v>1+1140,77976994229i</v>
      </c>
      <c r="R308" s="4">
        <f t="shared" si="218"/>
        <v>1140.7802082388982</v>
      </c>
      <c r="S308" s="4">
        <f t="shared" si="219"/>
        <v>1.5699197336344901</v>
      </c>
      <c r="T308" s="4" t="str">
        <f t="shared" si="210"/>
        <v>1+0,009981822986995i</v>
      </c>
      <c r="U308" s="4">
        <f t="shared" si="220"/>
        <v>1.0000498171541974</v>
      </c>
      <c r="V308" s="4">
        <f t="shared" si="221"/>
        <v>9.9814914878784099E-3</v>
      </c>
      <c r="W308" t="str">
        <f t="shared" si="211"/>
        <v>1-0,0866477689843316i</v>
      </c>
      <c r="X308" s="4">
        <f t="shared" si="222"/>
        <v>1.0037468983115028</v>
      </c>
      <c r="Y308" s="4">
        <f t="shared" si="223"/>
        <v>-8.6431894858943717E-2</v>
      </c>
      <c r="Z308" t="str">
        <f t="shared" si="212"/>
        <v>0,999747617062208+0,0742917971271658i</v>
      </c>
      <c r="AA308" s="4">
        <f t="shared" si="224"/>
        <v>1.002504149089642</v>
      </c>
      <c r="AB308" s="4">
        <f t="shared" si="225"/>
        <v>7.4174220859573772E-2</v>
      </c>
      <c r="AC308" s="48" t="str">
        <f t="shared" si="226"/>
        <v>-0,0425015481564502-0,281695727796466i</v>
      </c>
      <c r="AD308" s="20">
        <f t="shared" si="227"/>
        <v>-10.906640370175122</v>
      </c>
      <c r="AE308" s="44">
        <f t="shared" si="228"/>
        <v>-98.579930170718242</v>
      </c>
      <c r="AF308" t="str">
        <f t="shared" si="213"/>
        <v>-20791,6666666667</v>
      </c>
      <c r="AG308" t="str">
        <f t="shared" si="229"/>
        <v>49909,114934975i</v>
      </c>
      <c r="AH308">
        <f t="shared" si="230"/>
        <v>49909.114934974998</v>
      </c>
      <c r="AI308">
        <f t="shared" si="231"/>
        <v>1.5707963267948966</v>
      </c>
      <c r="AJ308" t="str">
        <f t="shared" si="214"/>
        <v>-45,4651627397522+58,5543219148965i</v>
      </c>
      <c r="AK308">
        <f t="shared" si="232"/>
        <v>74.132918719456072</v>
      </c>
      <c r="AL308">
        <f t="shared" si="233"/>
        <v>2.2310186820816957</v>
      </c>
      <c r="AM308" t="str">
        <f t="shared" si="215"/>
        <v>1+80,4934205671276i</v>
      </c>
      <c r="AN308">
        <f t="shared" si="234"/>
        <v>80.499632015286139</v>
      </c>
      <c r="AO308">
        <f t="shared" si="235"/>
        <v>1.5583735902412217</v>
      </c>
      <c r="AP308" t="str">
        <f t="shared" si="216"/>
        <v>1+56,5370453983397i</v>
      </c>
      <c r="AQ308">
        <f t="shared" si="236"/>
        <v>56.545888465687085</v>
      </c>
      <c r="AR308">
        <f t="shared" si="237"/>
        <v>1.5531106530961227</v>
      </c>
      <c r="AS308" s="42" t="str">
        <f t="shared" si="238"/>
        <v>-19,7227558007008+16,2888728101317i</v>
      </c>
      <c r="AT308">
        <f t="shared" si="239"/>
        <v>28.157865272392065</v>
      </c>
      <c r="AU308" s="44">
        <f t="shared" si="240"/>
        <v>140.44696066656581</v>
      </c>
      <c r="AV308" s="42" t="str">
        <f t="shared" si="217"/>
        <v>5,42675353667551+4,86351373727628i</v>
      </c>
      <c r="AW308" s="20">
        <f t="shared" si="241"/>
        <v>17.251224902216947</v>
      </c>
      <c r="AX308" s="44">
        <f t="shared" si="242"/>
        <v>41.867030495847565</v>
      </c>
    </row>
    <row r="309" spans="14:50" x14ac:dyDescent="0.3">
      <c r="N309" s="8">
        <v>91</v>
      </c>
      <c r="O309" s="35">
        <f t="shared" si="243"/>
        <v>8128.3051616410066</v>
      </c>
      <c r="P309" s="34" t="str">
        <f t="shared" si="208"/>
        <v>324,571428571429</v>
      </c>
      <c r="Q309" s="4" t="str">
        <f t="shared" si="209"/>
        <v>1+1167,3519443176i</v>
      </c>
      <c r="R309" s="4">
        <f t="shared" si="218"/>
        <v>1167.3523726373633</v>
      </c>
      <c r="S309" s="4">
        <f t="shared" si="219"/>
        <v>1.5699396873210367</v>
      </c>
      <c r="T309" s="4" t="str">
        <f t="shared" si="210"/>
        <v>1+0,010214329512779i</v>
      </c>
      <c r="U309" s="4">
        <f t="shared" si="220"/>
        <v>1.0000521649031093</v>
      </c>
      <c r="V309" s="4">
        <f t="shared" si="221"/>
        <v>1.0213974306076595E-2</v>
      </c>
      <c r="W309" t="str">
        <f t="shared" si="211"/>
        <v>1-0,0886660547984285i</v>
      </c>
      <c r="X309" s="4">
        <f t="shared" si="222"/>
        <v>1.0039231391264563</v>
      </c>
      <c r="Y309" s="4">
        <f t="shared" si="223"/>
        <v>-8.8434790297695728E-2</v>
      </c>
      <c r="Z309" t="str">
        <f t="shared" si="212"/>
        <v>0,999735722620797+0,0760222753841725i</v>
      </c>
      <c r="AA309" s="4">
        <f t="shared" si="224"/>
        <v>1.0026220132426347</v>
      </c>
      <c r="AB309" s="4">
        <f t="shared" si="225"/>
        <v>7.5896307883648956E-2</v>
      </c>
      <c r="AC309" s="48" t="str">
        <f t="shared" si="226"/>
        <v>-0,0425033230630288-0,275152576137365i</v>
      </c>
      <c r="AD309" s="20">
        <f t="shared" si="227"/>
        <v>-11.106116006474076</v>
      </c>
      <c r="AE309" s="44">
        <f t="shared" si="228"/>
        <v>-98.781178922331264</v>
      </c>
      <c r="AF309" t="str">
        <f t="shared" si="213"/>
        <v>-20791,6666666667</v>
      </c>
      <c r="AG309" t="str">
        <f t="shared" si="229"/>
        <v>51071,6475638948i</v>
      </c>
      <c r="AH309">
        <f t="shared" si="230"/>
        <v>51071.647563894803</v>
      </c>
      <c r="AI309">
        <f t="shared" si="231"/>
        <v>1.5707963267948966</v>
      </c>
      <c r="AJ309" t="str">
        <f t="shared" si="214"/>
        <v>-47,6549983946258+59,9182272832651i</v>
      </c>
      <c r="AK309">
        <f t="shared" si="232"/>
        <v>76.558427575027963</v>
      </c>
      <c r="AL309">
        <f t="shared" si="233"/>
        <v>2.2426856133029118</v>
      </c>
      <c r="AM309" t="str">
        <f t="shared" si="215"/>
        <v>1+82,3683531910495i</v>
      </c>
      <c r="AN309">
        <f t="shared" si="234"/>
        <v>82.374423259926218</v>
      </c>
      <c r="AO309">
        <f t="shared" si="235"/>
        <v>1.5586563381422587</v>
      </c>
      <c r="AP309" t="str">
        <f t="shared" si="216"/>
        <v>1+57,85396236038i</v>
      </c>
      <c r="AQ309">
        <f t="shared" si="236"/>
        <v>57.862604165352479</v>
      </c>
      <c r="AR309">
        <f t="shared" si="237"/>
        <v>1.5535131470818988</v>
      </c>
      <c r="AS309" s="42" t="str">
        <f t="shared" si="238"/>
        <v>-19,3641255829876+16,3536709612282i</v>
      </c>
      <c r="AT309">
        <f t="shared" si="239"/>
        <v>28.078135863181505</v>
      </c>
      <c r="AU309" s="44">
        <f t="shared" si="240"/>
        <v>139.81775621578086</v>
      </c>
      <c r="AV309" s="42" t="str">
        <f t="shared" si="217"/>
        <v>5,32279437977154+4,63300367867494i</v>
      </c>
      <c r="AW309" s="20">
        <f t="shared" si="241"/>
        <v>16.972019856707426</v>
      </c>
      <c r="AX309" s="44">
        <f t="shared" si="242"/>
        <v>41.036577293449604</v>
      </c>
    </row>
    <row r="310" spans="14:50" x14ac:dyDescent="0.3">
      <c r="N310" s="8">
        <v>92</v>
      </c>
      <c r="O310" s="35">
        <f t="shared" si="243"/>
        <v>8317.6377110267094</v>
      </c>
      <c r="P310" s="34" t="str">
        <f t="shared" si="208"/>
        <v>324,571428571429</v>
      </c>
      <c r="Q310" s="4" t="str">
        <f t="shared" si="209"/>
        <v>1+1194,54306414551i</v>
      </c>
      <c r="R310" s="4">
        <f t="shared" si="218"/>
        <v>1194.5434827155284</v>
      </c>
      <c r="S310" s="4">
        <f t="shared" si="219"/>
        <v>1.5699591868068843</v>
      </c>
      <c r="T310" s="4" t="str">
        <f t="shared" si="210"/>
        <v>1+0,0104522518112732i</v>
      </c>
      <c r="U310" s="4">
        <f t="shared" si="220"/>
        <v>1.000054623292111</v>
      </c>
      <c r="V310" s="4">
        <f t="shared" si="221"/>
        <v>1.0451871201557012E-2</v>
      </c>
      <c r="W310" t="str">
        <f t="shared" si="211"/>
        <v>1-0,090731352528413i</v>
      </c>
      <c r="X310" s="4">
        <f t="shared" si="222"/>
        <v>1.0041076527602184</v>
      </c>
      <c r="Y310" s="4">
        <f t="shared" si="223"/>
        <v>-9.0483602868805288E-2</v>
      </c>
      <c r="Z310" t="str">
        <f t="shared" si="212"/>
        <v>0,999723267611632+0,0777930616578613i</v>
      </c>
      <c r="AA310" s="4">
        <f t="shared" si="224"/>
        <v>1.0027454174645638</v>
      </c>
      <c r="AB310" s="4">
        <f t="shared" si="225"/>
        <v>7.7658104947041756E-2</v>
      </c>
      <c r="AC310" s="48" t="str">
        <f t="shared" si="226"/>
        <v>-0,0425041519963788-0,26875537728016i</v>
      </c>
      <c r="AD310" s="20">
        <f t="shared" si="227"/>
        <v>-11.30556726195881</v>
      </c>
      <c r="AE310" s="44">
        <f t="shared" si="228"/>
        <v>-98.986997521931613</v>
      </c>
      <c r="AF310" t="str">
        <f t="shared" si="213"/>
        <v>-20791,6666666667</v>
      </c>
      <c r="AG310" t="str">
        <f t="shared" si="229"/>
        <v>52261,2590563659i</v>
      </c>
      <c r="AH310">
        <f t="shared" si="230"/>
        <v>52261.259056365903</v>
      </c>
      <c r="AI310">
        <f t="shared" si="231"/>
        <v>1.5707963267948966</v>
      </c>
      <c r="AJ310" t="str">
        <f t="shared" si="214"/>
        <v>-49,9480378243833+61,3139020888505i</v>
      </c>
      <c r="AK310">
        <f t="shared" si="232"/>
        <v>79.083506952253771</v>
      </c>
      <c r="AL310">
        <f t="shared" si="233"/>
        <v>2.2543935151725476</v>
      </c>
      <c r="AM310" t="str">
        <f t="shared" si="215"/>
        <v>1+84,2869586061069i</v>
      </c>
      <c r="AN310">
        <f t="shared" si="234"/>
        <v>84.292890513183707</v>
      </c>
      <c r="AO310">
        <f t="shared" si="235"/>
        <v>1.5589326517910573</v>
      </c>
      <c r="AP310" t="str">
        <f t="shared" si="216"/>
        <v>1+59,2015542590513i</v>
      </c>
      <c r="AQ310">
        <f t="shared" si="236"/>
        <v>59.209999380910268</v>
      </c>
      <c r="AR310">
        <f t="shared" si="237"/>
        <v>1.5539064845976278</v>
      </c>
      <c r="AS310" s="42" t="str">
        <f t="shared" si="238"/>
        <v>-19,0023113826007+16,4108584417076i</v>
      </c>
      <c r="AT310">
        <f t="shared" si="239"/>
        <v>27.996190377718978</v>
      </c>
      <c r="AU310" s="44">
        <f t="shared" si="240"/>
        <v>139.18531103717092</v>
      </c>
      <c r="AV310" s="42" t="str">
        <f t="shared" si="217"/>
        <v>5,218183583281+4,40944374322853i</v>
      </c>
      <c r="AW310" s="20">
        <f t="shared" si="241"/>
        <v>16.690623115760161</v>
      </c>
      <c r="AX310" s="44">
        <f t="shared" si="242"/>
        <v>40.198313515239285</v>
      </c>
    </row>
    <row r="311" spans="14:50" x14ac:dyDescent="0.3">
      <c r="N311" s="8">
        <v>93</v>
      </c>
      <c r="O311" s="35">
        <f t="shared" si="243"/>
        <v>8511.3803820237772</v>
      </c>
      <c r="P311" s="34" t="str">
        <f t="shared" si="208"/>
        <v>324,571428571429</v>
      </c>
      <c r="Q311" s="4" t="str">
        <f t="shared" si="209"/>
        <v>1+1222,36754651768i</v>
      </c>
      <c r="R311" s="4">
        <f t="shared" si="218"/>
        <v>1222.3679555598849</v>
      </c>
      <c r="S311" s="4">
        <f t="shared" si="219"/>
        <v>1.5699782424308595</v>
      </c>
      <c r="T311" s="4" t="str">
        <f t="shared" si="210"/>
        <v>1+0,0106957160320297i</v>
      </c>
      <c r="U311" s="4">
        <f t="shared" si="220"/>
        <v>1.0000571975349399</v>
      </c>
      <c r="V311" s="4">
        <f t="shared" si="221"/>
        <v>1.0695308202630819E-2</v>
      </c>
      <c r="W311" t="str">
        <f t="shared" si="211"/>
        <v>1-0,0928447572224799i</v>
      </c>
      <c r="X311" s="4">
        <f t="shared" si="222"/>
        <v>1.0043008259200532</v>
      </c>
      <c r="Y311" s="4">
        <f t="shared" si="223"/>
        <v>-9.257935004043126E-2</v>
      </c>
      <c r="Z311" t="str">
        <f t="shared" si="212"/>
        <v>0,99971022561597+0,0796050948425542i</v>
      </c>
      <c r="AA311" s="4">
        <f t="shared" si="224"/>
        <v>1.0028746214388047</v>
      </c>
      <c r="AB311" s="4">
        <f t="shared" si="225"/>
        <v>7.946050843924847E-2</v>
      </c>
      <c r="AC311" s="48" t="str">
        <f t="shared" si="226"/>
        <v>-0,0425040373827861-0,262500743939033i</v>
      </c>
      <c r="AD311" s="20">
        <f t="shared" si="227"/>
        <v>-11.504993017314618</v>
      </c>
      <c r="AE311" s="44">
        <f t="shared" si="228"/>
        <v>-99.197488996966257</v>
      </c>
      <c r="AF311" t="str">
        <f t="shared" si="213"/>
        <v>-20791,6666666667</v>
      </c>
      <c r="AG311" t="str">
        <f t="shared" si="229"/>
        <v>53478,5801601484i</v>
      </c>
      <c r="AH311">
        <f t="shared" si="230"/>
        <v>53478.580160148398</v>
      </c>
      <c r="AI311">
        <f t="shared" si="231"/>
        <v>1.5707963267948966</v>
      </c>
      <c r="AJ311" t="str">
        <f t="shared" si="214"/>
        <v>-52,3491448730889+62,7420863369091i</v>
      </c>
      <c r="AK311">
        <f t="shared" si="232"/>
        <v>81.712926559093475</v>
      </c>
      <c r="AL311">
        <f t="shared" si="233"/>
        <v>2.2661369824435562</v>
      </c>
      <c r="AM311" t="str">
        <f t="shared" si="215"/>
        <v>1+86,2502540822873i</v>
      </c>
      <c r="AN311">
        <f t="shared" si="234"/>
        <v>86.256050971854236</v>
      </c>
      <c r="AO311">
        <f t="shared" si="235"/>
        <v>1.5592026775239041</v>
      </c>
      <c r="AP311" t="str">
        <f t="shared" si="216"/>
        <v>1+60,5805356054161i</v>
      </c>
      <c r="AQ311">
        <f t="shared" si="236"/>
        <v>60.588788519321703</v>
      </c>
      <c r="AR311">
        <f t="shared" si="237"/>
        <v>1.5542908737089485</v>
      </c>
      <c r="AS311" s="42" t="str">
        <f t="shared" si="238"/>
        <v>-18,637659059509+16,4602609587426i</v>
      </c>
      <c r="AT311">
        <f t="shared" si="239"/>
        <v>27.912010207939453</v>
      </c>
      <c r="AU311" s="44">
        <f t="shared" si="240"/>
        <v>138.54995513431325</v>
      </c>
      <c r="AV311" s="42" t="str">
        <f t="shared" si="217"/>
        <v>5,11300650449355+4,19277182128236i</v>
      </c>
      <c r="AW311" s="20">
        <f t="shared" si="241"/>
        <v>16.407017190624838</v>
      </c>
      <c r="AX311" s="44">
        <f t="shared" si="242"/>
        <v>39.352466137346958</v>
      </c>
    </row>
    <row r="312" spans="14:50" x14ac:dyDescent="0.3">
      <c r="N312" s="8">
        <v>94</v>
      </c>
      <c r="O312" s="35">
        <f t="shared" si="243"/>
        <v>8709.6358995608189</v>
      </c>
      <c r="P312" s="34" t="str">
        <f t="shared" si="208"/>
        <v>324,571428571429</v>
      </c>
      <c r="Q312" s="4" t="str">
        <f t="shared" si="209"/>
        <v>1+1250,84014434296i</v>
      </c>
      <c r="R312" s="4">
        <f t="shared" si="218"/>
        <v>1250.8405440742304</v>
      </c>
      <c r="S312" s="4">
        <f t="shared" si="219"/>
        <v>1.5699968642964504</v>
      </c>
      <c r="T312" s="4" t="str">
        <f t="shared" si="210"/>
        <v>1+0,0109448512630009i</v>
      </c>
      <c r="U312" s="4">
        <f t="shared" si="220"/>
        <v>1.0000598930909934</v>
      </c>
      <c r="V312" s="4">
        <f t="shared" si="221"/>
        <v>1.0944414267340241E-2</v>
      </c>
      <c r="W312" t="str">
        <f t="shared" si="211"/>
        <v>1-0,0950073894357715i</v>
      </c>
      <c r="X312" s="4">
        <f t="shared" si="222"/>
        <v>1.0045030632344534</v>
      </c>
      <c r="Y312" s="4">
        <f t="shared" si="223"/>
        <v>-9.4723069325985176E-2</v>
      </c>
      <c r="Z312" t="str">
        <f t="shared" si="212"/>
        <v>0,999696568969988+0,0814593357022304i</v>
      </c>
      <c r="AA312" s="4">
        <f t="shared" si="224"/>
        <v>1.0030098969518768</v>
      </c>
      <c r="AB312" s="4">
        <f t="shared" si="225"/>
        <v>8.1304433611281368E-2</v>
      </c>
      <c r="AC312" s="48" t="str">
        <f t="shared" si="226"/>
        <v>-0,0425029797108755-0,256385364732712i</v>
      </c>
      <c r="AD312" s="20">
        <f t="shared" si="227"/>
        <v>-11.704392103382821</v>
      </c>
      <c r="AE312" s="44">
        <f t="shared" si="228"/>
        <v>-99.412758422730775</v>
      </c>
      <c r="AF312" t="str">
        <f t="shared" si="213"/>
        <v>-20791,6666666667</v>
      </c>
      <c r="AG312" t="str">
        <f t="shared" si="229"/>
        <v>54724,2563150044i</v>
      </c>
      <c r="AH312">
        <f t="shared" si="230"/>
        <v>54724.256315004401</v>
      </c>
      <c r="AI312">
        <f t="shared" si="231"/>
        <v>1.5707963267948966</v>
      </c>
      <c r="AJ312" t="str">
        <f t="shared" si="214"/>
        <v>-54,8634126107146+64,2035372696331i</v>
      </c>
      <c r="AK312">
        <f t="shared" si="232"/>
        <v>84.451691760595807</v>
      </c>
      <c r="AL312">
        <f t="shared" si="233"/>
        <v>2.2779104919006601</v>
      </c>
      <c r="AM312" t="str">
        <f t="shared" si="215"/>
        <v>1+88,259280584839i</v>
      </c>
      <c r="AN312">
        <f t="shared" si="234"/>
        <v>88.264945529657126</v>
      </c>
      <c r="AO312">
        <f t="shared" si="235"/>
        <v>1.5594665583544172</v>
      </c>
      <c r="AP312" t="str">
        <f t="shared" si="216"/>
        <v>1+61,991637553637i</v>
      </c>
      <c r="AQ312">
        <f t="shared" si="236"/>
        <v>61.999702633008631</v>
      </c>
      <c r="AR312">
        <f t="shared" si="237"/>
        <v>1.5546665177694312</v>
      </c>
      <c r="AS312" s="42" t="str">
        <f t="shared" si="238"/>
        <v>-18,2705259799332+16,5017232773709i</v>
      </c>
      <c r="AT312">
        <f t="shared" si="239"/>
        <v>27.825578913846414</v>
      </c>
      <c r="AU312" s="44">
        <f t="shared" si="240"/>
        <v>137.91202480951173</v>
      </c>
      <c r="AV312" s="42" t="str">
        <f t="shared" si="217"/>
        <v>5,00735213621915+3,98292305757109i</v>
      </c>
      <c r="AW312" s="20">
        <f t="shared" si="241"/>
        <v>16.121186810463602</v>
      </c>
      <c r="AX312" s="44">
        <f t="shared" si="242"/>
        <v>38.499266386780974</v>
      </c>
    </row>
    <row r="313" spans="14:50" x14ac:dyDescent="0.3">
      <c r="N313" s="8">
        <v>95</v>
      </c>
      <c r="O313" s="35">
        <f t="shared" si="243"/>
        <v>8912.5093813374679</v>
      </c>
      <c r="P313" s="34" t="str">
        <f t="shared" si="208"/>
        <v>324,571428571429</v>
      </c>
      <c r="Q313" s="4" t="str">
        <f t="shared" si="209"/>
        <v>1+1279,9759541696i</v>
      </c>
      <c r="R313" s="4">
        <f t="shared" si="218"/>
        <v>1279.9763448018787</v>
      </c>
      <c r="S313" s="4">
        <f t="shared" si="219"/>
        <v>1.5700150622771654</v>
      </c>
      <c r="T313" s="4" t="str">
        <f t="shared" si="210"/>
        <v>1+0,011199789598984i</v>
      </c>
      <c r="U313" s="4">
        <f t="shared" si="220"/>
        <v>1.0000627156769026</v>
      </c>
      <c r="V313" s="4">
        <f t="shared" si="221"/>
        <v>1.119932135128324E-2</v>
      </c>
      <c r="W313" t="str">
        <f t="shared" si="211"/>
        <v>1-0,0972203958245135i</v>
      </c>
      <c r="X313" s="4">
        <f t="shared" si="222"/>
        <v>1.0047147880688705</v>
      </c>
      <c r="Y313" s="4">
        <f t="shared" si="223"/>
        <v>-9.6915818498091777E-2</v>
      </c>
      <c r="Z313" t="str">
        <f t="shared" si="212"/>
        <v>0,99968226870611+0,0833567673799378i</v>
      </c>
      <c r="AA313" s="4">
        <f t="shared" si="224"/>
        <v>1.0031515284509258</v>
      </c>
      <c r="AB313" s="4">
        <f t="shared" si="225"/>
        <v>8.319081487378048E-2</v>
      </c>
      <c r="AC313" s="48" t="str">
        <f t="shared" si="226"/>
        <v>-0,0425009775386869-0,250406002451018i</v>
      </c>
      <c r="AD313" s="20">
        <f t="shared" si="227"/>
        <v>-11.903763299081289</v>
      </c>
      <c r="AE313" s="44">
        <f t="shared" si="228"/>
        <v>-99.632912948129729</v>
      </c>
      <c r="AF313" t="str">
        <f t="shared" si="213"/>
        <v>-20791,6666666667</v>
      </c>
      <c r="AG313" t="str">
        <f t="shared" si="229"/>
        <v>55998,9479949198i</v>
      </c>
      <c r="AH313">
        <f t="shared" si="230"/>
        <v>55998.947994919799</v>
      </c>
      <c r="AI313">
        <f t="shared" si="231"/>
        <v>1.5707963267948966</v>
      </c>
      <c r="AJ313" t="str">
        <f t="shared" si="214"/>
        <v>-57,4961741362258+65,6990297676518i</v>
      </c>
      <c r="AK313">
        <f t="shared" si="232"/>
        <v>87.305054565666453</v>
      </c>
      <c r="AL313">
        <f t="shared" si="233"/>
        <v>2.2897084162254782</v>
      </c>
      <c r="AM313" t="str">
        <f t="shared" si="215"/>
        <v>1+90,3151033262066i</v>
      </c>
      <c r="AN313">
        <f t="shared" si="234"/>
        <v>90.320639329133257</v>
      </c>
      <c r="AO313">
        <f t="shared" si="235"/>
        <v>1.5597244340486229</v>
      </c>
      <c r="AP313" t="str">
        <f t="shared" si="216"/>
        <v>1+63,4356082886451i</v>
      </c>
      <c r="AQ313">
        <f t="shared" si="236"/>
        <v>63.443489807468978</v>
      </c>
      <c r="AR313">
        <f t="shared" si="237"/>
        <v>1.5550336155262334</v>
      </c>
      <c r="AS313" s="42" t="str">
        <f t="shared" si="238"/>
        <v>-17,9012796795709+16,5351101463719i</v>
      </c>
      <c r="AT313">
        <f t="shared" si="239"/>
        <v>27.736882290137483</v>
      </c>
      <c r="AU313" s="44">
        <f t="shared" si="240"/>
        <v>137.27186187973538</v>
      </c>
      <c r="AV313" s="42" t="str">
        <f t="shared" si="217"/>
        <v>4,90131271741545+3,77982953838832i</v>
      </c>
      <c r="AW313" s="20">
        <f t="shared" si="241"/>
        <v>15.833118991056192</v>
      </c>
      <c r="AX313" s="44">
        <f t="shared" si="242"/>
        <v>37.638948931605633</v>
      </c>
    </row>
    <row r="314" spans="14:50" x14ac:dyDescent="0.3">
      <c r="N314" s="8">
        <v>96</v>
      </c>
      <c r="O314" s="35">
        <f t="shared" si="243"/>
        <v>9120.1083935591087</v>
      </c>
      <c r="P314" s="34" t="str">
        <f t="shared" si="208"/>
        <v>324,571428571429</v>
      </c>
      <c r="Q314" s="4" t="str">
        <f t="shared" si="209"/>
        <v>1+1309,79042418962i</v>
      </c>
      <c r="R314" s="4">
        <f t="shared" si="218"/>
        <v>1309.790805930025</v>
      </c>
      <c r="S314" s="4">
        <f t="shared" si="219"/>
        <v>1.5700328460217663</v>
      </c>
      <c r="T314" s="4" t="str">
        <f t="shared" si="210"/>
        <v>1+0,0114606662116592i</v>
      </c>
      <c r="U314" s="4">
        <f t="shared" si="220"/>
        <v>1.0000656712786491</v>
      </c>
      <c r="V314" s="4">
        <f t="shared" si="221"/>
        <v>1.1460164476987644E-2</v>
      </c>
      <c r="W314" t="str">
        <f t="shared" si="211"/>
        <v>1-0,0994849497539858i</v>
      </c>
      <c r="X314" s="4">
        <f t="shared" si="222"/>
        <v>1.0049364433771686</v>
      </c>
      <c r="Y314" s="4">
        <f t="shared" si="223"/>
        <v>-9.9158675790443268E-2</v>
      </c>
      <c r="Z314" t="str">
        <f t="shared" si="212"/>
        <v>0,999667294491559+0,0852983959190673i</v>
      </c>
      <c r="AA314" s="4">
        <f t="shared" si="224"/>
        <v>1.0032998136262359</v>
      </c>
      <c r="AB314" s="4">
        <f t="shared" si="225"/>
        <v>8.5120606092339623E-2</v>
      </c>
      <c r="AC314" s="48" t="str">
        <f t="shared" si="226"/>
        <v>-0,0424980274972233-0,244559492362213i</v>
      </c>
      <c r="AD314" s="20">
        <f t="shared" si="227"/>
        <v>-12.103105329251918</v>
      </c>
      <c r="AE314" s="44">
        <f t="shared" si="228"/>
        <v>-99.85806182048816</v>
      </c>
      <c r="AF314" t="str">
        <f t="shared" si="213"/>
        <v>-20791,6666666667</v>
      </c>
      <c r="AG314" t="str">
        <f t="shared" si="229"/>
        <v>57303,3310582958i</v>
      </c>
      <c r="AH314">
        <f t="shared" si="230"/>
        <v>57303.3310582958</v>
      </c>
      <c r="AI314">
        <f t="shared" si="231"/>
        <v>1.5707963267948966</v>
      </c>
      <c r="AJ314" t="str">
        <f t="shared" si="214"/>
        <v>-60,2530138897988+67,2293567608828i</v>
      </c>
      <c r="AK314">
        <f t="shared" si="232"/>
        <v>90.27852509476628</v>
      </c>
      <c r="AL314">
        <f t="shared" si="233"/>
        <v>2.3015250384779686</v>
      </c>
      <c r="AM314" t="str">
        <f t="shared" si="215"/>
        <v>1+92,4188123308194i</v>
      </c>
      <c r="AN314">
        <f t="shared" si="234"/>
        <v>92.424222326396759</v>
      </c>
      <c r="AO314">
        <f t="shared" si="235"/>
        <v>1.5599764411983592</v>
      </c>
      <c r="AP314" t="str">
        <f t="shared" si="216"/>
        <v>1+64,9132134228375i</v>
      </c>
      <c r="AQ314">
        <f t="shared" si="236"/>
        <v>64.9209155579221</v>
      </c>
      <c r="AR314">
        <f t="shared" si="237"/>
        <v>1.555392361223455</v>
      </c>
      <c r="AS314" s="42" t="str">
        <f t="shared" si="238"/>
        <v>-17,5302964394117+16,5603071113118i</v>
      </c>
      <c r="AT314">
        <f t="shared" si="239"/>
        <v>27.645908424333115</v>
      </c>
      <c r="AU314" s="44">
        <f t="shared" si="240"/>
        <v>136.62981285702352</v>
      </c>
      <c r="AV314" s="42" t="str">
        <f t="shared" si="217"/>
        <v>4,79498332062135+3,58342001120264i</v>
      </c>
      <c r="AW314" s="20">
        <f t="shared" si="241"/>
        <v>15.542803095081194</v>
      </c>
      <c r="AX314" s="44">
        <f t="shared" si="242"/>
        <v>36.771751036535363</v>
      </c>
    </row>
    <row r="315" spans="14:50" x14ac:dyDescent="0.3">
      <c r="N315" s="8">
        <v>97</v>
      </c>
      <c r="O315" s="35">
        <f t="shared" si="243"/>
        <v>9332.5430079699217</v>
      </c>
      <c r="P315" s="34" t="str">
        <f t="shared" si="208"/>
        <v>324,571428571429</v>
      </c>
      <c r="Q315" s="4" t="str">
        <f t="shared" si="209"/>
        <v>1+1340,29936242967i</v>
      </c>
      <c r="R315" s="4">
        <f t="shared" si="218"/>
        <v>1340.2997354806052</v>
      </c>
      <c r="S315" s="4">
        <f t="shared" si="219"/>
        <v>1.5700502249593848</v>
      </c>
      <c r="T315" s="4" t="str">
        <f t="shared" si="210"/>
        <v>1+0,0117276194212596i</v>
      </c>
      <c r="U315" s="4">
        <f t="shared" si="220"/>
        <v>1.0000687661642522</v>
      </c>
      <c r="V315" s="4">
        <f t="shared" si="221"/>
        <v>1.172708180486947E-2</v>
      </c>
      <c r="W315" t="str">
        <f t="shared" si="211"/>
        <v>1-0,101802251920657i</v>
      </c>
      <c r="X315" s="4">
        <f t="shared" si="222"/>
        <v>1.0051684925902309</v>
      </c>
      <c r="Y315" s="4">
        <f t="shared" si="223"/>
        <v>-0.1014527400861687</v>
      </c>
      <c r="Z315" t="str">
        <f t="shared" si="212"/>
        <v>0,999651614564018+0,0872852507967709i</v>
      </c>
      <c r="AA315" s="4">
        <f t="shared" si="224"/>
        <v>1.003455064019861</v>
      </c>
      <c r="AB315" s="4">
        <f t="shared" si="225"/>
        <v>8.7094780879333922E-2</v>
      </c>
      <c r="AC315" s="48" t="str">
        <f t="shared" si="226"/>
        <v>-0,0424941242905292-0,238842740560336i</v>
      </c>
      <c r="AD315" s="20">
        <f t="shared" si="227"/>
        <v>-12.3024168624344</v>
      </c>
      <c r="AE315" s="44">
        <f t="shared" si="228"/>
        <v>-100.08831640929223</v>
      </c>
      <c r="AF315" t="str">
        <f t="shared" si="213"/>
        <v>-20791,6666666667</v>
      </c>
      <c r="AG315" t="str">
        <f t="shared" si="229"/>
        <v>58638,0971062982i</v>
      </c>
      <c r="AH315">
        <f t="shared" si="230"/>
        <v>58638.097106298199</v>
      </c>
      <c r="AI315">
        <f t="shared" si="231"/>
        <v>1.5707963267948966</v>
      </c>
      <c r="AJ315" t="str">
        <f t="shared" si="214"/>
        <v>-63,1397794981666+68,7953296489541i</v>
      </c>
      <c r="AK315">
        <f t="shared" si="232"/>
        <v>93.377883551649219</v>
      </c>
      <c r="AL315">
        <f t="shared" si="233"/>
        <v>2.3133545671108191</v>
      </c>
      <c r="AM315" t="str">
        <f t="shared" si="215"/>
        <v>1+94,5715230130377i</v>
      </c>
      <c r="AN315">
        <f t="shared" si="234"/>
        <v>94.576809869045164</v>
      </c>
      <c r="AO315">
        <f t="shared" si="235"/>
        <v>1.5602227132930442</v>
      </c>
      <c r="AP315" t="str">
        <f t="shared" si="216"/>
        <v>1+66,4252364020146i</v>
      </c>
      <c r="AQ315">
        <f t="shared" si="236"/>
        <v>66.432763235195381</v>
      </c>
      <c r="AR315">
        <f t="shared" si="237"/>
        <v>1.5557429447032409</v>
      </c>
      <c r="AS315" s="42" t="str">
        <f t="shared" si="238"/>
        <v>-17,1579597853973+16,5772212053894i</v>
      </c>
      <c r="AT315">
        <f t="shared" si="239"/>
        <v>27.552647745904665</v>
      </c>
      <c r="AU315" s="44">
        <f t="shared" si="240"/>
        <v>135.98622809812812</v>
      </c>
      <c r="AV315" s="42" t="str">
        <f t="shared" si="217"/>
        <v>4,68846141926269+3,39361963927491i</v>
      </c>
      <c r="AW315" s="20">
        <f t="shared" si="241"/>
        <v>15.250230883470255</v>
      </c>
      <c r="AX315" s="44">
        <f t="shared" si="242"/>
        <v>35.897911688835912</v>
      </c>
    </row>
    <row r="316" spans="14:50" x14ac:dyDescent="0.3">
      <c r="N316" s="8">
        <v>98</v>
      </c>
      <c r="O316" s="35">
        <f t="shared" si="243"/>
        <v>9549.9258602143691</v>
      </c>
      <c r="P316" s="34" t="str">
        <f t="shared" si="208"/>
        <v>324,571428571429</v>
      </c>
      <c r="Q316" s="4" t="str">
        <f t="shared" si="209"/>
        <v>1+1371,51894513265i</v>
      </c>
      <c r="R316" s="4">
        <f t="shared" si="218"/>
        <v>1371.5193096919113</v>
      </c>
      <c r="S316" s="4">
        <f t="shared" si="219"/>
        <v>1.570067208304522</v>
      </c>
      <c r="T316" s="4" t="str">
        <f t="shared" si="210"/>
        <v>1+0,0120007907699107i</v>
      </c>
      <c r="U316" s="4">
        <f t="shared" si="220"/>
        <v>1.000072006897055</v>
      </c>
      <c r="V316" s="4">
        <f t="shared" si="221"/>
        <v>1.2000214705810008E-2</v>
      </c>
      <c r="W316" t="str">
        <f t="shared" si="211"/>
        <v>1-0,104173530988808i</v>
      </c>
      <c r="X316" s="4">
        <f t="shared" si="222"/>
        <v>1.0054114205431903</v>
      </c>
      <c r="Y316" s="4">
        <f t="shared" si="223"/>
        <v>-0.10379913109123184</v>
      </c>
      <c r="Z316" t="str">
        <f t="shared" si="212"/>
        <v>0,999635195664258+0,0893183854698037i</v>
      </c>
      <c r="AA316" s="4">
        <f t="shared" si="224"/>
        <v>1.003617605661465</v>
      </c>
      <c r="AB316" s="4">
        <f t="shared" si="225"/>
        <v>8.9114332881472538E-2</v>
      </c>
      <c r="AC316" s="48" t="str">
        <f t="shared" si="226"/>
        <v>-0,0424892606923572-0,233252722351755i</v>
      </c>
      <c r="AD316" s="20">
        <f t="shared" si="227"/>
        <v>-12.501696508565264</v>
      </c>
      <c r="AE316" s="44">
        <f t="shared" si="228"/>
        <v>-100.32379022872784</v>
      </c>
      <c r="AF316" t="str">
        <f t="shared" si="213"/>
        <v>-20791,6666666667</v>
      </c>
      <c r="AG316" t="str">
        <f t="shared" si="229"/>
        <v>60003,9538495533i</v>
      </c>
      <c r="AH316">
        <f t="shared" si="230"/>
        <v>60003.953849553298</v>
      </c>
      <c r="AI316">
        <f t="shared" si="231"/>
        <v>1.5707963267948966</v>
      </c>
      <c r="AJ316" t="str">
        <f t="shared" si="214"/>
        <v>-66,1625941782199+70,3977787314191i</v>
      </c>
      <c r="AK316">
        <f t="shared" si="232"/>
        <v>96.609192723620566</v>
      </c>
      <c r="AL316">
        <f t="shared" si="233"/>
        <v>2.325191151427267</v>
      </c>
      <c r="AM316" t="str">
        <f t="shared" si="215"/>
        <v>1+96,7743767685595i</v>
      </c>
      <c r="AN316">
        <f t="shared" si="234"/>
        <v>96.779543287531126</v>
      </c>
      <c r="AO316">
        <f t="shared" si="235"/>
        <v>1.5604633807898425</v>
      </c>
      <c r="AP316" t="str">
        <f t="shared" si="216"/>
        <v>1+67,972478920774i</v>
      </c>
      <c r="AQ316">
        <f t="shared" si="236"/>
        <v>67.979834441068377</v>
      </c>
      <c r="AR316">
        <f t="shared" si="237"/>
        <v>1.5560855515046765</v>
      </c>
      <c r="AS316" s="42" t="str">
        <f t="shared" si="238"/>
        <v>-16,784658924307+16,5857815100017i</v>
      </c>
      <c r="AT316">
        <f t="shared" si="239"/>
        <v>27.457093065968181</v>
      </c>
      <c r="AU316" s="44">
        <f t="shared" si="240"/>
        <v>135.34146092853217</v>
      </c>
      <c r="AV316" s="42" t="str">
        <f t="shared" si="217"/>
        <v>4,58184643820648+3,21034979347535i</v>
      </c>
      <c r="AW316" s="20">
        <f t="shared" si="241"/>
        <v>14.955396557402917</v>
      </c>
      <c r="AX316" s="44">
        <f t="shared" si="242"/>
        <v>35.017670699804349</v>
      </c>
    </row>
    <row r="317" spans="14:50" x14ac:dyDescent="0.3">
      <c r="N317" s="8">
        <v>99</v>
      </c>
      <c r="O317" s="35">
        <f t="shared" si="243"/>
        <v>9772.3722095581161</v>
      </c>
      <c r="P317" s="34" t="str">
        <f t="shared" si="208"/>
        <v>324,571428571429</v>
      </c>
      <c r="Q317" s="4" t="str">
        <f t="shared" si="209"/>
        <v>1+1403,46572533453i</v>
      </c>
      <c r="R317" s="4">
        <f t="shared" si="218"/>
        <v>1403.4660815954114</v>
      </c>
      <c r="S317" s="4">
        <f t="shared" si="219"/>
        <v>1.5700838050619326</v>
      </c>
      <c r="T317" s="4" t="str">
        <f t="shared" si="210"/>
        <v>1+0,0122803250966771i</v>
      </c>
      <c r="U317" s="4">
        <f t="shared" si="220"/>
        <v>1.0000754003496337</v>
      </c>
      <c r="V317" s="4">
        <f t="shared" si="221"/>
        <v>1.2279707835385614E-2</v>
      </c>
      <c r="W317" t="str">
        <f t="shared" si="211"/>
        <v>1-0,106600044241989i</v>
      </c>
      <c r="X317" s="4">
        <f t="shared" si="222"/>
        <v>1.0056657344428088</v>
      </c>
      <c r="Y317" s="4">
        <f t="shared" si="223"/>
        <v>-0.10619898949127969</v>
      </c>
      <c r="Z317" t="str">
        <f t="shared" si="212"/>
        <v>0,999618002965591+0,0913988779330813i</v>
      </c>
      <c r="AA317" s="4">
        <f t="shared" si="224"/>
        <v>1.0037877797325203</v>
      </c>
      <c r="AB317" s="4">
        <f t="shared" si="225"/>
        <v>9.1180276062243049E-2</v>
      </c>
      <c r="AC317" s="48" t="str">
        <f t="shared" si="226"/>
        <v>-0,0424834275394845-0,227786480680217i</v>
      </c>
      <c r="AD317" s="20">
        <f t="shared" si="227"/>
        <v>-12.700942816600204</v>
      </c>
      <c r="AE317" s="44">
        <f t="shared" si="228"/>
        <v>-100.56459895887727</v>
      </c>
      <c r="AF317" t="str">
        <f t="shared" si="213"/>
        <v>-20791,6666666667</v>
      </c>
      <c r="AG317" t="str">
        <f t="shared" si="229"/>
        <v>61401,6254833857i</v>
      </c>
      <c r="AH317">
        <f t="shared" si="230"/>
        <v>61401.625483385702</v>
      </c>
      <c r="AI317">
        <f t="shared" si="231"/>
        <v>1.5707963267948966</v>
      </c>
      <c r="AJ317" t="str">
        <f t="shared" si="214"/>
        <v>-69,3278697251713+72,0375536479923i</v>
      </c>
      <c r="AK317">
        <f t="shared" si="232"/>
        <v>99.978811036227512</v>
      </c>
      <c r="AL317">
        <f t="shared" si="233"/>
        <v>2.3370288973875741</v>
      </c>
      <c r="AM317" t="str">
        <f t="shared" si="215"/>
        <v>1+99,0285415796044i</v>
      </c>
      <c r="AN317">
        <f t="shared" si="234"/>
        <v>99.033590500311746</v>
      </c>
      <c r="AO317">
        <f t="shared" si="235"/>
        <v>1.5606985711822652</v>
      </c>
      <c r="AP317" t="str">
        <f t="shared" si="216"/>
        <v>1+69,5557613475793i</v>
      </c>
      <c r="AQ317">
        <f t="shared" si="236"/>
        <v>69.562949453293086</v>
      </c>
      <c r="AR317">
        <f t="shared" si="237"/>
        <v>1.5564203629605184</v>
      </c>
      <c r="AS317" s="42" t="str">
        <f t="shared" si="238"/>
        <v>-16,4107871292132+16,5859395784036i</v>
      </c>
      <c r="AT317">
        <f t="shared" si="239"/>
        <v>27.35923960719429</v>
      </c>
      <c r="AU317" s="44">
        <f t="shared" si="240"/>
        <v>134.69586674627885</v>
      </c>
      <c r="AV317" s="42" t="str">
        <f t="shared" si="217"/>
        <v>4,47523929120911+3,0335278831023i</v>
      </c>
      <c r="AW317" s="20">
        <f t="shared" si="241"/>
        <v>14.658296790594083</v>
      </c>
      <c r="AX317" s="44">
        <f t="shared" si="242"/>
        <v>34.131267787401576</v>
      </c>
    </row>
    <row r="318" spans="14:50" x14ac:dyDescent="0.3">
      <c r="N318" s="8">
        <v>100</v>
      </c>
      <c r="O318" s="35">
        <f t="shared" si="243"/>
        <v>10000</v>
      </c>
      <c r="P318" s="34" t="str">
        <f t="shared" si="208"/>
        <v>324,571428571429</v>
      </c>
      <c r="Q318" s="4" t="str">
        <f t="shared" si="209"/>
        <v>1+1436,15664164105i</v>
      </c>
      <c r="R318" s="4">
        <f t="shared" si="218"/>
        <v>1436.1569897924458</v>
      </c>
      <c r="S318" s="4">
        <f t="shared" si="219"/>
        <v>1.5701000240314009</v>
      </c>
      <c r="T318" s="4" t="str">
        <f t="shared" si="210"/>
        <v>1+0,0125663706143592i</v>
      </c>
      <c r="U318" s="4">
        <f t="shared" si="220"/>
        <v>1.0000789537183639</v>
      </c>
      <c r="V318" s="4">
        <f t="shared" si="221"/>
        <v>1.2565709209789116E-2</v>
      </c>
      <c r="W318" t="str">
        <f t="shared" si="211"/>
        <v>1-0,109083078249646i</v>
      </c>
      <c r="X318" s="4">
        <f t="shared" si="222"/>
        <v>1.0059319648765608</v>
      </c>
      <c r="Y318" s="4">
        <f t="shared" si="223"/>
        <v>-0.1086534770902387</v>
      </c>
      <c r="Z318" t="str">
        <f t="shared" si="212"/>
        <v>0,9996+0,0935278312912461i</v>
      </c>
      <c r="AA318" s="4">
        <f t="shared" si="224"/>
        <v>1.003965943260051</v>
      </c>
      <c r="AB318" s="4">
        <f t="shared" si="225"/>
        <v>9.3293644978343859E-2</v>
      </c>
      <c r="AC318" s="48" t="str">
        <f t="shared" si="226"/>
        <v>-0,0424766137217192-0,222441124589628i</v>
      </c>
      <c r="AD318" s="20">
        <f t="shared" si="227"/>
        <v>-12.900154272060862</v>
      </c>
      <c r="AE318" s="44">
        <f t="shared" si="228"/>
        <v>-100.81086046542184</v>
      </c>
      <c r="AF318" t="str">
        <f t="shared" si="213"/>
        <v>-20791,6666666667</v>
      </c>
      <c r="AG318" t="str">
        <f t="shared" si="229"/>
        <v>62831,8530717959i</v>
      </c>
      <c r="AH318">
        <f t="shared" si="230"/>
        <v>62831.8530717959</v>
      </c>
      <c r="AI318">
        <f t="shared" si="231"/>
        <v>1.5707963267948966</v>
      </c>
      <c r="AJ318" t="str">
        <f t="shared" si="214"/>
        <v>-72,6423201128314+73,7155238290393i</v>
      </c>
      <c r="AK318">
        <f t="shared" si="232"/>
        <v>103.49340618978935</v>
      </c>
      <c r="AL318">
        <f t="shared" si="233"/>
        <v>2.3488618836652355</v>
      </c>
      <c r="AM318" t="str">
        <f t="shared" si="215"/>
        <v>1+101,335212634192i</v>
      </c>
      <c r="AN318">
        <f t="shared" si="234"/>
        <v>101.34014663309357</v>
      </c>
      <c r="AO318">
        <f t="shared" si="235"/>
        <v>1.5609284090672362</v>
      </c>
      <c r="AP318" t="str">
        <f t="shared" si="216"/>
        <v>1+71,1759231597304i</v>
      </c>
      <c r="AQ318">
        <f t="shared" si="236"/>
        <v>71.182947660516618</v>
      </c>
      <c r="AR318">
        <f t="shared" si="237"/>
        <v>1.5567475562918043</v>
      </c>
      <c r="AS318" s="42" t="str">
        <f t="shared" si="238"/>
        <v>-16,0367400886082+16,5776697174002i</v>
      </c>
      <c r="AT318">
        <f t="shared" si="239"/>
        <v>27.259085023665261</v>
      </c>
      <c r="AU318" s="44">
        <f t="shared" si="240"/>
        <v>134.04980211128097</v>
      </c>
      <c r="AV318" s="42" t="str">
        <f t="shared" si="217"/>
        <v>4,36874190911334+2,86306722706933i</v>
      </c>
      <c r="AW318" s="20">
        <f t="shared" si="241"/>
        <v>14.358930751604397</v>
      </c>
      <c r="AX318" s="44">
        <f t="shared" si="242"/>
        <v>33.238941645859171</v>
      </c>
    </row>
    <row r="319" spans="14:50" x14ac:dyDescent="0.3">
      <c r="N319" s="8">
        <v>1</v>
      </c>
      <c r="O319" s="35">
        <f>10^(4+(N319/100))</f>
        <v>10232.929922807549</v>
      </c>
      <c r="P319" s="34" t="str">
        <f t="shared" si="208"/>
        <v>324,571428571429</v>
      </c>
      <c r="Q319" s="4" t="str">
        <f t="shared" si="209"/>
        <v>1+1469,60902720875i</v>
      </c>
      <c r="R319" s="4">
        <f t="shared" si="218"/>
        <v>1469.6093674352542</v>
      </c>
      <c r="S319" s="4">
        <f t="shared" si="219"/>
        <v>1.5701158738124048</v>
      </c>
      <c r="T319" s="4" t="str">
        <f t="shared" si="210"/>
        <v>1+0,0128590789880765i</v>
      </c>
      <c r="U319" s="4">
        <f t="shared" si="220"/>
        <v>1.0000826745386711</v>
      </c>
      <c r="V319" s="4">
        <f t="shared" si="221"/>
        <v>1.2858370283475277E-2</v>
      </c>
      <c r="W319" t="str">
        <f t="shared" si="211"/>
        <v>1-0,111623949549276i</v>
      </c>
      <c r="X319" s="4">
        <f t="shared" si="222"/>
        <v>1.0062106668650355</v>
      </c>
      <c r="Y319" s="4">
        <f t="shared" si="223"/>
        <v>-0.11116377692885865</v>
      </c>
      <c r="Z319" t="str">
        <f t="shared" si="212"/>
        <v>0,99958114858078+0,0957063743435487i</v>
      </c>
      <c r="AA319" s="4">
        <f t="shared" si="224"/>
        <v>1.0041524698411386</v>
      </c>
      <c r="AB319" s="4">
        <f t="shared" si="225"/>
        <v>9.5455495049137251E-2</v>
      </c>
      <c r="AC319" s="48" t="str">
        <f t="shared" si="226"/>
        <v>-0,0424688061686644-0,217213827723909i</v>
      </c>
      <c r="AD319" s="20">
        <f t="shared" si="227"/>
        <v>-13.099329294504059</v>
      </c>
      <c r="AE319" s="44">
        <f t="shared" si="228"/>
        <v>-101.06269481769138</v>
      </c>
      <c r="AF319" t="str">
        <f t="shared" si="213"/>
        <v>-20791,6666666667</v>
      </c>
      <c r="AG319" t="str">
        <f t="shared" si="229"/>
        <v>64295,3949403827i</v>
      </c>
      <c r="AH319">
        <f t="shared" si="230"/>
        <v>64295.394940382699</v>
      </c>
      <c r="AI319">
        <f t="shared" si="231"/>
        <v>1.5707963267948966</v>
      </c>
      <c r="AJ319" t="str">
        <f t="shared" si="214"/>
        <v>-76,1129757348486+75,4325789565609i</v>
      </c>
      <c r="AK319">
        <f t="shared" si="232"/>
        <v>107.15996940673064</v>
      </c>
      <c r="AL319">
        <f t="shared" si="233"/>
        <v>2.3606841778510432</v>
      </c>
      <c r="AM319" t="str">
        <f t="shared" si="215"/>
        <v>1+103,695612959849i</v>
      </c>
      <c r="AN319">
        <f t="shared" si="234"/>
        <v>103.70043465250666</v>
      </c>
      <c r="AO319">
        <f t="shared" si="235"/>
        <v>1.5611530162106582</v>
      </c>
      <c r="AP319" t="str">
        <f t="shared" si="216"/>
        <v>1+72,8338233884655i</v>
      </c>
      <c r="AQ319">
        <f t="shared" si="236"/>
        <v>72.840688007336837</v>
      </c>
      <c r="AR319">
        <f t="shared" si="237"/>
        <v>1.5570673047003858</v>
      </c>
      <c r="AS319" s="42" t="str">
        <f t="shared" si="238"/>
        <v>-15,6629142338611+16,5609691236764i</v>
      </c>
      <c r="AT319">
        <f t="shared" si="239"/>
        <v>27.156629410499708</v>
      </c>
      <c r="AU319" s="44">
        <f t="shared" si="240"/>
        <v>133.40362382595652</v>
      </c>
      <c r="AV319" s="42" t="str">
        <f t="shared" si="217"/>
        <v>4,26245676280548+2,69887696636962i</v>
      </c>
      <c r="AW319" s="20">
        <f t="shared" si="241"/>
        <v>14.057300115995648</v>
      </c>
      <c r="AX319" s="44">
        <f t="shared" si="242"/>
        <v>32.340929008265178</v>
      </c>
    </row>
    <row r="320" spans="14:50" x14ac:dyDescent="0.3">
      <c r="N320" s="8">
        <v>2</v>
      </c>
      <c r="O320" s="35">
        <f t="shared" ref="O320:O383" si="244">10^(4+(N320/100))</f>
        <v>10471.285480509003</v>
      </c>
      <c r="P320" s="34" t="str">
        <f t="shared" si="208"/>
        <v>324,571428571429</v>
      </c>
      <c r="Q320" s="4" t="str">
        <f t="shared" si="209"/>
        <v>1+1503,84061893525i</v>
      </c>
      <c r="R320" s="4">
        <f t="shared" si="218"/>
        <v>1503.8409514172552</v>
      </c>
      <c r="S320" s="4">
        <f t="shared" si="219"/>
        <v>1.5701313628086759</v>
      </c>
      <c r="T320" s="4" t="str">
        <f t="shared" si="210"/>
        <v>1+0,0131586054156834i</v>
      </c>
      <c r="U320" s="4">
        <f t="shared" si="220"/>
        <v>1.0000865707009996</v>
      </c>
      <c r="V320" s="4">
        <f t="shared" si="221"/>
        <v>1.3157846028571724E-2</v>
      </c>
      <c r="W320" t="str">
        <f t="shared" si="211"/>
        <v>1-0,114224005344474i</v>
      </c>
      <c r="X320" s="4">
        <f t="shared" si="222"/>
        <v>1.0065024209593012</v>
      </c>
      <c r="Y320" s="4">
        <f t="shared" si="223"/>
        <v>-0.11373109338127842</v>
      </c>
      <c r="Z320" t="str">
        <f t="shared" si="212"/>
        <v>0,999561408721543+0,097935662182352i</v>
      </c>
      <c r="AA320" s="4">
        <f t="shared" si="224"/>
        <v>1.0043477503994775</v>
      </c>
      <c r="AB320" s="4">
        <f t="shared" si="225"/>
        <v>9.7666902818075108E-2</v>
      </c>
      <c r="AC320" s="48" t="str">
        <f t="shared" si="226"/>
        <v>-0,0424599898332807-0,212101826863236i</v>
      </c>
      <c r="AD320" s="20">
        <f t="shared" si="227"/>
        <v>-13.298466234914297</v>
      </c>
      <c r="AE320" s="44">
        <f t="shared" si="228"/>
        <v>-101.32022430488681</v>
      </c>
      <c r="AF320" t="str">
        <f t="shared" si="213"/>
        <v>-20791,6666666667</v>
      </c>
      <c r="AG320" t="str">
        <f t="shared" si="229"/>
        <v>65793,0270784171i</v>
      </c>
      <c r="AH320">
        <f t="shared" si="230"/>
        <v>65793.027078417101</v>
      </c>
      <c r="AI320">
        <f t="shared" si="231"/>
        <v>1.5707963267948966</v>
      </c>
      <c r="AJ320" t="str">
        <f t="shared" si="214"/>
        <v>-79,7471983171164+77,1896294359134i</v>
      </c>
      <c r="AK320">
        <f t="shared" si="232"/>
        <v>110.98583032028513</v>
      </c>
      <c r="AL320">
        <f t="shared" si="233"/>
        <v>2.3724898527012805</v>
      </c>
      <c r="AM320" t="str">
        <f t="shared" si="215"/>
        <v>1+106,110994072071i</v>
      </c>
      <c r="AN320">
        <f t="shared" si="234"/>
        <v>106.11570601453437</v>
      </c>
      <c r="AO320">
        <f t="shared" si="235"/>
        <v>1.5613725116115109</v>
      </c>
      <c r="AP320" t="str">
        <f t="shared" si="216"/>
        <v>1+74,5303410744309i</v>
      </c>
      <c r="AQ320">
        <f t="shared" si="236"/>
        <v>74.53704944972668</v>
      </c>
      <c r="AR320">
        <f t="shared" si="237"/>
        <v>1.5573797774594254</v>
      </c>
      <c r="AS320" s="42" t="str">
        <f t="shared" si="238"/>
        <v>-15,2897050599986+16,5358578731053i</v>
      </c>
      <c r="AT320">
        <f t="shared" si="239"/>
        <v>27.051875303158731</v>
      </c>
      <c r="AU320" s="44">
        <f t="shared" si="240"/>
        <v>132.75768801313134</v>
      </c>
      <c r="AV320" s="42" t="str">
        <f t="shared" si="217"/>
        <v>4,15648638503786+2,54086201824914i</v>
      </c>
      <c r="AW320" s="20">
        <f t="shared" si="241"/>
        <v>13.753409068244435</v>
      </c>
      <c r="AX320" s="44">
        <f t="shared" si="242"/>
        <v>31.437463708244525</v>
      </c>
    </row>
    <row r="321" spans="14:50" x14ac:dyDescent="0.3">
      <c r="N321" s="8">
        <v>3</v>
      </c>
      <c r="O321" s="35">
        <f t="shared" si="244"/>
        <v>10715.193052376071</v>
      </c>
      <c r="P321" s="34" t="str">
        <f t="shared" si="208"/>
        <v>324,571428571429</v>
      </c>
      <c r="Q321" s="4" t="str">
        <f t="shared" si="209"/>
        <v>1+1538,86956686359i</v>
      </c>
      <c r="R321" s="4">
        <f t="shared" si="218"/>
        <v>1538.8698917773827</v>
      </c>
      <c r="S321" s="4">
        <f t="shared" si="219"/>
        <v>1.5701464992326559</v>
      </c>
      <c r="T321" s="4" t="str">
        <f t="shared" si="210"/>
        <v>1+0,0134651087100564i</v>
      </c>
      <c r="U321" s="4">
        <f t="shared" si="220"/>
        <v>1.0000906504675331</v>
      </c>
      <c r="V321" s="4">
        <f t="shared" si="221"/>
        <v>1.3464295016089487E-2</v>
      </c>
      <c r="W321" t="str">
        <f t="shared" si="211"/>
        <v>1-0,11688462421924i</v>
      </c>
      <c r="X321" s="4">
        <f t="shared" si="222"/>
        <v>1.00680783438493</v>
      </c>
      <c r="Y321" s="4">
        <f t="shared" si="223"/>
        <v>-0.11635665222756042</v>
      </c>
      <c r="Z321" t="str">
        <f t="shared" si="212"/>
        <v>0,999540738551401+0,100216876805576i</v>
      </c>
      <c r="AA321" s="4">
        <f t="shared" si="224"/>
        <v>1.004552193975278</v>
      </c>
      <c r="AB321" s="4">
        <f t="shared" si="225"/>
        <v>9.992896620497628E-2</v>
      </c>
      <c r="AC321" s="48" t="str">
        <f t="shared" si="226"/>
        <v>-0,0424501476723072-0,207102420496039i</v>
      </c>
      <c r="AD321" s="20">
        <f t="shared" si="227"/>
        <v>-13.497563373018897</v>
      </c>
      <c r="AE321" s="44">
        <f t="shared" si="228"/>
        <v>-101.58357345029266</v>
      </c>
      <c r="AF321" t="str">
        <f t="shared" si="213"/>
        <v>-20791,6666666667</v>
      </c>
      <c r="AG321" t="str">
        <f t="shared" si="229"/>
        <v>67325,5435502821i</v>
      </c>
      <c r="AH321">
        <f t="shared" si="230"/>
        <v>67325.543550282106</v>
      </c>
      <c r="AI321">
        <f t="shared" si="231"/>
        <v>1.5707963267948966</v>
      </c>
      <c r="AJ321" t="str">
        <f t="shared" si="214"/>
        <v>-83,55269653298+78,9876068785184i</v>
      </c>
      <c r="AK321">
        <f t="shared" si="232"/>
        <v>114.97867253681274</v>
      </c>
      <c r="AL321">
        <f t="shared" si="233"/>
        <v>2.3842730023257772</v>
      </c>
      <c r="AM321" t="str">
        <f t="shared" si="215"/>
        <v>1+108,582636637895i</v>
      </c>
      <c r="AN321">
        <f t="shared" si="234"/>
        <v>108.58724132805447</v>
      </c>
      <c r="AO321">
        <f t="shared" si="235"/>
        <v>1.5615870115645138</v>
      </c>
      <c r="AP321" t="str">
        <f t="shared" si="216"/>
        <v>1+76,2663757337596i</v>
      </c>
      <c r="AQ321">
        <f t="shared" si="236"/>
        <v>76.272931421068364</v>
      </c>
      <c r="AR321">
        <f t="shared" si="237"/>
        <v>1.5576851400018989</v>
      </c>
      <c r="AS321" s="42" t="str">
        <f t="shared" si="238"/>
        <v>-14,9175054549057+16,5023787631336i</v>
      </c>
      <c r="AT321">
        <f t="shared" si="239"/>
        <v>26.944827666438101</v>
      </c>
      <c r="AU321" s="44">
        <f t="shared" si="240"/>
        <v>132.11234919719459</v>
      </c>
      <c r="AV321" s="42" t="str">
        <f t="shared" si="217"/>
        <v>4,05093289525059+2,38892307203447i</v>
      </c>
      <c r="AW321" s="20">
        <f t="shared" si="241"/>
        <v>13.447264293419197</v>
      </c>
      <c r="AX321" s="44">
        <f t="shared" si="242"/>
        <v>30.528775746901964</v>
      </c>
    </row>
    <row r="322" spans="14:50" x14ac:dyDescent="0.3">
      <c r="N322" s="8">
        <v>4</v>
      </c>
      <c r="O322" s="35">
        <f t="shared" si="244"/>
        <v>10964.781961431856</v>
      </c>
      <c r="P322" s="34" t="str">
        <f t="shared" si="208"/>
        <v>324,571428571429</v>
      </c>
      <c r="Q322" s="4" t="str">
        <f t="shared" si="209"/>
        <v>1+1574,71444380563i</v>
      </c>
      <c r="R322" s="4">
        <f t="shared" si="218"/>
        <v>1574.7147613234833</v>
      </c>
      <c r="S322" s="4">
        <f t="shared" si="219"/>
        <v>1.570161291109849</v>
      </c>
      <c r="T322" s="4" t="str">
        <f t="shared" si="210"/>
        <v>1+0,0137787513832993i</v>
      </c>
      <c r="U322" s="4">
        <f t="shared" si="220"/>
        <v>1.0000949224897018</v>
      </c>
      <c r="V322" s="4">
        <f t="shared" si="221"/>
        <v>1.3777879498974587E-2</v>
      </c>
      <c r="W322" t="str">
        <f t="shared" si="211"/>
        <v>1-0,119607216868917i</v>
      </c>
      <c r="X322" s="4">
        <f t="shared" si="222"/>
        <v>1.0071275422344124</v>
      </c>
      <c r="Y322" s="4">
        <f t="shared" si="223"/>
        <v>-0.11904170070000249</v>
      </c>
      <c r="Z322" t="str">
        <f t="shared" si="212"/>
        <v>0,999519094226153+0,10255122774341i</v>
      </c>
      <c r="AA322" s="4">
        <f t="shared" si="224"/>
        <v>1.0047662285498802</v>
      </c>
      <c r="AB322" s="4">
        <f t="shared" si="225"/>
        <v>0.10224280474795115</v>
      </c>
      <c r="AC322" s="48" t="str">
        <f t="shared" si="226"/>
        <v>-0,0424392606235883-0,202212967426124i</v>
      </c>
      <c r="AD322" s="20">
        <f t="shared" si="227"/>
        <v>-13.696618914527086</v>
      </c>
      <c r="AE322" s="44">
        <f t="shared" si="228"/>
        <v>-101.85286902328289</v>
      </c>
      <c r="AF322" t="str">
        <f t="shared" si="213"/>
        <v>-20791,6666666667</v>
      </c>
      <c r="AG322" t="str">
        <f t="shared" si="229"/>
        <v>68893,7569164964i</v>
      </c>
      <c r="AH322">
        <f t="shared" si="230"/>
        <v>68893.756916496393</v>
      </c>
      <c r="AI322">
        <f t="shared" si="231"/>
        <v>1.5707963267948966</v>
      </c>
      <c r="AJ322" t="str">
        <f t="shared" si="214"/>
        <v>-87,5375423543676+80,827464595815i</v>
      </c>
      <c r="AK322">
        <f t="shared" si="232"/>
        <v>119.14654990569568</v>
      </c>
      <c r="AL322">
        <f t="shared" si="233"/>
        <v>2.3960277582123086</v>
      </c>
      <c r="AM322" t="str">
        <f t="shared" si="215"/>
        <v>1+111,111851154925i</v>
      </c>
      <c r="AN322">
        <f t="shared" si="234"/>
        <v>111.11635103383394</v>
      </c>
      <c r="AO322">
        <f t="shared" si="235"/>
        <v>1.5617966297213821</v>
      </c>
      <c r="AP322" t="str">
        <f t="shared" si="216"/>
        <v>1+78,0428478350071i</v>
      </c>
      <c r="AQ322">
        <f t="shared" si="236"/>
        <v>78.049254309045594</v>
      </c>
      <c r="AR322">
        <f t="shared" si="237"/>
        <v>1.5579835540071463</v>
      </c>
      <c r="AS322" s="42" t="str">
        <f t="shared" si="238"/>
        <v>-14,5467040519082+16,4605970101065i</v>
      </c>
      <c r="AT322">
        <f t="shared" si="239"/>
        <v>26.835493873243514</v>
      </c>
      <c r="AU322" s="44">
        <f t="shared" si="240"/>
        <v>131.46795939443595</v>
      </c>
      <c r="AV322" s="42" t="str">
        <f t="shared" si="217"/>
        <v>3,94589753149236+2,24295662607421i</v>
      </c>
      <c r="AW322" s="20">
        <f t="shared" si="241"/>
        <v>13.138874958716432</v>
      </c>
      <c r="AX322" s="44">
        <f t="shared" si="242"/>
        <v>29.615090371153045</v>
      </c>
    </row>
    <row r="323" spans="14:50" x14ac:dyDescent="0.3">
      <c r="N323" s="8">
        <v>5</v>
      </c>
      <c r="O323" s="35">
        <f t="shared" si="244"/>
        <v>11220.184543019639</v>
      </c>
      <c r="P323" s="34" t="str">
        <f t="shared" si="208"/>
        <v>324,571428571429</v>
      </c>
      <c r="Q323" s="4" t="str">
        <f t="shared" si="209"/>
        <v>1+1611,39425518959i</v>
      </c>
      <c r="R323" s="4">
        <f t="shared" si="218"/>
        <v>1611.3945654798558</v>
      </c>
      <c r="S323" s="4">
        <f t="shared" si="219"/>
        <v>1.5701757462830783</v>
      </c>
      <c r="T323" s="4" t="str">
        <f t="shared" si="210"/>
        <v>1+0,0140996997329089i</v>
      </c>
      <c r="U323" s="4">
        <f t="shared" si="220"/>
        <v>1.0000993958265139</v>
      </c>
      <c r="V323" s="4">
        <f t="shared" si="221"/>
        <v>1.4098765497037712E-2</v>
      </c>
      <c r="W323" t="str">
        <f t="shared" si="211"/>
        <v>1-0,122393226848168i</v>
      </c>
      <c r="X323" s="4">
        <f t="shared" si="222"/>
        <v>1.0074622087097398</v>
      </c>
      <c r="Y323" s="4">
        <f t="shared" si="223"/>
        <v>-0.1217875075009264</v>
      </c>
      <c r="Z323" t="str">
        <f t="shared" si="212"/>
        <v>0,999496429835282+0,104939952699619i</v>
      </c>
      <c r="AA323" s="4">
        <f t="shared" si="224"/>
        <v>1.0049903019064776</v>
      </c>
      <c r="AB323" s="4">
        <f t="shared" si="225"/>
        <v>0.10460955983367537</v>
      </c>
      <c r="AC323" s="48" t="str">
        <f t="shared" si="226"/>
        <v>-0,0424273075803722-0,19743088541436i</v>
      </c>
      <c r="AD323" s="20">
        <f t="shared" si="227"/>
        <v>-13.895630988292439</v>
      </c>
      <c r="AE323" s="44">
        <f t="shared" si="228"/>
        <v>-102.12824004891161</v>
      </c>
      <c r="AF323" t="str">
        <f t="shared" si="213"/>
        <v>-20791,6666666667</v>
      </c>
      <c r="AG323" t="str">
        <f t="shared" si="229"/>
        <v>70498,4986645445i</v>
      </c>
      <c r="AH323">
        <f t="shared" si="230"/>
        <v>70498.498664544502</v>
      </c>
      <c r="AI323">
        <f t="shared" si="231"/>
        <v>1.5707963267948966</v>
      </c>
      <c r="AJ323" t="str">
        <f t="shared" si="214"/>
        <v>-91,710188173524+82,7101781047182i</v>
      </c>
      <c r="AK323">
        <f t="shared" si="232"/>
        <v>123.49790353255956</v>
      </c>
      <c r="AL323">
        <f t="shared" si="233"/>
        <v>2.4077483049856632</v>
      </c>
      <c r="AM323" t="str">
        <f t="shared" si="215"/>
        <v>1+113,699978646177i</v>
      </c>
      <c r="AN323">
        <f t="shared" si="234"/>
        <v>113.70437609934416</v>
      </c>
      <c r="AO323">
        <f t="shared" si="235"/>
        <v>1.5620014771507105</v>
      </c>
      <c r="AP323" t="str">
        <f t="shared" si="216"/>
        <v>1+79,860699287196i</v>
      </c>
      <c r="AQ323">
        <f t="shared" si="236"/>
        <v>79.866959943645952</v>
      </c>
      <c r="AR323">
        <f t="shared" si="237"/>
        <v>1.5582751774855088</v>
      </c>
      <c r="AS323" s="42" t="str">
        <f t="shared" si="238"/>
        <v>-14,1776836203484+16,4105998051214i</v>
      </c>
      <c r="AT323">
        <f t="shared" si="239"/>
        <v>26.723883673339618</v>
      </c>
      <c r="AU323" s="44">
        <f t="shared" si="240"/>
        <v>130.82486721839859</v>
      </c>
      <c r="AV323" s="42" t="str">
        <f t="shared" si="217"/>
        <v>3,84148019344357+2,10285506477977i</v>
      </c>
      <c r="AW323" s="20">
        <f t="shared" si="241"/>
        <v>12.828252685047183</v>
      </c>
      <c r="AX323" s="44">
        <f t="shared" si="242"/>
        <v>28.696627169486948</v>
      </c>
    </row>
    <row r="324" spans="14:50" x14ac:dyDescent="0.3">
      <c r="N324" s="8">
        <v>6</v>
      </c>
      <c r="O324" s="35">
        <f t="shared" si="244"/>
        <v>11481.536214968832</v>
      </c>
      <c r="P324" s="34" t="str">
        <f t="shared" si="208"/>
        <v>324,571428571429</v>
      </c>
      <c r="Q324" s="4" t="str">
        <f t="shared" si="209"/>
        <v>1+1648,92844913697i</v>
      </c>
      <c r="R324" s="4">
        <f t="shared" si="218"/>
        <v>1648.9287523641683</v>
      </c>
      <c r="S324" s="4">
        <f t="shared" si="219"/>
        <v>1.5701898724166441</v>
      </c>
      <c r="T324" s="4" t="str">
        <f t="shared" si="210"/>
        <v>1+0,0144281239299485i</v>
      </c>
      <c r="U324" s="4">
        <f t="shared" si="220"/>
        <v>1.0001040799637495</v>
      </c>
      <c r="V324" s="4">
        <f t="shared" si="221"/>
        <v>1.4427122883803359E-2</v>
      </c>
      <c r="W324" t="str">
        <f t="shared" si="211"/>
        <v>1-0,125244131336359i</v>
      </c>
      <c r="X324" s="4">
        <f t="shared" si="222"/>
        <v>1.0078125284169666</v>
      </c>
      <c r="Y324" s="4">
        <f t="shared" si="223"/>
        <v>-0.12459536278944919</v>
      </c>
      <c r="Z324" t="str">
        <f t="shared" si="212"/>
        <v>0,999472697304577+0,107384318207794i</v>
      </c>
      <c r="AA324" s="4">
        <f t="shared" si="224"/>
        <v>1.005224882528402</v>
      </c>
      <c r="AB324" s="4">
        <f t="shared" si="225"/>
        <v>0.10703039491463497</v>
      </c>
      <c r="AC324" s="48" t="str">
        <f t="shared" si="226"/>
        <v>-0,0424142653626237-0,192753649854329i</v>
      </c>
      <c r="AD324" s="20">
        <f t="shared" si="227"/>
        <v>-14.094597643401549</v>
      </c>
      <c r="AE324" s="44">
        <f t="shared" si="228"/>
        <v>-102.40981781486416</v>
      </c>
      <c r="AF324" t="str">
        <f t="shared" si="213"/>
        <v>-20791,6666666667</v>
      </c>
      <c r="AG324" t="str">
        <f t="shared" si="229"/>
        <v>72140,6196497425i</v>
      </c>
      <c r="AH324">
        <f t="shared" si="230"/>
        <v>72140.619649742497</v>
      </c>
      <c r="AI324">
        <f t="shared" si="231"/>
        <v>1.5707963267948966</v>
      </c>
      <c r="AJ324" t="str">
        <f t="shared" si="214"/>
        <v>-96,0794847316679+84,6367456448512i</v>
      </c>
      <c r="AK324">
        <f t="shared" si="232"/>
        <v>128.04157957341062</v>
      </c>
      <c r="AL324">
        <f t="shared" si="233"/>
        <v>2.4194288958029171</v>
      </c>
      <c r="AM324" t="str">
        <f t="shared" si="215"/>
        <v>1+116,348391371105i</v>
      </c>
      <c r="AN324">
        <f t="shared" si="234"/>
        <v>116.35268872975742</v>
      </c>
      <c r="AO324">
        <f t="shared" si="235"/>
        <v>1.5622016623965107</v>
      </c>
      <c r="AP324" t="str">
        <f t="shared" si="216"/>
        <v>1+81,7208939392283i</v>
      </c>
      <c r="AQ324">
        <f t="shared" si="236"/>
        <v>81.727012096531467</v>
      </c>
      <c r="AR324">
        <f t="shared" si="237"/>
        <v>1.5585601648610936</v>
      </c>
      <c r="AS324" s="42" t="str">
        <f t="shared" si="238"/>
        <v>-13,8108195081757+16,3524957336517i</v>
      </c>
      <c r="AT324">
        <f t="shared" si="239"/>
        <v>26.610009152347892</v>
      </c>
      <c r="AU324" s="44">
        <f t="shared" si="240"/>
        <v>130.1834170058913</v>
      </c>
      <c r="AV324" s="42" t="str">
        <f t="shared" si="217"/>
        <v>3,73777900038377+1,96850677429196i</v>
      </c>
      <c r="AW324" s="20">
        <f t="shared" si="241"/>
        <v>12.515411508946336</v>
      </c>
      <c r="AX324" s="44">
        <f t="shared" si="242"/>
        <v>27.77359919102717</v>
      </c>
    </row>
    <row r="325" spans="14:50" x14ac:dyDescent="0.3">
      <c r="N325" s="8">
        <v>7</v>
      </c>
      <c r="O325" s="35">
        <f t="shared" si="244"/>
        <v>11748.975549395318</v>
      </c>
      <c r="P325" s="34" t="str">
        <f t="shared" si="208"/>
        <v>324,571428571429</v>
      </c>
      <c r="Q325" s="4" t="str">
        <f t="shared" si="209"/>
        <v>1+1687,33692677424i</v>
      </c>
      <c r="R325" s="4">
        <f t="shared" si="218"/>
        <v>1687.3372230991461</v>
      </c>
      <c r="S325" s="4">
        <f t="shared" si="219"/>
        <v>1.5702036770003864</v>
      </c>
      <c r="T325" s="4" t="str">
        <f t="shared" si="210"/>
        <v>1+0,0147641981092746i</v>
      </c>
      <c r="U325" s="4">
        <f t="shared" si="220"/>
        <v>1.0001089848340579</v>
      </c>
      <c r="V325" s="4">
        <f t="shared" si="221"/>
        <v>1.4763125475317584E-2</v>
      </c>
      <c r="W325" t="str">
        <f t="shared" si="211"/>
        <v>1-0,128161441920786i</v>
      </c>
      <c r="X325" s="4">
        <f t="shared" si="222"/>
        <v>1.0081792277146038</v>
      </c>
      <c r="Y325" s="4">
        <f t="shared" si="223"/>
        <v>-0.12746657813465392</v>
      </c>
      <c r="Z325" t="str">
        <f t="shared" si="212"/>
        <v>0,999447846294159+0,109885620302882i</v>
      </c>
      <c r="AA325" s="4">
        <f t="shared" si="224"/>
        <v>1.0054704605364506</v>
      </c>
      <c r="AB325" s="4">
        <f t="shared" si="225"/>
        <v>0.10950649571184859</v>
      </c>
      <c r="AC325" s="48" t="str">
        <f t="shared" si="226"/>
        <v>-0,0424001086854283-0,188178792481427i</v>
      </c>
      <c r="AD325" s="20">
        <f t="shared" si="227"/>
        <v>-14.293516846189402</v>
      </c>
      <c r="AE325" s="44">
        <f t="shared" si="228"/>
        <v>-102.69773587553409</v>
      </c>
      <c r="AF325" t="str">
        <f t="shared" si="213"/>
        <v>-20791,6666666667</v>
      </c>
      <c r="AG325" t="str">
        <f t="shared" si="229"/>
        <v>73820,9905463729i</v>
      </c>
      <c r="AH325">
        <f t="shared" si="230"/>
        <v>73820.990546372894</v>
      </c>
      <c r="AI325">
        <f t="shared" si="231"/>
        <v>1.5707963267948966</v>
      </c>
      <c r="AJ325" t="str">
        <f t="shared" si="214"/>
        <v>-100,654699892601+86,608188707825i</v>
      </c>
      <c r="AK325">
        <f t="shared" si="232"/>
        <v>132.78684784917439</v>
      </c>
      <c r="AL325">
        <f t="shared" si="233"/>
        <v>2.4310638672906943</v>
      </c>
      <c r="AM325" t="str">
        <f t="shared" si="215"/>
        <v>1+119,05849355319i</v>
      </c>
      <c r="AN325">
        <f t="shared" si="234"/>
        <v>119.06269309550741</v>
      </c>
      <c r="AO325">
        <f t="shared" si="235"/>
        <v>1.5623972915354347</v>
      </c>
      <c r="AP325" t="str">
        <f t="shared" si="216"/>
        <v>1+83,6244180909312i</v>
      </c>
      <c r="AQ325">
        <f t="shared" si="236"/>
        <v>83.63039699204387</v>
      </c>
      <c r="AR325">
        <f t="shared" si="237"/>
        <v>1.5588386670527046</v>
      </c>
      <c r="AS325" s="42" t="str">
        <f t="shared" si="238"/>
        <v>-13,4464781497929+16,2864140657451i</v>
      </c>
      <c r="AT325">
        <f t="shared" si="239"/>
        <v>26.493884681356086</v>
      </c>
      <c r="AU325" s="44">
        <f t="shared" si="240"/>
        <v>129.54394796906121</v>
      </c>
      <c r="AV325" s="42" t="str">
        <f t="shared" si="217"/>
        <v>3,6348898677319+1,83979629487244i</v>
      </c>
      <c r="AW325" s="20">
        <f t="shared" si="241"/>
        <v>12.200367835166686</v>
      </c>
      <c r="AX325" s="44">
        <f t="shared" si="242"/>
        <v>26.8462120935271</v>
      </c>
    </row>
    <row r="326" spans="14:50" x14ac:dyDescent="0.3">
      <c r="N326" s="8">
        <v>8</v>
      </c>
      <c r="O326" s="35">
        <f t="shared" si="244"/>
        <v>12022.644346174151</v>
      </c>
      <c r="P326" s="34" t="str">
        <f t="shared" si="208"/>
        <v>324,571428571429</v>
      </c>
      <c r="Q326" s="4" t="str">
        <f t="shared" si="209"/>
        <v>1+1726,64005278462i</v>
      </c>
      <c r="R326" s="4">
        <f t="shared" si="218"/>
        <v>1726.6403423643487</v>
      </c>
      <c r="S326" s="4">
        <f t="shared" si="219"/>
        <v>1.5702171673536578</v>
      </c>
      <c r="T326" s="4" t="str">
        <f t="shared" si="210"/>
        <v>1+0,0151081004618654i</v>
      </c>
      <c r="U326" s="4">
        <f t="shared" si="220"/>
        <v>1.000114120838</v>
      </c>
      <c r="V326" s="4">
        <f t="shared" si="221"/>
        <v>1.5106951120956127E-2</v>
      </c>
      <c r="W326" t="str">
        <f t="shared" si="211"/>
        <v>1-0,131146705398137i</v>
      </c>
      <c r="X326" s="4">
        <f t="shared" si="222"/>
        <v>1.0085630661177247</v>
      </c>
      <c r="Y326" s="4">
        <f t="shared" si="223"/>
        <v>-0.13040248643236532</v>
      </c>
      <c r="Z326" t="str">
        <f t="shared" si="212"/>
        <v>0,999421824091702+0,112445185208363i</v>
      </c>
      <c r="AA326" s="4">
        <f t="shared" si="224"/>
        <v>1.0057275486667987</v>
      </c>
      <c r="AB326" s="4">
        <f t="shared" si="225"/>
        <v>0.1120390704014895</v>
      </c>
      <c r="AC326" s="48" t="str">
        <f t="shared" si="226"/>
        <v>-0,0423848101245448-0,183703900114906i</v>
      </c>
      <c r="AD326" s="20">
        <f t="shared" si="227"/>
        <v>-14.492386477183533</v>
      </c>
      <c r="AE326" s="44">
        <f t="shared" si="228"/>
        <v>-102.99213005297156</v>
      </c>
      <c r="AF326" t="str">
        <f t="shared" si="213"/>
        <v>-20791,6666666667</v>
      </c>
      <c r="AG326" t="str">
        <f t="shared" si="229"/>
        <v>75540,5023093271i</v>
      </c>
      <c r="AH326">
        <f t="shared" si="230"/>
        <v>75540.502309327101</v>
      </c>
      <c r="AI326">
        <f t="shared" si="231"/>
        <v>1.5707963267948966</v>
      </c>
      <c r="AJ326" t="str">
        <f t="shared" si="214"/>
        <v>-105,445538301089+88,6255525788465i</v>
      </c>
      <c r="AK326">
        <f t="shared" si="232"/>
        <v>137.74342132208099</v>
      </c>
      <c r="AL326">
        <f t="shared" si="233"/>
        <v>2.4426476539355235</v>
      </c>
      <c r="AM326" t="str">
        <f t="shared" si="215"/>
        <v>1+121,831722124483i</v>
      </c>
      <c r="AN326">
        <f t="shared" si="234"/>
        <v>121.83582607680403</v>
      </c>
      <c r="AO326">
        <f t="shared" si="235"/>
        <v>1.5625884682327125</v>
      </c>
      <c r="AP326" t="str">
        <f t="shared" si="216"/>
        <v>1+85,5722810160057i</v>
      </c>
      <c r="AQ326">
        <f t="shared" si="236"/>
        <v>85.578123830113569</v>
      </c>
      <c r="AR326">
        <f t="shared" si="237"/>
        <v>1.5591108315529785</v>
      </c>
      <c r="AS326" s="42" t="str">
        <f t="shared" si="238"/>
        <v>-13,085015651421+16,2125039250273i</v>
      </c>
      <c r="AT326">
        <f t="shared" si="239"/>
        <v>26.37552685757926</v>
      </c>
      <c r="AU326" s="44">
        <f t="shared" si="240"/>
        <v>128.90679337862682</v>
      </c>
      <c r="AV326" s="42" t="str">
        <f t="shared" si="217"/>
        <v>3,53290610551791+1,71660450772491i</v>
      </c>
      <c r="AW326" s="20">
        <f t="shared" si="241"/>
        <v>11.883140380395727</v>
      </c>
      <c r="AX326" s="44">
        <f t="shared" si="242"/>
        <v>25.914663325655344</v>
      </c>
    </row>
    <row r="327" spans="14:50" x14ac:dyDescent="0.3">
      <c r="N327" s="8">
        <v>9</v>
      </c>
      <c r="O327" s="35">
        <f t="shared" si="244"/>
        <v>12302.687708123816</v>
      </c>
      <c r="P327" s="34" t="str">
        <f t="shared" si="208"/>
        <v>324,571428571429</v>
      </c>
      <c r="Q327" s="4" t="str">
        <f t="shared" si="209"/>
        <v>1+1766,85866620577i</v>
      </c>
      <c r="R327" s="4">
        <f t="shared" si="218"/>
        <v>1766.8589491938603</v>
      </c>
      <c r="S327" s="4">
        <f t="shared" si="219"/>
        <v>1.5702303506292019</v>
      </c>
      <c r="T327" s="4" t="str">
        <f t="shared" si="210"/>
        <v>1+0,0154600133293005i</v>
      </c>
      <c r="U327" s="4">
        <f t="shared" si="220"/>
        <v>1.0001194988660815</v>
      </c>
      <c r="V327" s="4">
        <f t="shared" si="221"/>
        <v>1.5458781796275195E-2</v>
      </c>
      <c r="W327" t="str">
        <f t="shared" si="211"/>
        <v>1-0,134201504594622i</v>
      </c>
      <c r="X327" s="4">
        <f t="shared" si="222"/>
        <v>1.0089648377597014</v>
      </c>
      <c r="Y327" s="4">
        <f t="shared" si="223"/>
        <v>-0.13340444178260494</v>
      </c>
      <c r="Z327" t="str">
        <f t="shared" si="212"/>
        <v>0,999394575500625+0,115064370039429i</v>
      </c>
      <c r="AA327" s="4">
        <f t="shared" si="224"/>
        <v>1.0059966832910758</v>
      </c>
      <c r="AB327" s="4">
        <f t="shared" si="225"/>
        <v>0.1146293497837028</v>
      </c>
      <c r="AC327" s="48" t="str">
        <f t="shared" si="226"/>
        <v>-0,0423683400791791-0,17932661343235i</v>
      </c>
      <c r="AD327" s="20">
        <f t="shared" si="227"/>
        <v>-14.691204327980534</v>
      </c>
      <c r="AE327" s="44">
        <f t="shared" si="228"/>
        <v>-103.29313843443742</v>
      </c>
      <c r="AF327" t="str">
        <f t="shared" si="213"/>
        <v>-20791,6666666667</v>
      </c>
      <c r="AG327" t="str">
        <f t="shared" si="229"/>
        <v>77300,0666465025i</v>
      </c>
      <c r="AH327">
        <f t="shared" si="230"/>
        <v>77300.066646502499</v>
      </c>
      <c r="AI327">
        <f t="shared" si="231"/>
        <v>1.5707963267948966</v>
      </c>
      <c r="AJ327" t="str">
        <f t="shared" si="214"/>
        <v>-110,462161967716+90,689906890943i</v>
      </c>
      <c r="AK327">
        <f t="shared" si="232"/>
        <v>142.92147647736442</v>
      </c>
      <c r="AL327">
        <f t="shared" si="233"/>
        <v>2.4541748018447227</v>
      </c>
      <c r="AM327" t="str">
        <f t="shared" si="215"/>
        <v>1+124,669547487479i</v>
      </c>
      <c r="AN327">
        <f t="shared" si="234"/>
        <v>124.67355802548019</v>
      </c>
      <c r="AO327">
        <f t="shared" si="235"/>
        <v>1.5627752937968289</v>
      </c>
      <c r="AP327" t="str">
        <f t="shared" si="216"/>
        <v>1+87,565515497158i</v>
      </c>
      <c r="AQ327">
        <f t="shared" si="236"/>
        <v>87.571225321352102</v>
      </c>
      <c r="AR327">
        <f t="shared" si="237"/>
        <v>1.5593768025057615</v>
      </c>
      <c r="AS327" s="42" t="str">
        <f t="shared" si="238"/>
        <v>-12,7267764650952+16,1309333460167i</v>
      </c>
      <c r="AT327">
        <f t="shared" si="239"/>
        <v>26.254954436582302</v>
      </c>
      <c r="AU327" s="44">
        <f t="shared" si="240"/>
        <v>128.27227978300323</v>
      </c>
      <c r="AV327" s="42" t="str">
        <f t="shared" si="217"/>
        <v>3,43191804182899+1,59880885359745i</v>
      </c>
      <c r="AW327" s="20">
        <f t="shared" si="241"/>
        <v>11.563750108601774</v>
      </c>
      <c r="AX327" s="44">
        <f t="shared" si="242"/>
        <v>24.979141348565786</v>
      </c>
    </row>
    <row r="328" spans="14:50" x14ac:dyDescent="0.3">
      <c r="N328" s="8">
        <v>10</v>
      </c>
      <c r="O328" s="35">
        <f t="shared" si="244"/>
        <v>12589.254117941671</v>
      </c>
      <c r="P328" s="34" t="str">
        <f t="shared" si="208"/>
        <v>324,571428571429</v>
      </c>
      <c r="Q328" s="4" t="str">
        <f t="shared" si="209"/>
        <v>1+1808,01409147888i</v>
      </c>
      <c r="R328" s="4">
        <f t="shared" si="218"/>
        <v>1808.0143680253759</v>
      </c>
      <c r="S328" s="4">
        <f t="shared" si="219"/>
        <v>1.5702432338169479</v>
      </c>
      <c r="T328" s="4" t="str">
        <f t="shared" si="210"/>
        <v>1+0,0158201233004402i</v>
      </c>
      <c r="U328" s="4">
        <f t="shared" si="220"/>
        <v>1.0001251303218219</v>
      </c>
      <c r="V328" s="4">
        <f t="shared" si="221"/>
        <v>1.5818803697945399E-2</v>
      </c>
      <c r="W328" t="str">
        <f t="shared" si="211"/>
        <v>1-0,13732745920521i</v>
      </c>
      <c r="X328" s="4">
        <f t="shared" si="222"/>
        <v>1.0093853729135165</v>
      </c>
      <c r="Y328" s="4">
        <f t="shared" si="223"/>
        <v>-0.13647381932462915</v>
      </c>
      <c r="Z328" t="str">
        <f t="shared" si="212"/>
        <v>0,999366042723016+0,117744563522547i</v>
      </c>
      <c r="AA328" s="4">
        <f t="shared" si="224"/>
        <v>1.0062784254802326</v>
      </c>
      <c r="AB328" s="4">
        <f t="shared" si="225"/>
        <v>0.11727858743181592</v>
      </c>
      <c r="AC328" s="48" t="str">
        <f t="shared" si="226"/>
        <v>-0,0423506667320583-0,175044625776146i</v>
      </c>
      <c r="AD328" s="20">
        <f t="shared" si="227"/>
        <v>-14.889968098057269</v>
      </c>
      <c r="AE328" s="44">
        <f t="shared" si="228"/>
        <v>-103.60090136627824</v>
      </c>
      <c r="AF328" t="str">
        <f t="shared" si="213"/>
        <v>-20791,6666666667</v>
      </c>
      <c r="AG328" t="str">
        <f t="shared" si="229"/>
        <v>79100,6165022012i</v>
      </c>
      <c r="AH328">
        <f t="shared" si="230"/>
        <v>79100.616502201199</v>
      </c>
      <c r="AI328">
        <f t="shared" si="231"/>
        <v>1.5707963267948966</v>
      </c>
      <c r="AJ328" t="str">
        <f t="shared" si="214"/>
        <v>-115,715211823868+92,802346192096i</v>
      </c>
      <c r="AK328">
        <f t="shared" si="232"/>
        <v>148.33167465582082</v>
      </c>
      <c r="AL328">
        <f t="shared" si="233"/>
        <v>2.4656399818023291</v>
      </c>
      <c r="AM328" t="str">
        <f t="shared" si="215"/>
        <v>1+127,57347429475i</v>
      </c>
      <c r="AN328">
        <f t="shared" si="234"/>
        <v>127.57739354459802</v>
      </c>
      <c r="AO328">
        <f t="shared" si="235"/>
        <v>1.5629578672329743</v>
      </c>
      <c r="AP328" t="str">
        <f t="shared" si="216"/>
        <v>1+89,6051783736935i</v>
      </c>
      <c r="AQ328">
        <f t="shared" si="236"/>
        <v>89.610758234608369</v>
      </c>
      <c r="AR328">
        <f t="shared" si="237"/>
        <v>1.5596367207817678</v>
      </c>
      <c r="AS328" s="42" t="str">
        <f t="shared" si="238"/>
        <v>-12,3720921611285+16,0418882303667i</v>
      </c>
      <c r="AT328">
        <f t="shared" si="239"/>
        <v>26.132188256642934</v>
      </c>
      <c r="AU328" s="44">
        <f t="shared" si="240"/>
        <v>127.64072626765024</v>
      </c>
      <c r="AV328" s="42" t="str">
        <f t="shared" si="217"/>
        <v>3,33201267392156+1,48628358021554i</v>
      </c>
      <c r="AW328" s="20">
        <f t="shared" si="241"/>
        <v>11.242220158585654</v>
      </c>
      <c r="AX328" s="44">
        <f t="shared" si="242"/>
        <v>24.039824901372043</v>
      </c>
    </row>
    <row r="329" spans="14:50" x14ac:dyDescent="0.3">
      <c r="N329" s="8">
        <v>11</v>
      </c>
      <c r="O329" s="35">
        <f t="shared" si="244"/>
        <v>12882.49551693136</v>
      </c>
      <c r="P329" s="34" t="str">
        <f t="shared" si="208"/>
        <v>324,571428571429</v>
      </c>
      <c r="Q329" s="4" t="str">
        <f t="shared" si="209"/>
        <v>1+1850,1281497552i</v>
      </c>
      <c r="R329" s="4">
        <f t="shared" si="218"/>
        <v>1850.12842000673</v>
      </c>
      <c r="S329" s="4">
        <f t="shared" si="219"/>
        <v>1.5702558237477151</v>
      </c>
      <c r="T329" s="4" t="str">
        <f t="shared" si="210"/>
        <v>1+0,016188621310358i</v>
      </c>
      <c r="U329" s="4">
        <f t="shared" si="220"/>
        <v>1.0001310271459085</v>
      </c>
      <c r="V329" s="4">
        <f t="shared" si="221"/>
        <v>1.6187207340814292E-2</v>
      </c>
      <c r="W329" t="str">
        <f t="shared" si="211"/>
        <v>1-0,140526226652413i</v>
      </c>
      <c r="X329" s="4">
        <f t="shared" si="222"/>
        <v>1.0098255395746165</v>
      </c>
      <c r="Y329" s="4">
        <f t="shared" si="223"/>
        <v>-0.13961201502626955</v>
      </c>
      <c r="Z329" t="str">
        <f t="shared" si="212"/>
        <v>0,999336165237025+0,120487186731779i</v>
      </c>
      <c r="AA329" s="4">
        <f t="shared" si="224"/>
        <v>1.0065733621138506</v>
      </c>
      <c r="AB329" s="4">
        <f t="shared" si="225"/>
        <v>0.11998805982000557</v>
      </c>
      <c r="AC329" s="48" t="str">
        <f t="shared" si="226"/>
        <v>-0,0423317560068896-0,170855681991498i</v>
      </c>
      <c r="AD329" s="20">
        <f t="shared" si="227"/>
        <v>-15.088675391521512</v>
      </c>
      <c r="AE329" s="44">
        <f t="shared" si="228"/>
        <v>-103.91556144382253</v>
      </c>
      <c r="AF329" t="str">
        <f t="shared" si="213"/>
        <v>-20791,6666666667</v>
      </c>
      <c r="AG329" t="str">
        <f t="shared" si="229"/>
        <v>80943,10655179i</v>
      </c>
      <c r="AH329">
        <f t="shared" si="230"/>
        <v>80943.106551789999</v>
      </c>
      <c r="AI329">
        <f t="shared" si="231"/>
        <v>1.5707963267948966</v>
      </c>
      <c r="AJ329" t="str">
        <f t="shared" si="214"/>
        <v>-121,215830292581+94,9639905255845i</v>
      </c>
      <c r="AK329">
        <f t="shared" si="232"/>
        <v>153.98518438493718</v>
      </c>
      <c r="AL329">
        <f t="shared" si="233"/>
        <v>2.477038001552561</v>
      </c>
      <c r="AM329" t="str">
        <f t="shared" si="215"/>
        <v>1+130,545042246727i</v>
      </c>
      <c r="AN329">
        <f t="shared" si="234"/>
        <v>130.54887228620453</v>
      </c>
      <c r="AO329">
        <f t="shared" si="235"/>
        <v>1.5631362852952868</v>
      </c>
      <c r="AP329" t="str">
        <f t="shared" si="216"/>
        <v>1+91,6923511018677i</v>
      </c>
      <c r="AQ329">
        <f t="shared" si="236"/>
        <v>91.697803957282304</v>
      </c>
      <c r="AR329">
        <f t="shared" si="237"/>
        <v>1.5598907240525515</v>
      </c>
      <c r="AS329" s="42" t="str">
        <f t="shared" si="238"/>
        <v>-12,0212803074684+15,9455712135609i</v>
      </c>
      <c r="AT329">
        <f t="shared" si="239"/>
        <v>26.007251155885616</v>
      </c>
      <c r="AU329" s="44">
        <f t="shared" si="240"/>
        <v>127.01244375851309</v>
      </c>
      <c r="AV329" s="42" t="str">
        <f t="shared" si="217"/>
        <v>3,23327334930313+1,37890001534054i</v>
      </c>
      <c r="AW329" s="20">
        <f t="shared" si="241"/>
        <v>10.918575764364117</v>
      </c>
      <c r="AX329" s="44">
        <f t="shared" si="242"/>
        <v>23.096882314690593</v>
      </c>
    </row>
    <row r="330" spans="14:50" x14ac:dyDescent="0.3">
      <c r="N330" s="8">
        <v>12</v>
      </c>
      <c r="O330" s="35">
        <f t="shared" si="244"/>
        <v>13182.567385564091</v>
      </c>
      <c r="P330" s="34" t="str">
        <f t="shared" si="208"/>
        <v>324,571428571429</v>
      </c>
      <c r="Q330" s="4" t="str">
        <f t="shared" si="209"/>
        <v>1+1893,22317046585i</v>
      </c>
      <c r="R330" s="4">
        <f t="shared" si="218"/>
        <v>1893.223434565705</v>
      </c>
      <c r="S330" s="4">
        <f t="shared" si="219"/>
        <v>1.5702681270968359</v>
      </c>
      <c r="T330" s="4" t="str">
        <f t="shared" si="210"/>
        <v>1+0,0165657027415762i</v>
      </c>
      <c r="U330" s="4">
        <f t="shared" si="220"/>
        <v>1.0001372018414885</v>
      </c>
      <c r="V330" s="4">
        <f t="shared" si="221"/>
        <v>1.6564187657138376E-2</v>
      </c>
      <c r="W330" t="str">
        <f t="shared" si="211"/>
        <v>1-0,143799502965071i</v>
      </c>
      <c r="X330" s="4">
        <f t="shared" si="222"/>
        <v>1.0102862451072971</v>
      </c>
      <c r="Y330" s="4">
        <f t="shared" si="223"/>
        <v>-0.14282044542412134</v>
      </c>
      <c r="Z330" t="str">
        <f t="shared" si="212"/>
        <v>0,9993048796685+0,123293693842252i</v>
      </c>
      <c r="AA330" s="4">
        <f t="shared" si="224"/>
        <v>1.0068821070366394</v>
      </c>
      <c r="AB330" s="4">
        <f t="shared" si="225"/>
        <v>0.1227590664273632</v>
      </c>
      <c r="AC330" s="48" t="str">
        <f t="shared" si="226"/>
        <v>-0,0423115715232998-0,1667575772956i</v>
      </c>
      <c r="AD330" s="20">
        <f t="shared" si="227"/>
        <v>-15.287323713805483</v>
      </c>
      <c r="AE330" s="44">
        <f t="shared" si="228"/>
        <v>-104.23726349697901</v>
      </c>
      <c r="AF330" t="str">
        <f t="shared" si="213"/>
        <v>-20791,6666666667</v>
      </c>
      <c r="AG330" t="str">
        <f t="shared" si="229"/>
        <v>82828,5137078811i</v>
      </c>
      <c r="AH330">
        <f t="shared" si="230"/>
        <v>82828.513707881095</v>
      </c>
      <c r="AI330">
        <f t="shared" si="231"/>
        <v>1.5707963267948966</v>
      </c>
      <c r="AJ330" t="str">
        <f t="shared" si="214"/>
        <v>-126,975684923105+97,1759860238466i</v>
      </c>
      <c r="AK330">
        <f t="shared" si="232"/>
        <v>159.89370475850032</v>
      </c>
      <c r="AL330">
        <f t="shared" si="233"/>
        <v>2.4883638172515488</v>
      </c>
      <c r="AM330" t="str">
        <f t="shared" si="215"/>
        <v>1+133,585826908071i</v>
      </c>
      <c r="AN330">
        <f t="shared" si="234"/>
        <v>133.58956976767723</v>
      </c>
      <c r="AO330">
        <f t="shared" si="235"/>
        <v>1.5633106425379224</v>
      </c>
      <c r="AP330" t="str">
        <f t="shared" si="216"/>
        <v>1+93,8281403282877i</v>
      </c>
      <c r="AQ330">
        <f t="shared" si="236"/>
        <v>93.833469068690249</v>
      </c>
      <c r="AR330">
        <f t="shared" si="237"/>
        <v>1.5601389468628319</v>
      </c>
      <c r="AS330" s="42" t="str">
        <f t="shared" si="238"/>
        <v>-11,6746434628987+15,842200454306i</v>
      </c>
      <c r="AT330">
        <f t="shared" si="239"/>
        <v>25.880167882868097</v>
      </c>
      <c r="AU330" s="44">
        <f t="shared" si="240"/>
        <v>126.38773437295644</v>
      </c>
      <c r="AV330" s="42" t="str">
        <f t="shared" si="217"/>
        <v>3,13577947868079+1,27652686205408i</v>
      </c>
      <c r="AW330" s="20">
        <f t="shared" si="241"/>
        <v>10.592844169062623</v>
      </c>
      <c r="AX330" s="44">
        <f t="shared" si="242"/>
        <v>22.150470875977401</v>
      </c>
    </row>
    <row r="331" spans="14:50" x14ac:dyDescent="0.3">
      <c r="N331" s="8">
        <v>13</v>
      </c>
      <c r="O331" s="35">
        <f t="shared" si="244"/>
        <v>13489.628825916556</v>
      </c>
      <c r="P331" s="34" t="str">
        <f t="shared" si="208"/>
        <v>324,571428571429</v>
      </c>
      <c r="Q331" s="4" t="str">
        <f t="shared" si="209"/>
        <v>1+1937,32200316126i</v>
      </c>
      <c r="R331" s="4">
        <f t="shared" si="218"/>
        <v>1937.3222612494692</v>
      </c>
      <c r="S331" s="4">
        <f t="shared" si="219"/>
        <v>1.5702801503876935</v>
      </c>
      <c r="T331" s="4" t="str">
        <f t="shared" si="210"/>
        <v>1+0,016951567527661i</v>
      </c>
      <c r="U331" s="4">
        <f t="shared" si="220"/>
        <v>1.0001436675006472</v>
      </c>
      <c r="V331" s="4">
        <f t="shared" si="221"/>
        <v>1.6949944098031539E-2</v>
      </c>
      <c r="W331" t="str">
        <f t="shared" si="211"/>
        <v>1-0,147149023677613i</v>
      </c>
      <c r="X331" s="4">
        <f t="shared" si="222"/>
        <v>1.0107684379566244</v>
      </c>
      <c r="Y331" s="4">
        <f t="shared" si="223"/>
        <v>-0.14610054731094921</v>
      </c>
      <c r="Z331" t="str">
        <f t="shared" si="212"/>
        <v>0,999272119656556+0,126165572901185i</v>
      </c>
      <c r="AA331" s="4">
        <f t="shared" si="224"/>
        <v>1.0072053022638388</v>
      </c>
      <c r="AB331" s="4">
        <f t="shared" si="225"/>
        <v>0.12559292981618092</v>
      </c>
      <c r="AC331" s="48" t="str">
        <f t="shared" si="226"/>
        <v>-0,042290074549354-0,162748156177538i</v>
      </c>
      <c r="AD331" s="20">
        <f t="shared" si="227"/>
        <v>-15.485910468309971</v>
      </c>
      <c r="AE331" s="44">
        <f t="shared" si="228"/>
        <v>-104.56615457120186</v>
      </c>
      <c r="AF331" t="str">
        <f t="shared" si="213"/>
        <v>-20791,6666666667</v>
      </c>
      <c r="AG331" t="str">
        <f t="shared" si="229"/>
        <v>84757,8376383051i</v>
      </c>
      <c r="AH331">
        <f t="shared" si="230"/>
        <v>84757.837638305107</v>
      </c>
      <c r="AI331">
        <f t="shared" si="231"/>
        <v>1.5707963267948966</v>
      </c>
      <c r="AJ331" t="str">
        <f t="shared" si="214"/>
        <v>-133,006993139351+99,4395055161747i</v>
      </c>
      <c r="AK331">
        <f t="shared" si="232"/>
        <v>166.0694899169402</v>
      </c>
      <c r="AL331">
        <f t="shared" si="233"/>
        <v>2.4996125440371859</v>
      </c>
      <c r="AM331" t="str">
        <f t="shared" si="215"/>
        <v>1+136,697440543058i</v>
      </c>
      <c r="AN331">
        <f t="shared" si="234"/>
        <v>136.70109820708419</v>
      </c>
      <c r="AO331">
        <f t="shared" si="235"/>
        <v>1.5634810313649701</v>
      </c>
      <c r="AP331" t="str">
        <f t="shared" si="216"/>
        <v>1+96,013678476672i</v>
      </c>
      <c r="AQ331">
        <f t="shared" si="236"/>
        <v>96.018885926789167</v>
      </c>
      <c r="AR331">
        <f t="shared" si="237"/>
        <v>1.5603815207012053</v>
      </c>
      <c r="AS331" s="42" t="str">
        <f t="shared" si="238"/>
        <v>-11,3324682894921+15,7320083593732i</v>
      </c>
      <c r="AT331">
        <f t="shared" si="239"/>
        <v>25.750965001337018</v>
      </c>
      <c r="AU331" s="44">
        <f t="shared" si="240"/>
        <v>125.76689082106867</v>
      </c>
      <c r="AV331" s="42" t="str">
        <f t="shared" si="217"/>
        <v>3,03960628224841+1,1790305127263i</v>
      </c>
      <c r="AW331" s="20">
        <f t="shared" si="241"/>
        <v>10.265054533027037</v>
      </c>
      <c r="AX331" s="44">
        <f t="shared" si="242"/>
        <v>21.200736249866758</v>
      </c>
    </row>
    <row r="332" spans="14:50" x14ac:dyDescent="0.3">
      <c r="N332" s="8">
        <v>14</v>
      </c>
      <c r="O332" s="35">
        <f t="shared" si="244"/>
        <v>13803.842646028841</v>
      </c>
      <c r="P332" s="34" t="str">
        <f t="shared" si="208"/>
        <v>324,571428571429</v>
      </c>
      <c r="Q332" s="4" t="str">
        <f t="shared" si="209"/>
        <v>1+1982,44802962623i</v>
      </c>
      <c r="R332" s="4">
        <f t="shared" si="218"/>
        <v>1982.4482818396355</v>
      </c>
      <c r="S332" s="4">
        <f t="shared" si="219"/>
        <v>1.5702918999951823</v>
      </c>
      <c r="T332" s="4" t="str">
        <f t="shared" si="210"/>
        <v>1+0,0173464202592295i</v>
      </c>
      <c r="U332" s="4">
        <f t="shared" si="220"/>
        <v>1.0001504378321342</v>
      </c>
      <c r="V332" s="4">
        <f t="shared" si="221"/>
        <v>1.7344680737172102E-2</v>
      </c>
      <c r="W332" t="str">
        <f t="shared" si="211"/>
        <v>1-0,150576564750256i</v>
      </c>
      <c r="X332" s="4">
        <f t="shared" si="222"/>
        <v>1.0112731094279073</v>
      </c>
      <c r="Y332" s="4">
        <f t="shared" si="223"/>
        <v>-0.1494537773664695</v>
      </c>
      <c r="Z332" t="str">
        <f t="shared" si="212"/>
        <v>0,999237815712815+0,129104346616869i</v>
      </c>
      <c r="AA332" s="4">
        <f t="shared" si="224"/>
        <v>1.0075436192373441</v>
      </c>
      <c r="AB332" s="4">
        <f t="shared" si="225"/>
        <v>0.12849099568211633</v>
      </c>
      <c r="AC332" s="48" t="str">
        <f t="shared" si="226"/>
        <v>-0,0422672239517786-0,158825311328622i</v>
      </c>
      <c r="AD332" s="20">
        <f t="shared" si="227"/>
        <v>-15.684432953002485</v>
      </c>
      <c r="AE332" s="44">
        <f t="shared" si="228"/>
        <v>-104.9023839034667</v>
      </c>
      <c r="AF332" t="str">
        <f t="shared" si="213"/>
        <v>-20791,6666666667</v>
      </c>
      <c r="AG332" t="str">
        <f t="shared" si="229"/>
        <v>86732,1012961474i</v>
      </c>
      <c r="AH332">
        <f t="shared" si="230"/>
        <v>86732.101296147404</v>
      </c>
      <c r="AI332">
        <f t="shared" si="231"/>
        <v>1.5707963267948966</v>
      </c>
      <c r="AJ332" t="str">
        <f t="shared" si="214"/>
        <v>-139,322548154675+101,755749150565i</v>
      </c>
      <c r="AK332">
        <f t="shared" si="232"/>
        <v>172.52537468298522</v>
      </c>
      <c r="AL332">
        <f t="shared" si="233"/>
        <v>2.5107794656758338</v>
      </c>
      <c r="AM332" t="str">
        <f t="shared" si="215"/>
        <v>1+139,881532970426i</v>
      </c>
      <c r="AN332">
        <f t="shared" si="234"/>
        <v>139.88510737800641</v>
      </c>
      <c r="AO332">
        <f t="shared" si="235"/>
        <v>1.5636475420792444</v>
      </c>
      <c r="AP332" t="str">
        <f t="shared" si="216"/>
        <v>1+98,2501243482758i</v>
      </c>
      <c r="AQ332">
        <f t="shared" si="236"/>
        <v>98.255213268567374</v>
      </c>
      <c r="AR332">
        <f t="shared" si="237"/>
        <v>1.560618574069278</v>
      </c>
      <c r="AS332" s="42" t="str">
        <f t="shared" si="238"/>
        <v>-10,9950247881684+15,6152402569443i</v>
      </c>
      <c r="AT332">
        <f t="shared" si="239"/>
        <v>25.619670789901491</v>
      </c>
      <c r="AU332" s="44">
        <f t="shared" si="240"/>
        <v>125.15019585970272</v>
      </c>
      <c r="AV332" s="42" t="str">
        <f t="shared" si="217"/>
        <v>2,94482457035728+1,08627537804567i</v>
      </c>
      <c r="AW332" s="20">
        <f t="shared" si="241"/>
        <v>9.935237836899006</v>
      </c>
      <c r="AX332" s="44">
        <f t="shared" si="242"/>
        <v>20.247811956236038</v>
      </c>
    </row>
    <row r="333" spans="14:50" x14ac:dyDescent="0.3">
      <c r="N333" s="8">
        <v>15</v>
      </c>
      <c r="O333" s="35">
        <f t="shared" si="244"/>
        <v>14125.375446227561</v>
      </c>
      <c r="P333" s="34" t="str">
        <f t="shared" si="208"/>
        <v>324,571428571429</v>
      </c>
      <c r="Q333" s="4" t="str">
        <f t="shared" si="209"/>
        <v>1+2028,62517627731i</v>
      </c>
      <c r="R333" s="4">
        <f t="shared" si="218"/>
        <v>2028.6254227496379</v>
      </c>
      <c r="S333" s="4">
        <f t="shared" si="219"/>
        <v>1.5703033821490864</v>
      </c>
      <c r="T333" s="4" t="str">
        <f t="shared" si="210"/>
        <v>1+0,0177504702924265i</v>
      </c>
      <c r="U333" s="4">
        <f t="shared" si="220"/>
        <v>1.0001575271903933</v>
      </c>
      <c r="V333" s="4">
        <f t="shared" si="221"/>
        <v>1.7748606376815333E-2</v>
      </c>
      <c r="W333" t="str">
        <f t="shared" si="211"/>
        <v>1-0,154083943510646i</v>
      </c>
      <c r="X333" s="4">
        <f t="shared" si="222"/>
        <v>1.0118012955357352</v>
      </c>
      <c r="Y333" s="4">
        <f t="shared" si="223"/>
        <v>-0.15288161172750472</v>
      </c>
      <c r="Z333" t="str">
        <f t="shared" si="212"/>
        <v>0,999201895074012+0,132111573166028i</v>
      </c>
      <c r="AA333" s="4">
        <f t="shared" si="224"/>
        <v>1.0078977601343797</v>
      </c>
      <c r="AB333" s="4">
        <f t="shared" si="225"/>
        <v>0.13145463287377349</v>
      </c>
      <c r="AC333" s="48" t="str">
        <f t="shared" si="226"/>
        <v>-0,0422429761440065-0,154986982602758i</v>
      </c>
      <c r="AD333" s="20">
        <f t="shared" si="227"/>
        <v>-15.882888356979477</v>
      </c>
      <c r="AE333" s="44">
        <f t="shared" si="228"/>
        <v>-105.24610289288363</v>
      </c>
      <c r="AF333" t="str">
        <f t="shared" si="213"/>
        <v>-20791,6666666667</v>
      </c>
      <c r="AG333" t="str">
        <f t="shared" si="229"/>
        <v>88752,3514621323i</v>
      </c>
      <c r="AH333">
        <f t="shared" si="230"/>
        <v>88752.351462132297</v>
      </c>
      <c r="AI333">
        <f t="shared" si="231"/>
        <v>1.5707963267948966</v>
      </c>
      <c r="AJ333" t="str">
        <f t="shared" si="214"/>
        <v>-145,935746108007+104,125945030051i</v>
      </c>
      <c r="AK333">
        <f t="shared" si="232"/>
        <v>179.27480140974046</v>
      </c>
      <c r="AL333">
        <f t="shared" si="233"/>
        <v>2.521860043254184</v>
      </c>
      <c r="AM333" t="str">
        <f t="shared" si="215"/>
        <v>1+143,139792438127i</v>
      </c>
      <c r="AN333">
        <f t="shared" si="234"/>
        <v>143.14328548426602</v>
      </c>
      <c r="AO333">
        <f t="shared" si="235"/>
        <v>1.5638102629299757</v>
      </c>
      <c r="AP333" t="str">
        <f t="shared" si="216"/>
        <v>1+100,538663736303i</v>
      </c>
      <c r="AQ333">
        <f t="shared" si="236"/>
        <v>100.54363682442269</v>
      </c>
      <c r="AR333">
        <f t="shared" si="237"/>
        <v>1.5608502325492537</v>
      </c>
      <c r="AS333" s="42" t="str">
        <f t="shared" si="238"/>
        <v>-10,6625656596489+15,4921530316091i</v>
      </c>
      <c r="AT333">
        <f t="shared" si="239"/>
        <v>25.486315137387034</v>
      </c>
      <c r="AU333" s="44">
        <f t="shared" si="240"/>
        <v>124.53792180107266</v>
      </c>
      <c r="AV333" s="42" t="str">
        <f t="shared" si="217"/>
        <v>2,85150055918372+0,998124227459208i</v>
      </c>
      <c r="AW333" s="20">
        <f t="shared" si="241"/>
        <v>9.6034267804075686</v>
      </c>
      <c r="AX333" s="44">
        <f t="shared" si="242"/>
        <v>19.291818908188997</v>
      </c>
    </row>
    <row r="334" spans="14:50" x14ac:dyDescent="0.3">
      <c r="N334" s="8">
        <v>16</v>
      </c>
      <c r="O334" s="35">
        <f t="shared" si="244"/>
        <v>14454.397707459291</v>
      </c>
      <c r="P334" s="34" t="str">
        <f t="shared" si="208"/>
        <v>324,571428571429</v>
      </c>
      <c r="Q334" s="4" t="str">
        <f t="shared" si="209"/>
        <v>1+2075,87792684888i</v>
      </c>
      <c r="R334" s="4">
        <f t="shared" si="218"/>
        <v>2075.8781677108136</v>
      </c>
      <c r="S334" s="4">
        <f t="shared" si="219"/>
        <v>1.5703146029373838</v>
      </c>
      <c r="T334" s="4" t="str">
        <f t="shared" si="210"/>
        <v>1+0,0181639318599277i</v>
      </c>
      <c r="U334" s="4">
        <f t="shared" si="220"/>
        <v>1.0001649506059549</v>
      </c>
      <c r="V334" s="4">
        <f t="shared" si="221"/>
        <v>1.8161934656156481E-2</v>
      </c>
      <c r="W334" t="str">
        <f t="shared" si="211"/>
        <v>1-0,157673019617428i</v>
      </c>
      <c r="X334" s="4">
        <f t="shared" si="222"/>
        <v>1.0123540789246013</v>
      </c>
      <c r="Y334" s="4">
        <f t="shared" si="223"/>
        <v>-0.1563855454932811</v>
      </c>
      <c r="Z334" t="str">
        <f t="shared" si="212"/>
        <v>0,999164281547658+0,135188847019983i</v>
      </c>
      <c r="AA334" s="4">
        <f t="shared" si="224"/>
        <v>1.0082684592305959</v>
      </c>
      <c r="AB334" s="4">
        <f t="shared" si="225"/>
        <v>0.13448523337907234</v>
      </c>
      <c r="AC334" s="48" t="str">
        <f t="shared" si="226"/>
        <v>-0,0422172850321936-0,151231156006582i</v>
      </c>
      <c r="AD334" s="20">
        <f t="shared" si="227"/>
        <v>-16.08127375699943</v>
      </c>
      <c r="AE334" s="44">
        <f t="shared" si="228"/>
        <v>-105.59746506555246</v>
      </c>
      <c r="AF334" t="str">
        <f t="shared" si="213"/>
        <v>-20791,6666666667</v>
      </c>
      <c r="AG334" t="str">
        <f t="shared" si="229"/>
        <v>90819,6592996385i</v>
      </c>
      <c r="AH334">
        <f t="shared" si="230"/>
        <v>90819.659299638501</v>
      </c>
      <c r="AI334">
        <f t="shared" si="231"/>
        <v>1.5707963267948966</v>
      </c>
      <c r="AJ334" t="str">
        <f t="shared" si="214"/>
        <v>-152,860614478853+106,551349863863i</v>
      </c>
      <c r="AK334">
        <f t="shared" si="232"/>
        <v>186.33184810081144</v>
      </c>
      <c r="AL334">
        <f t="shared" si="233"/>
        <v>2.5328499228936234</v>
      </c>
      <c r="AM334" t="str">
        <f t="shared" si="215"/>
        <v>1+146,473946518457i</v>
      </c>
      <c r="AN334">
        <f t="shared" si="234"/>
        <v>146.4773600550331</v>
      </c>
      <c r="AO334">
        <f t="shared" si="235"/>
        <v>1.5639692801594247</v>
      </c>
      <c r="AP334" t="str">
        <f t="shared" si="216"/>
        <v>1+102,88051005463i</v>
      </c>
      <c r="AQ334">
        <f t="shared" si="236"/>
        <v>102.88536994685309</v>
      </c>
      <c r="AR334">
        <f t="shared" si="237"/>
        <v>1.5610766188700107</v>
      </c>
      <c r="AS334" s="42" t="str">
        <f t="shared" si="238"/>
        <v>-10,3353257915929+15,3630137340681i</v>
      </c>
      <c r="AT334">
        <f t="shared" si="239"/>
        <v>25.350929434647945</v>
      </c>
      <c r="AU334" s="44">
        <f t="shared" si="240"/>
        <v>123.93033007721215</v>
      </c>
      <c r="AV334" s="42" t="str">
        <f t="shared" si="217"/>
        <v>2,75969572159237+0,914438537402579i</v>
      </c>
      <c r="AW334" s="20">
        <f t="shared" si="241"/>
        <v>9.2696556776485028</v>
      </c>
      <c r="AX334" s="44">
        <f t="shared" si="242"/>
        <v>18.332865011659717</v>
      </c>
    </row>
    <row r="335" spans="14:50" x14ac:dyDescent="0.3">
      <c r="N335" s="8">
        <v>17</v>
      </c>
      <c r="O335" s="35">
        <f t="shared" si="244"/>
        <v>14791.083881682089</v>
      </c>
      <c r="P335" s="34" t="str">
        <f t="shared" si="208"/>
        <v>324,571428571429</v>
      </c>
      <c r="Q335" s="4" t="str">
        <f t="shared" si="209"/>
        <v>1+2124,23133537476i</v>
      </c>
      <c r="R335" s="4">
        <f t="shared" si="218"/>
        <v>2124.231570754007</v>
      </c>
      <c r="S335" s="4">
        <f t="shared" si="219"/>
        <v>1.5703255683094737</v>
      </c>
      <c r="T335" s="4" t="str">
        <f t="shared" si="210"/>
        <v>1+0,0185870241845291i</v>
      </c>
      <c r="U335" s="4">
        <f t="shared" si="220"/>
        <v>1.0001727238172595</v>
      </c>
      <c r="V335" s="4">
        <f t="shared" si="221"/>
        <v>1.8584884162091444E-2</v>
      </c>
      <c r="W335" t="str">
        <f t="shared" si="211"/>
        <v>1-0,16134569604626i</v>
      </c>
      <c r="X335" s="4">
        <f t="shared" si="222"/>
        <v>1.0129325908631097</v>
      </c>
      <c r="Y335" s="4">
        <f t="shared" si="223"/>
        <v>-0.15996709216145896</v>
      </c>
      <c r="Z335" t="str">
        <f t="shared" si="212"/>
        <v>0,99912489535042+0,138337799790063i</v>
      </c>
      <c r="AA335" s="4">
        <f t="shared" si="224"/>
        <v>1.008656484319485</v>
      </c>
      <c r="AB335" s="4">
        <f t="shared" si="225"/>
        <v>0.13758421227563386</v>
      </c>
      <c r="AC335" s="48" t="str">
        <f t="shared" si="226"/>
        <v>-0,0421901019593644-0,147555862719061i</v>
      </c>
      <c r="AD335" s="20">
        <f t="shared" si="227"/>
        <v>-16.279586113996711</v>
      </c>
      <c r="AE335" s="44">
        <f t="shared" si="228"/>
        <v>-105.95662603324568</v>
      </c>
      <c r="AF335" t="str">
        <f t="shared" si="213"/>
        <v>-20791,6666666667</v>
      </c>
      <c r="AG335" t="str">
        <f t="shared" si="229"/>
        <v>92935,1209226457i</v>
      </c>
      <c r="AH335">
        <f t="shared" si="230"/>
        <v>92935.120922645699</v>
      </c>
      <c r="AI335">
        <f t="shared" si="231"/>
        <v>1.5707963267948966</v>
      </c>
      <c r="AJ335" t="str">
        <f t="shared" si="214"/>
        <v>-160,111841841461+109,033249633745i</v>
      </c>
      <c r="AK335">
        <f t="shared" si="232"/>
        <v>193.71125786479104</v>
      </c>
      <c r="AL335">
        <f t="shared" si="233"/>
        <v>2.5437449424738454</v>
      </c>
      <c r="AM335" t="str">
        <f t="shared" si="215"/>
        <v>1+149,885763024043i</v>
      </c>
      <c r="AN335">
        <f t="shared" si="234"/>
        <v>149.88909886078966</v>
      </c>
      <c r="AO335">
        <f t="shared" si="235"/>
        <v>1.564124678048445</v>
      </c>
      <c r="AP335" t="str">
        <f t="shared" si="216"/>
        <v>1+105,276904981173i</v>
      </c>
      <c r="AQ335">
        <f t="shared" si="236"/>
        <v>105.28165425379167</v>
      </c>
      <c r="AR335">
        <f t="shared" si="237"/>
        <v>1.5612978529717003</v>
      </c>
      <c r="AS335" s="42" t="str">
        <f t="shared" si="238"/>
        <v>-10,0135218712309+15,2280981783071i</v>
      </c>
      <c r="AT335">
        <f t="shared" si="239"/>
        <v>25.2135464636115</v>
      </c>
      <c r="AU335" s="44">
        <f t="shared" si="240"/>
        <v>123.32767086105015</v>
      </c>
      <c r="AV335" s="42" t="str">
        <f t="shared" si="217"/>
        <v>2,66946667299022+0,835078843775674i</v>
      </c>
      <c r="AW335" s="20">
        <f t="shared" si="241"/>
        <v>8.9339603496147841</v>
      </c>
      <c r="AX335" s="44">
        <f t="shared" si="242"/>
        <v>17.371044827804514</v>
      </c>
    </row>
    <row r="336" spans="14:50" x14ac:dyDescent="0.3">
      <c r="N336" s="8">
        <v>18</v>
      </c>
      <c r="O336" s="35">
        <f t="shared" si="244"/>
        <v>15135.612484362096</v>
      </c>
      <c r="P336" s="34" t="str">
        <f t="shared" si="208"/>
        <v>324,571428571429</v>
      </c>
      <c r="Q336" s="4" t="str">
        <f t="shared" si="209"/>
        <v>1+2173,71103947218i</v>
      </c>
      <c r="R336" s="4">
        <f t="shared" si="218"/>
        <v>2173.7112694935417</v>
      </c>
      <c r="S336" s="4">
        <f t="shared" si="219"/>
        <v>1.5703362840793311</v>
      </c>
      <c r="T336" s="4" t="str">
        <f t="shared" si="210"/>
        <v>1+0,0190199715953816i</v>
      </c>
      <c r="U336" s="4">
        <f t="shared" si="220"/>
        <v>1.0001808633039773</v>
      </c>
      <c r="V336" s="4">
        <f t="shared" si="221"/>
        <v>1.9017678542420643E-2</v>
      </c>
      <c r="W336" t="str">
        <f t="shared" si="211"/>
        <v>1-0,165103920098798i</v>
      </c>
      <c r="X336" s="4">
        <f t="shared" si="222"/>
        <v>1.0135380133137535</v>
      </c>
      <c r="Y336" s="4">
        <f t="shared" si="223"/>
        <v>-0.1636277829902843</v>
      </c>
      <c r="Z336" t="str">
        <f t="shared" si="212"/>
        <v>0,999083652938893+0,14156010109271i</v>
      </c>
      <c r="AA336" s="4">
        <f t="shared" si="224"/>
        <v>1.0090626381900685</v>
      </c>
      <c r="AB336" s="4">
        <f t="shared" si="225"/>
        <v>0.14075300764223569</v>
      </c>
      <c r="AC336" s="48" t="str">
        <f t="shared" si="226"/>
        <v>-0,0421613756478649-0,143959178140302i</v>
      </c>
      <c r="AD336" s="20">
        <f t="shared" si="227"/>
        <v>-16.477822269586685</v>
      </c>
      <c r="AE336" s="44">
        <f t="shared" si="228"/>
        <v>-106.32374344548364</v>
      </c>
      <c r="AF336" t="str">
        <f t="shared" si="213"/>
        <v>-20791,6666666667</v>
      </c>
      <c r="AG336" t="str">
        <f t="shared" si="229"/>
        <v>95099,8579769078i</v>
      </c>
      <c r="AH336">
        <f t="shared" si="230"/>
        <v>95099.857976907806</v>
      </c>
      <c r="AI336">
        <f t="shared" si="231"/>
        <v>1.5707963267948966</v>
      </c>
      <c r="AJ336" t="str">
        <f t="shared" si="214"/>
        <v>-167,704809021255+111,57296027581i</v>
      </c>
      <c r="AK336">
        <f t="shared" si="232"/>
        <v>201.42846976920387</v>
      </c>
      <c r="AL336">
        <f t="shared" si="233"/>
        <v>2.5545411373610847</v>
      </c>
      <c r="AM336" t="str">
        <f t="shared" si="215"/>
        <v>1+153,377050945157i</v>
      </c>
      <c r="AN336">
        <f t="shared" si="234"/>
        <v>153.38031085062153</v>
      </c>
      <c r="AO336">
        <f t="shared" si="235"/>
        <v>1.564276538961016</v>
      </c>
      <c r="AP336" t="str">
        <f t="shared" si="216"/>
        <v>1+107,729119116241i</v>
      </c>
      <c r="AQ336">
        <f t="shared" si="236"/>
        <v>107.7337602869279</v>
      </c>
      <c r="AR336">
        <f t="shared" si="237"/>
        <v>1.5615140520688959</v>
      </c>
      <c r="AS336" s="42" t="str">
        <f t="shared" si="238"/>
        <v>-9,69735212144541+15,0876895385542i</v>
      </c>
      <c r="AT336">
        <f t="shared" si="239"/>
        <v>25.074200284320888</v>
      </c>
      <c r="AU336" s="44">
        <f t="shared" si="240"/>
        <v>122.73018274437788</v>
      </c>
      <c r="AV336" s="42" t="str">
        <f t="shared" si="217"/>
        <v>2,58086509158818+0,75990509524705i</v>
      </c>
      <c r="AW336" s="20">
        <f t="shared" si="241"/>
        <v>8.5963780147342188</v>
      </c>
      <c r="AX336" s="44">
        <f t="shared" si="242"/>
        <v>16.406439298894202</v>
      </c>
    </row>
    <row r="337" spans="14:50" x14ac:dyDescent="0.3">
      <c r="N337" s="8">
        <v>19</v>
      </c>
      <c r="O337" s="35">
        <f t="shared" si="244"/>
        <v>15488.166189124853</v>
      </c>
      <c r="P337" s="34" t="str">
        <f t="shared" si="208"/>
        <v>324,571428571429</v>
      </c>
      <c r="Q337" s="4" t="str">
        <f t="shared" si="209"/>
        <v>1+2224,3432739352i</v>
      </c>
      <c r="R337" s="4">
        <f t="shared" si="218"/>
        <v>2224.3434987206374</v>
      </c>
      <c r="S337" s="4">
        <f t="shared" si="219"/>
        <v>1.5703467559285889</v>
      </c>
      <c r="T337" s="4" t="str">
        <f t="shared" si="210"/>
        <v>1+0,019463003646933i</v>
      </c>
      <c r="U337" s="4">
        <f t="shared" si="220"/>
        <v>1.0001893863218909</v>
      </c>
      <c r="V337" s="4">
        <f t="shared" si="221"/>
        <v>1.9460546621544002E-2</v>
      </c>
      <c r="W337" t="str">
        <f t="shared" si="211"/>
        <v>1-0,168949684435182i</v>
      </c>
      <c r="X337" s="4">
        <f t="shared" si="222"/>
        <v>1.0141715810802172</v>
      </c>
      <c r="Y337" s="4">
        <f t="shared" si="223"/>
        <v>-0.16736916628204043</v>
      </c>
      <c r="Z337" t="str">
        <f t="shared" si="212"/>
        <v>0,999040466832392+0,144857459434725i</v>
      </c>
      <c r="AA337" s="4">
        <f t="shared" si="224"/>
        <v>1.0094877601648109</v>
      </c>
      <c r="AB337" s="4">
        <f t="shared" si="225"/>
        <v>0.14399308042821787</v>
      </c>
      <c r="AC337" s="48" t="str">
        <f t="shared" si="226"/>
        <v>-0,0421310521403145-0,140439220969311i</v>
      </c>
      <c r="AD337" s="20">
        <f t="shared" si="227"/>
        <v>-16.675978942575171</v>
      </c>
      <c r="AE337" s="44">
        <f t="shared" si="228"/>
        <v>-106.69897693454539</v>
      </c>
      <c r="AF337" t="str">
        <f t="shared" si="213"/>
        <v>-20791,6666666667</v>
      </c>
      <c r="AG337" t="str">
        <f t="shared" si="229"/>
        <v>97315,0182346649i</v>
      </c>
      <c r="AH337">
        <f t="shared" si="230"/>
        <v>97315.018234664894</v>
      </c>
      <c r="AI337">
        <f t="shared" si="231"/>
        <v>1.5707963267948966</v>
      </c>
      <c r="AJ337" t="str">
        <f t="shared" si="214"/>
        <v>-175,655621719632+114,171828378255i</v>
      </c>
      <c r="AK337">
        <f t="shared" si="232"/>
        <v>209.49965116186746</v>
      </c>
      <c r="AL337">
        <f t="shared" si="233"/>
        <v>2.5652347451452142</v>
      </c>
      <c r="AM337" t="str">
        <f t="shared" si="215"/>
        <v>1+156,949661408867i</v>
      </c>
      <c r="AN337">
        <f t="shared" si="234"/>
        <v>156.95284711134741</v>
      </c>
      <c r="AO337">
        <f t="shared" si="235"/>
        <v>1.5644249433877704</v>
      </c>
      <c r="AP337" t="str">
        <f t="shared" si="216"/>
        <v>1+110,238452656228i</v>
      </c>
      <c r="AQ337">
        <f t="shared" si="236"/>
        <v>110.24298818536906</v>
      </c>
      <c r="AR337">
        <f t="shared" si="237"/>
        <v>1.5617253307123296</v>
      </c>
      <c r="AS337" s="42" t="str">
        <f t="shared" si="238"/>
        <v>-9,38699615697264+14,9420769577318i</v>
      </c>
      <c r="AT337">
        <f t="shared" si="239"/>
        <v>24.932926120728041</v>
      </c>
      <c r="AU337" s="44">
        <f t="shared" si="240"/>
        <v>122.13809247246293</v>
      </c>
      <c r="AV337" s="42" t="str">
        <f t="shared" si="217"/>
        <v>2,49393767213769+0,688777004136363i</v>
      </c>
      <c r="AW337" s="20">
        <f t="shared" si="241"/>
        <v>8.2569471781528634</v>
      </c>
      <c r="AX337" s="44">
        <f t="shared" si="242"/>
        <v>15.439115537917546</v>
      </c>
    </row>
    <row r="338" spans="14:50" x14ac:dyDescent="0.3">
      <c r="N338" s="8">
        <v>20</v>
      </c>
      <c r="O338" s="35">
        <f t="shared" si="244"/>
        <v>15848.931924611146</v>
      </c>
      <c r="P338" s="34" t="str">
        <f t="shared" si="208"/>
        <v>324,571428571429</v>
      </c>
      <c r="Q338" s="4" t="str">
        <f t="shared" si="209"/>
        <v>1+2276,15488464471i</v>
      </c>
      <c r="R338" s="4">
        <f t="shared" si="218"/>
        <v>2276.1551043134059</v>
      </c>
      <c r="S338" s="4">
        <f t="shared" si="219"/>
        <v>1.5703569894095513</v>
      </c>
      <c r="T338" s="4" t="str">
        <f t="shared" si="210"/>
        <v>1+0,0199163552406412i</v>
      </c>
      <c r="U338" s="4">
        <f t="shared" si="220"/>
        <v>1.0001983109394215</v>
      </c>
      <c r="V338" s="4">
        <f t="shared" si="221"/>
        <v>1.9913722518695234E-2</v>
      </c>
      <c r="W338" t="str">
        <f t="shared" si="211"/>
        <v>1-0,172885028130566i</v>
      </c>
      <c r="X338" s="4">
        <f t="shared" si="222"/>
        <v>1.0148345840341206</v>
      </c>
      <c r="Y338" s="4">
        <f t="shared" si="223"/>
        <v>-0.17119280658277972</v>
      </c>
      <c r="Z338" t="str">
        <f t="shared" si="212"/>
        <v>0,998995245427396+0,148231623119147i</v>
      </c>
      <c r="AA338" s="4">
        <f t="shared" si="224"/>
        <v>1.0099327276997612</v>
      </c>
      <c r="AB338" s="4">
        <f t="shared" si="225"/>
        <v>0.14730591427757475</v>
      </c>
      <c r="AC338" s="48" t="str">
        <f t="shared" si="226"/>
        <v>-0,0420990747392801-0,136994152310515i</v>
      </c>
      <c r="AD338" s="20">
        <f t="shared" si="227"/>
        <v>-16.874052725483967</v>
      </c>
      <c r="AE338" s="44">
        <f t="shared" si="228"/>
        <v>-107.0824880529351</v>
      </c>
      <c r="AF338" t="str">
        <f t="shared" si="213"/>
        <v>-20791,6666666667</v>
      </c>
      <c r="AG338" t="str">
        <f t="shared" si="229"/>
        <v>99581,7762032062i</v>
      </c>
      <c r="AH338">
        <f t="shared" si="230"/>
        <v>99581.776203206202</v>
      </c>
      <c r="AI338">
        <f t="shared" si="231"/>
        <v>1.5707963267948966</v>
      </c>
      <c r="AJ338" t="str">
        <f t="shared" si="214"/>
        <v>-183,981144676306+116,831231895349i</v>
      </c>
      <c r="AK338">
        <f t="shared" si="232"/>
        <v>217.94173153067462</v>
      </c>
      <c r="AL338">
        <f t="shared" si="233"/>
        <v>2.5758222093975522</v>
      </c>
      <c r="AM338" t="str">
        <f t="shared" si="215"/>
        <v>1+160,605488660531i</v>
      </c>
      <c r="AN338">
        <f t="shared" si="234"/>
        <v>160.60860184899173</v>
      </c>
      <c r="AO338">
        <f t="shared" si="235"/>
        <v>1.5645699699885367</v>
      </c>
      <c r="AP338" t="str">
        <f t="shared" si="216"/>
        <v>1+112,806236082992i</v>
      </c>
      <c r="AQ338">
        <f t="shared" si="236"/>
        <v>112.81066837498892</v>
      </c>
      <c r="AR338">
        <f t="shared" si="237"/>
        <v>1.5619318008492415</v>
      </c>
      <c r="AS338" s="42" t="str">
        <f t="shared" si="238"/>
        <v>-9,08261495625346+14,7915541783691i</v>
      </c>
      <c r="AT338">
        <f t="shared" si="239"/>
        <v>24.789760245961414</v>
      </c>
      <c r="AU338" s="44">
        <f t="shared" si="240"/>
        <v>121.55161473463991</v>
      </c>
      <c r="AV338" s="42" t="str">
        <f t="shared" si="217"/>
        <v>2,40872611189215+0,621554391829476i</v>
      </c>
      <c r="AW338" s="20">
        <f t="shared" si="241"/>
        <v>7.915707520477449</v>
      </c>
      <c r="AX338" s="44">
        <f t="shared" si="242"/>
        <v>14.469126681704788</v>
      </c>
    </row>
    <row r="339" spans="14:50" x14ac:dyDescent="0.3">
      <c r="N339" s="8">
        <v>21</v>
      </c>
      <c r="O339" s="35">
        <f t="shared" si="244"/>
        <v>16218.100973589309</v>
      </c>
      <c r="P339" s="34" t="str">
        <f t="shared" ref="P339:P402" si="245">COMPLEX(Adc,0)</f>
        <v>324,571428571429</v>
      </c>
      <c r="Q339" s="4" t="str">
        <f t="shared" ref="Q339:Q402" si="246">IMSUM(COMPLEX(1,0),IMDIV(COMPLEX(0,2*PI()*O339),COMPLEX(wp_lf,0)))</f>
        <v>1+2329,17334280254i</v>
      </c>
      <c r="R339" s="4">
        <f t="shared" si="218"/>
        <v>2329.1735574709669</v>
      </c>
      <c r="S339" s="4">
        <f t="shared" si="219"/>
        <v>1.5703669899481365</v>
      </c>
      <c r="T339" s="4" t="str">
        <f t="shared" ref="T339:T402" si="247">IMSUM(COMPLEX(1,0),IMDIV(COMPLEX(0,2*PI()*O339),COMPLEX(wz_esr,0)))</f>
        <v>1+0,0203802667495222i</v>
      </c>
      <c r="U339" s="4">
        <f t="shared" si="220"/>
        <v>1.0002076560758679</v>
      </c>
      <c r="V339" s="4">
        <f t="shared" si="221"/>
        <v>2.0377445768762669E-2</v>
      </c>
      <c r="W339" t="str">
        <f t="shared" ref="W339:W402" si="248">IMSUB(COMPLEX(1,0),IMDIV(COMPLEX(0,2*PI()*O339),COMPLEX(wz_rhp,0)))</f>
        <v>1-0,176912037756269i</v>
      </c>
      <c r="X339" s="4">
        <f t="shared" si="222"/>
        <v>1.0155283694230681</v>
      </c>
      <c r="Y339" s="4">
        <f t="shared" si="223"/>
        <v>-0.17510028379313747</v>
      </c>
      <c r="Z339" t="str">
        <f t="shared" ref="Z339:Z402" si="249">IMSUM(COMPLEX(1,0),IMDIV(COMPLEX(0,2*PI()*O339),COMPLEX(Q*(wsl/2),0)),IMDIV(IMPOWER(COMPLEX(0,2*PI()*O339),2),IMPOWER(COMPLEX(wsl/2,0),2)))</f>
        <v>0,998947892803242+0,151684381172225i</v>
      </c>
      <c r="AA339" s="4">
        <f t="shared" si="224"/>
        <v>1.0103984580489216</v>
      </c>
      <c r="AB339" s="4">
        <f t="shared" si="225"/>
        <v>0.1506930153042495</v>
      </c>
      <c r="AC339" s="48" t="str">
        <f t="shared" si="226"/>
        <v>-0,0420653839459129-0,133622174808815i</v>
      </c>
      <c r="AD339" s="20">
        <f t="shared" si="227"/>
        <v>-17.072040081109421</v>
      </c>
      <c r="AE339" s="44">
        <f t="shared" si="228"/>
        <v>-107.47444020280794</v>
      </c>
      <c r="AF339" t="str">
        <f t="shared" ref="AF339:AF402" si="250">COMPLEX(Adc_ea_iso,0)</f>
        <v>-20791,6666666667</v>
      </c>
      <c r="AG339" t="str">
        <f t="shared" si="229"/>
        <v>101901,333747611i</v>
      </c>
      <c r="AH339">
        <f t="shared" si="230"/>
        <v>101901.333747611</v>
      </c>
      <c r="AI339">
        <f t="shared" si="231"/>
        <v>1.5707963267948966</v>
      </c>
      <c r="AJ339" t="str">
        <f t="shared" ref="AJ339:AJ402" si="251">IMSUM(IMPRODUCT(COMPLEX(wpA_ea_iso,0),IMPOWER(COMPLEX(0,2*PI()*O339),2)),COMPLEX(0,wpB_ea_iso*2*PI()*O339),COMPLEX(1,0))</f>
        <v>-192,699037441693+119,552580878039i</v>
      </c>
      <c r="AK339">
        <f t="shared" si="232"/>
        <v>226.77243797594772</v>
      </c>
      <c r="AL339">
        <f t="shared" si="233"/>
        <v>2.5863001824691745</v>
      </c>
      <c r="AM339" t="str">
        <f t="shared" ref="AM339:AM402" si="252">IMSUM(COMPLEX(1,0),IMDIV(COMPLEX(0,2*PI()*O339),COMPLEX(wz1_ea_iso,0)))</f>
        <v>1+164,346471068147i</v>
      </c>
      <c r="AN339">
        <f t="shared" si="234"/>
        <v>164.34951339311377</v>
      </c>
      <c r="AO339">
        <f t="shared" si="235"/>
        <v>1.5647116956339222</v>
      </c>
      <c r="AP339" t="str">
        <f t="shared" ref="AP339:AP402" si="253">IMSUM(COMPLEX(1,0),IMDIV(COMPLEX(0,2*PI()*O339),COMPLEX(wz2_ea_iso,0)))</f>
        <v>1+115,433830869294i</v>
      </c>
      <c r="AQ339">
        <f t="shared" si="236"/>
        <v>115.43816227383719</v>
      </c>
      <c r="AR339">
        <f t="shared" si="237"/>
        <v>1.5621335718823768</v>
      </c>
      <c r="AS339" s="42" t="str">
        <f t="shared" si="238"/>
        <v>-8,78435094343459+14,6364182061025i</v>
      </c>
      <c r="AT339">
        <f t="shared" si="239"/>
        <v>24.644739867764088</v>
      </c>
      <c r="AU339" s="44">
        <f t="shared" si="240"/>
        <v>120.97095200974042</v>
      </c>
      <c r="AV339" s="42" t="str">
        <f t="shared" ref="AV339:AV402" si="254">IMPRODUCT(AC339,AS339)</f>
        <v>2,32526712726197+0,558097525912944i</v>
      </c>
      <c r="AW339" s="20">
        <f t="shared" si="241"/>
        <v>7.572699786654673</v>
      </c>
      <c r="AX339" s="44">
        <f t="shared" si="242"/>
        <v>13.496511806932459</v>
      </c>
    </row>
    <row r="340" spans="14:50" x14ac:dyDescent="0.3">
      <c r="N340" s="8">
        <v>22</v>
      </c>
      <c r="O340" s="35">
        <f t="shared" si="244"/>
        <v>16595.869074375616</v>
      </c>
      <c r="P340" s="34" t="str">
        <f t="shared" si="245"/>
        <v>324,571428571429</v>
      </c>
      <c r="Q340" s="4" t="str">
        <f t="shared" si="246"/>
        <v>1+2383,42675949698i</v>
      </c>
      <c r="R340" s="4">
        <f t="shared" ref="R340:R403" si="255">IMABS(Q340)</f>
        <v>2383.4269692789571</v>
      </c>
      <c r="S340" s="4">
        <f t="shared" ref="S340:S403" si="256">IMARGUMENT(Q340)</f>
        <v>1.5703767628467546</v>
      </c>
      <c r="T340" s="4" t="str">
        <f t="shared" si="247"/>
        <v>1+0,0208549841455986i</v>
      </c>
      <c r="U340" s="4">
        <f t="shared" ref="U340:U403" si="257">IMABS(T340)</f>
        <v>1.0002174415414447</v>
      </c>
      <c r="V340" s="4">
        <f t="shared" ref="V340:V403" si="258">IMARGUMENT(T340)</f>
        <v>2.0851961445744541E-2</v>
      </c>
      <c r="W340" t="str">
        <f t="shared" si="248"/>
        <v>1-0,181032848486099i</v>
      </c>
      <c r="X340" s="4">
        <f t="shared" ref="X340:X403" si="259">IMABS(W340)</f>
        <v>1.0162543442618048</v>
      </c>
      <c r="Y340" s="4">
        <f t="shared" ref="Y340:Y403" si="260">IMARGUMENT(W340)</f>
        <v>-0.17909319218480133</v>
      </c>
      <c r="Z340" t="str">
        <f t="shared" si="249"/>
        <v>0,998898308518665+0,155217564291981i</v>
      </c>
      <c r="AA340" s="4">
        <f t="shared" ref="AA340:AA403" si="261">IMABS(Z340)</f>
        <v>1.0108859099948844</v>
      </c>
      <c r="AB340" s="4">
        <f t="shared" ref="AB340:AB403" si="262">IMARGUMENT(Z340)</f>
        <v>0.15415591181498775</v>
      </c>
      <c r="AC340" s="48" t="str">
        <f t="shared" ref="AC340:AC403" si="263">(IMDIV(IMPRODUCT(P340,T340,W340),IMPRODUCT(Q340,Z340)))</f>
        <v>-0,0420299173978153-0,130321531813028i</v>
      </c>
      <c r="AD340" s="20">
        <f t="shared" ref="AD340:AD403" si="264">20*LOG(IMABS(AC340))</f>
        <v>-17.269937339128699</v>
      </c>
      <c r="AE340" s="44">
        <f t="shared" ref="AE340:AE403" si="265">(180/PI())*IMARGUMENT(AC340)</f>
        <v>-107.87499855682914</v>
      </c>
      <c r="AF340" t="str">
        <f t="shared" si="250"/>
        <v>-20791,6666666667</v>
      </c>
      <c r="AG340" t="str">
        <f t="shared" ref="AG340:AG403" si="266">COMPLEX(0,1*2*PI()*O340)</f>
        <v>104274,920727993i</v>
      </c>
      <c r="AH340">
        <f t="shared" ref="AH340:AH403" si="267">IMABS(AG340)</f>
        <v>104274.920727993</v>
      </c>
      <c r="AI340">
        <f t="shared" ref="AI340:AI403" si="268">IMARGUMENT(AG340)</f>
        <v>1.5707963267948966</v>
      </c>
      <c r="AJ340" t="str">
        <f t="shared" si="251"/>
        <v>-201,827791835177+122,337318221575i</v>
      </c>
      <c r="AK340">
        <f t="shared" ref="AK340:AK403" si="269">IMABS(AJ340)</f>
        <v>236.01033237278074</v>
      </c>
      <c r="AL340">
        <f t="shared" ref="AL340:AL403" si="270">IMARGUMENT(AJ340)</f>
        <v>2.5966655273559831</v>
      </c>
      <c r="AM340" t="str">
        <f t="shared" si="252"/>
        <v>1+168,174592150107i</v>
      </c>
      <c r="AN340">
        <f t="shared" ref="AN340:AN403" si="271">IMABS(AM340)</f>
        <v>168.17756522454124</v>
      </c>
      <c r="AO340">
        <f t="shared" ref="AO340:AO403" si="272">IMARGUMENT(AM340)</f>
        <v>1.5648501954459531</v>
      </c>
      <c r="AP340" t="str">
        <f t="shared" si="253"/>
        <v>1+118,12263020067i</v>
      </c>
      <c r="AQ340">
        <f t="shared" ref="AQ340:AQ403" si="273">IMABS(AP340)</f>
        <v>118.12686301398271</v>
      </c>
      <c r="AR340">
        <f t="shared" ref="AR340:AR403" si="274">IMARGUMENT(AP340)</f>
        <v>1.5623307507276545</v>
      </c>
      <c r="AS340" s="42" t="str">
        <f t="shared" ref="AS340:AS403" si="275">IMDIV(IMPRODUCT(AF340,AM340,AP340),IMPRODUCT(AG340,AJ340))</f>
        <v>-8,49232817415249+14,4769680149529i</v>
      </c>
      <c r="AT340">
        <f t="shared" ref="AT340:AT403" si="276">20*LOG(IMABS(AS340))</f>
        <v>24.497903014762588</v>
      </c>
      <c r="AU340" s="44">
        <f t="shared" ref="AU340:AU403" si="277">(180/PI())*IMARGUMENT(AS340)</f>
        <v>120.39629446486514</v>
      </c>
      <c r="AV340" s="42" t="str">
        <f t="shared" si="254"/>
        <v>2,24359249939164+0,498267446475203i</v>
      </c>
      <c r="AW340" s="20">
        <f t="shared" ref="AW340:AW403" si="278">20*LOG(IMABS(AV340))</f>
        <v>7.2279656756338806</v>
      </c>
      <c r="AX340" s="44">
        <f t="shared" ref="AX340:AX403" si="279">(180/PI())*IMARGUMENT(AV340)</f>
        <v>12.521295908036011</v>
      </c>
    </row>
    <row r="341" spans="14:50" x14ac:dyDescent="0.3">
      <c r="N341" s="8">
        <v>23</v>
      </c>
      <c r="O341" s="35">
        <f t="shared" si="244"/>
        <v>16982.436524617482</v>
      </c>
      <c r="P341" s="34" t="str">
        <f t="shared" si="245"/>
        <v>324,571428571429</v>
      </c>
      <c r="Q341" s="4" t="str">
        <f t="shared" si="246"/>
        <v>1+2438,9439006077i</v>
      </c>
      <c r="R341" s="4">
        <f t="shared" si="255"/>
        <v>2438.9441056144569</v>
      </c>
      <c r="S341" s="4">
        <f t="shared" si="256"/>
        <v>1.5703863132871181</v>
      </c>
      <c r="T341" s="4" t="str">
        <f t="shared" si="247"/>
        <v>1+0,0213407591303174i</v>
      </c>
      <c r="U341" s="4">
        <f t="shared" si="257"/>
        <v>1.0002276880791985</v>
      </c>
      <c r="V341" s="4">
        <f t="shared" si="258"/>
        <v>2.1337520288888554E-2</v>
      </c>
      <c r="W341" t="str">
        <f t="shared" si="248"/>
        <v>1-0,18524964522845i</v>
      </c>
      <c r="X341" s="4">
        <f t="shared" si="259"/>
        <v>1.0170139778082041</v>
      </c>
      <c r="Y341" s="4">
        <f t="shared" si="260"/>
        <v>-0.18317313931705453</v>
      </c>
      <c r="Z341" t="str">
        <f t="shared" si="249"/>
        <v>0,998846387398749+0,158833045818873i</v>
      </c>
      <c r="AA341" s="4">
        <f t="shared" si="261"/>
        <v>1.0113960856477704</v>
      </c>
      <c r="AB341" s="4">
        <f t="shared" si="262"/>
        <v>0.1576961539759171</v>
      </c>
      <c r="AC341" s="48" t="str">
        <f t="shared" si="263"/>
        <v>-0,0419926098064356-0,127090506567532i</v>
      </c>
      <c r="AD341" s="20">
        <f t="shared" si="264"/>
        <v>-17.467740692773756</v>
      </c>
      <c r="AE341" s="44">
        <f t="shared" si="265"/>
        <v>-108.28432996992717</v>
      </c>
      <c r="AF341" t="str">
        <f t="shared" si="250"/>
        <v>-20791,6666666667</v>
      </c>
      <c r="AG341" t="str">
        <f t="shared" si="266"/>
        <v>106703,795651587i</v>
      </c>
      <c r="AH341">
        <f t="shared" si="267"/>
        <v>106703.795651587</v>
      </c>
      <c r="AI341">
        <f t="shared" si="268"/>
        <v>1.5707963267948966</v>
      </c>
      <c r="AJ341" t="str">
        <f t="shared" si="251"/>
        <v>-211,386771168742+125,186920430559i</v>
      </c>
      <c r="AK341">
        <f t="shared" si="269"/>
        <v>245.67485030428574</v>
      </c>
      <c r="AL341">
        <f t="shared" si="270"/>
        <v>2.6069153186631602</v>
      </c>
      <c r="AM341" t="str">
        <f t="shared" si="252"/>
        <v>1+172,091881626879i</v>
      </c>
      <c r="AN341">
        <f t="shared" si="271"/>
        <v>172.09478702703268</v>
      </c>
      <c r="AO341">
        <f t="shared" si="272"/>
        <v>1.5649855428377968</v>
      </c>
      <c r="AP341" t="str">
        <f t="shared" si="253"/>
        <v>1+120,874059714118i</v>
      </c>
      <c r="AQ341">
        <f t="shared" si="273"/>
        <v>120.87819618017205</v>
      </c>
      <c r="AR341">
        <f t="shared" si="274"/>
        <v>1.5625234418705438</v>
      </c>
      <c r="AS341" s="42" t="str">
        <f t="shared" si="275"/>
        <v>-8,2066526179918+14,3135033025654i</v>
      </c>
      <c r="AT341">
        <f t="shared" si="276"/>
        <v>24.349288424181484</v>
      </c>
      <c r="AU341" s="44">
        <f t="shared" si="277"/>
        <v>119.82781990563173</v>
      </c>
      <c r="AV341" s="42" t="str">
        <f t="shared" si="254"/>
        <v>2,16372914668337+0,441926279296584i</v>
      </c>
      <c r="AW341" s="20">
        <f t="shared" si="278"/>
        <v>6.8815477314077178</v>
      </c>
      <c r="AX341" s="44">
        <f t="shared" si="279"/>
        <v>11.543489935704562</v>
      </c>
    </row>
    <row r="342" spans="14:50" x14ac:dyDescent="0.3">
      <c r="N342" s="8">
        <v>24</v>
      </c>
      <c r="O342" s="35">
        <f t="shared" si="244"/>
        <v>17378.008287493791</v>
      </c>
      <c r="P342" s="34" t="str">
        <f t="shared" si="245"/>
        <v>324,571428571429</v>
      </c>
      <c r="Q342" s="4" t="str">
        <f t="shared" si="246"/>
        <v>1+2495,75420205774i</v>
      </c>
      <c r="R342" s="4">
        <f t="shared" si="255"/>
        <v>2495.7544023979735</v>
      </c>
      <c r="S342" s="4">
        <f t="shared" si="256"/>
        <v>1.5703956463329902</v>
      </c>
      <c r="T342" s="4" t="str">
        <f t="shared" si="247"/>
        <v>1+0,0218378492680052i</v>
      </c>
      <c r="U342" s="4">
        <f t="shared" si="257"/>
        <v>1.0002384174088956</v>
      </c>
      <c r="V342" s="4">
        <f t="shared" si="258"/>
        <v>2.1834378831563583E-2</v>
      </c>
      <c r="W342" t="str">
        <f t="shared" si="248"/>
        <v>1-0,189564663784767i</v>
      </c>
      <c r="X342" s="4">
        <f t="shared" si="259"/>
        <v>1.0178088041257216</v>
      </c>
      <c r="Y342" s="4">
        <f t="shared" si="260"/>
        <v>-0.18734174484761407</v>
      </c>
      <c r="Z342" t="str">
        <f t="shared" si="249"/>
        <v>0,998792019311839+0,162532742729059i</v>
      </c>
      <c r="AA342" s="4">
        <f t="shared" si="261"/>
        <v>1.0119300323145133</v>
      </c>
      <c r="AB342" s="4">
        <f t="shared" si="262"/>
        <v>0.16131531341880906</v>
      </c>
      <c r="AC342" s="48" t="str">
        <f t="shared" si="263"/>
        <v>-0,041953392894315-0,123927421431986i</v>
      </c>
      <c r="AD342" s="20">
        <f t="shared" si="264"/>
        <v>-17.665446195592637</v>
      </c>
      <c r="AE342" s="44">
        <f t="shared" si="265"/>
        <v>-108.70260288137395</v>
      </c>
      <c r="AF342" t="str">
        <f t="shared" si="250"/>
        <v>-20791,6666666667</v>
      </c>
      <c r="AG342" t="str">
        <f t="shared" si="266"/>
        <v>109189,246340026i</v>
      </c>
      <c r="AH342">
        <f t="shared" si="267"/>
        <v>109189.246340026</v>
      </c>
      <c r="AI342">
        <f t="shared" si="268"/>
        <v>1.5707963267948966</v>
      </c>
      <c r="AJ342" t="str">
        <f t="shared" si="251"/>
        <v>-221,396251319142+128,102898401799i</v>
      </c>
      <c r="AK342">
        <f t="shared" si="269"/>
        <v>255.78634185020573</v>
      </c>
      <c r="AL342">
        <f t="shared" si="270"/>
        <v>2.6170468427070404</v>
      </c>
      <c r="AM342" t="str">
        <f t="shared" si="252"/>
        <v>1+176,100416497194i</v>
      </c>
      <c r="AN342">
        <f t="shared" si="271"/>
        <v>176.10325576344462</v>
      </c>
      <c r="AO342">
        <f t="shared" si="272"/>
        <v>1.5651178095525853</v>
      </c>
      <c r="AP342" t="str">
        <f t="shared" si="253"/>
        <v>1+123,689578253981i</v>
      </c>
      <c r="AQ342">
        <f t="shared" si="273"/>
        <v>123.69362056568515</v>
      </c>
      <c r="AR342">
        <f t="shared" si="274"/>
        <v>1.5627117474211691</v>
      </c>
      <c r="AS342" s="42" t="str">
        <f t="shared" si="275"/>
        <v>-7,9274125299283+14,1463233025574i</v>
      </c>
      <c r="AT342">
        <f t="shared" si="276"/>
        <v>24.198935431576082</v>
      </c>
      <c r="AU342" s="44">
        <f t="shared" si="277"/>
        <v>119.26569377571948</v>
      </c>
      <c r="AV342" s="42" t="str">
        <f t="shared" si="254"/>
        <v>2,08569922213255+0,388937533939436i</v>
      </c>
      <c r="AW342" s="20">
        <f t="shared" si="278"/>
        <v>6.533489235983434</v>
      </c>
      <c r="AX342" s="44">
        <f t="shared" si="279"/>
        <v>10.563090894345557</v>
      </c>
    </row>
    <row r="343" spans="14:50" x14ac:dyDescent="0.3">
      <c r="N343" s="8">
        <v>25</v>
      </c>
      <c r="O343" s="35">
        <f t="shared" si="244"/>
        <v>17782.794100389234</v>
      </c>
      <c r="P343" s="34" t="str">
        <f t="shared" si="245"/>
        <v>324,571428571429</v>
      </c>
      <c r="Q343" s="4" t="str">
        <f t="shared" si="246"/>
        <v>1+2553,88778542091i</v>
      </c>
      <c r="R343" s="4">
        <f t="shared" si="255"/>
        <v>2553.8879812008431</v>
      </c>
      <c r="S343" s="4">
        <f t="shared" si="256"/>
        <v>1.5704047669328689</v>
      </c>
      <c r="T343" s="4" t="str">
        <f t="shared" si="247"/>
        <v>1+0,022346518122433i</v>
      </c>
      <c r="U343" s="4">
        <f t="shared" si="257"/>
        <v>1.0002496522729694</v>
      </c>
      <c r="V343" s="4">
        <f t="shared" si="258"/>
        <v>2.2342799532913921E-2</v>
      </c>
      <c r="W343" t="str">
        <f t="shared" si="248"/>
        <v>1-0,193980192035009i</v>
      </c>
      <c r="X343" s="4">
        <f t="shared" si="259"/>
        <v>1.0186404247338405</v>
      </c>
      <c r="Y343" s="4">
        <f t="shared" si="260"/>
        <v>-0.19160063923183809</v>
      </c>
      <c r="Z343" t="str">
        <f t="shared" si="249"/>
        <v>0,998735088935933+0,166318616650816i</v>
      </c>
      <c r="AA343" s="4">
        <f t="shared" si="261"/>
        <v>1.0124888444405238</v>
      </c>
      <c r="AB343" s="4">
        <f t="shared" si="262"/>
        <v>0.1650149827828219</v>
      </c>
      <c r="AC343" s="48" t="str">
        <f t="shared" si="263"/>
        <v>-0,0419121953325532-0,120830637129003i</v>
      </c>
      <c r="AD343" s="20">
        <f t="shared" si="264"/>
        <v>-17.863049758320017</v>
      </c>
      <c r="AE343" s="44">
        <f t="shared" si="265"/>
        <v>-109.12998720660886</v>
      </c>
      <c r="AF343" t="str">
        <f t="shared" si="250"/>
        <v>-20791,6666666667</v>
      </c>
      <c r="AG343" t="str">
        <f t="shared" si="266"/>
        <v>111732,590612165i</v>
      </c>
      <c r="AH343">
        <f t="shared" si="267"/>
        <v>111732.590612165</v>
      </c>
      <c r="AI343">
        <f t="shared" si="268"/>
        <v>1.5707963267948966</v>
      </c>
      <c r="AJ343" t="str">
        <f t="shared" si="251"/>
        <v>-231,877463735774+131,086798225414i</v>
      </c>
      <c r="AK343">
        <f t="shared" si="269"/>
        <v>266.36611431923092</v>
      </c>
      <c r="AL343">
        <f t="shared" si="270"/>
        <v>2.6270575967970808</v>
      </c>
      <c r="AM343" t="str">
        <f t="shared" si="252"/>
        <v>1+180,2023221393i</v>
      </c>
      <c r="AN343">
        <f t="shared" si="271"/>
        <v>180.20509677696705</v>
      </c>
      <c r="AO343">
        <f t="shared" si="272"/>
        <v>1.5652470657013593</v>
      </c>
      <c r="AP343" t="str">
        <f t="shared" si="253"/>
        <v>1+126,570678645461i</v>
      </c>
      <c r="AQ343">
        <f t="shared" si="273"/>
        <v>126.57462894582216</v>
      </c>
      <c r="AR343">
        <f t="shared" si="274"/>
        <v>1.5628957671681787</v>
      </c>
      <c r="AS343" s="42" t="str">
        <f t="shared" si="275"/>
        <v>-7,65467890262948+13,9757256600557i</v>
      </c>
      <c r="AT343">
        <f t="shared" si="276"/>
        <v>24.046883863107603</v>
      </c>
      <c r="AU343" s="44">
        <f t="shared" si="277"/>
        <v>118.71006920326828</v>
      </c>
      <c r="AV343" s="42" t="str">
        <f t="shared" si="254"/>
        <v>2,00952023321967+0,339166385044227i</v>
      </c>
      <c r="AW343" s="20">
        <f t="shared" si="278"/>
        <v>6.1838341047876044</v>
      </c>
      <c r="AX343" s="44">
        <f t="shared" si="279"/>
        <v>9.5800819966593949</v>
      </c>
    </row>
    <row r="344" spans="14:50" x14ac:dyDescent="0.3">
      <c r="N344" s="8">
        <v>26</v>
      </c>
      <c r="O344" s="35">
        <f t="shared" si="244"/>
        <v>18197.008586099837</v>
      </c>
      <c r="P344" s="34" t="str">
        <f t="shared" si="245"/>
        <v>324,571428571429</v>
      </c>
      <c r="Q344" s="4" t="str">
        <f t="shared" si="246"/>
        <v>1+2613,37547389264i</v>
      </c>
      <c r="R344" s="4">
        <f t="shared" si="255"/>
        <v>2613.3756652160782</v>
      </c>
      <c r="S344" s="4">
        <f t="shared" si="256"/>
        <v>1.5704136799226107</v>
      </c>
      <c r="T344" s="4" t="str">
        <f t="shared" si="247"/>
        <v>1+0,0228670353965606i</v>
      </c>
      <c r="U344" s="4">
        <f t="shared" si="257"/>
        <v>1.0002614164846246</v>
      </c>
      <c r="V344" s="4">
        <f t="shared" si="258"/>
        <v>2.2863050912342787E-2</v>
      </c>
      <c r="W344" t="str">
        <f t="shared" si="248"/>
        <v>1-0,1984985711507i</v>
      </c>
      <c r="X344" s="4">
        <f t="shared" si="259"/>
        <v>1.0195105113479064</v>
      </c>
      <c r="Y344" s="4">
        <f t="shared" si="260"/>
        <v>-0.19595146230416824</v>
      </c>
      <c r="Z344" t="str">
        <f t="shared" si="249"/>
        <v>0,99867547551407+0,17019267490461i</v>
      </c>
      <c r="AA344" s="4">
        <f t="shared" si="261"/>
        <v>1.0130736656257728</v>
      </c>
      <c r="AB344" s="4">
        <f t="shared" si="262"/>
        <v>0.16879677518725578</v>
      </c>
      <c r="AC344" s="48" t="str">
        <f t="shared" si="263"/>
        <v>-0,0418689426788778-0,117798552019655i</v>
      </c>
      <c r="AD344" s="20">
        <f t="shared" si="264"/>
        <v>-18.060547145882282</v>
      </c>
      <c r="AE344" s="44">
        <f t="shared" si="265"/>
        <v>-109.56665421819824</v>
      </c>
      <c r="AF344" t="str">
        <f t="shared" si="250"/>
        <v>-20791,6666666667</v>
      </c>
      <c r="AG344" t="str">
        <f t="shared" si="266"/>
        <v>114335,176982803i</v>
      </c>
      <c r="AH344">
        <f t="shared" si="267"/>
        <v>114335.17698280299</v>
      </c>
      <c r="AI344">
        <f t="shared" si="268"/>
        <v>1.5707963267948966</v>
      </c>
      <c r="AJ344" t="str">
        <f t="shared" si="251"/>
        <v>-242,852640475417+134,140202004587i</v>
      </c>
      <c r="AK344">
        <f t="shared" si="269"/>
        <v>277.43647701719675</v>
      </c>
      <c r="AL344">
        <f t="shared" si="270"/>
        <v>2.6369452877445267</v>
      </c>
      <c r="AM344" t="str">
        <f t="shared" si="252"/>
        <v>1+184,399773437865i</v>
      </c>
      <c r="AN344">
        <f t="shared" si="271"/>
        <v>184.40248491800739</v>
      </c>
      <c r="AO344">
        <f t="shared" si="272"/>
        <v>1.5653733798001541</v>
      </c>
      <c r="AP344" t="str">
        <f t="shared" si="253"/>
        <v>1+129,518888486119i</v>
      </c>
      <c r="AQ344">
        <f t="shared" si="273"/>
        <v>129.52274886937712</v>
      </c>
      <c r="AR344">
        <f t="shared" si="274"/>
        <v>1.5630755986313973</v>
      </c>
      <c r="AS344" s="42" t="str">
        <f t="shared" si="275"/>
        <v>-7,38850599118599+13,8020053754254i</v>
      </c>
      <c r="AT344">
        <f t="shared" si="276"/>
        <v>23.893173930829505</v>
      </c>
      <c r="AU344" s="44">
        <f t="shared" si="277"/>
        <v>118.16108709146992</v>
      </c>
      <c r="AV344" s="42" t="str">
        <f t="shared" si="254"/>
        <v>1,93520518202012+0,292479935433006i</v>
      </c>
      <c r="AW344" s="20">
        <f t="shared" si="278"/>
        <v>5.8326267849472293</v>
      </c>
      <c r="AX344" s="44">
        <f t="shared" si="279"/>
        <v>8.5944328732716944</v>
      </c>
    </row>
    <row r="345" spans="14:50" x14ac:dyDescent="0.3">
      <c r="N345" s="8">
        <v>27</v>
      </c>
      <c r="O345" s="35">
        <f t="shared" si="244"/>
        <v>18620.871366628675</v>
      </c>
      <c r="P345" s="34" t="str">
        <f t="shared" si="245"/>
        <v>324,571428571429</v>
      </c>
      <c r="Q345" s="4" t="str">
        <f t="shared" si="246"/>
        <v>1+2674,24880863273i</v>
      </c>
      <c r="R345" s="4">
        <f t="shared" si="255"/>
        <v>2674.248995601115</v>
      </c>
      <c r="S345" s="4">
        <f t="shared" si="256"/>
        <v>1.570422390027995</v>
      </c>
      <c r="T345" s="4" t="str">
        <f t="shared" si="247"/>
        <v>1+0,0233996770755364i</v>
      </c>
      <c r="U345" s="4">
        <f t="shared" si="257"/>
        <v>1.0002737349782005</v>
      </c>
      <c r="V345" s="4">
        <f t="shared" si="258"/>
        <v>2.3395407686875893E-2</v>
      </c>
      <c r="W345" t="str">
        <f t="shared" si="248"/>
        <v>1-0,203122196836253i</v>
      </c>
      <c r="X345" s="4">
        <f t="shared" si="259"/>
        <v>1.0204208087096154</v>
      </c>
      <c r="Y345" s="4">
        <f t="shared" si="260"/>
        <v>-0.20039586173561208</v>
      </c>
      <c r="Z345" t="str">
        <f t="shared" si="249"/>
        <v>0,99861305259819+0,174156971567404i</v>
      </c>
      <c r="AA345" s="4">
        <f t="shared" si="261"/>
        <v>1.0136856907172977</v>
      </c>
      <c r="AB345" s="4">
        <f t="shared" si="262"/>
        <v>0.17266232363072842</v>
      </c>
      <c r="AC345" s="48" t="str">
        <f t="shared" si="263"/>
        <v>-0,0418235573167643-0,114829601406735i</v>
      </c>
      <c r="AD345" s="20">
        <f t="shared" si="264"/>
        <v>-18.257933974561912</v>
      </c>
      <c r="AE345" s="44">
        <f t="shared" si="265"/>
        <v>-110.01277641530631</v>
      </c>
      <c r="AF345" t="str">
        <f t="shared" si="250"/>
        <v>-20791,6666666667</v>
      </c>
      <c r="AG345" t="str">
        <f t="shared" si="266"/>
        <v>116998,385377682i</v>
      </c>
      <c r="AH345">
        <f t="shared" si="267"/>
        <v>116998.385377682</v>
      </c>
      <c r="AI345">
        <f t="shared" si="268"/>
        <v>1.5707963267948966</v>
      </c>
      <c r="AJ345" t="str">
        <f t="shared" si="251"/>
        <v>-254,345061359401+137,264728694419i</v>
      </c>
      <c r="AK345">
        <f t="shared" si="269"/>
        <v>289.02078814761734</v>
      </c>
      <c r="AL345">
        <f t="shared" si="270"/>
        <v>2.6467078296475779</v>
      </c>
      <c r="AM345" t="str">
        <f t="shared" si="252"/>
        <v>1+188,694995937125i</v>
      </c>
      <c r="AN345">
        <f t="shared" si="271"/>
        <v>188.69764569732081</v>
      </c>
      <c r="AO345">
        <f t="shared" si="272"/>
        <v>1.5654968188062444</v>
      </c>
      <c r="AP345" t="str">
        <f t="shared" si="253"/>
        <v>1+132,535770955838i</v>
      </c>
      <c r="AQ345">
        <f t="shared" si="273"/>
        <v>132.53954346857523</v>
      </c>
      <c r="AR345">
        <f t="shared" si="274"/>
        <v>1.5632513371132952</v>
      </c>
      <c r="AS345" s="42" t="str">
        <f t="shared" si="275"/>
        <v>-7,12893190168758+13,6254538201536i</v>
      </c>
      <c r="AT345">
        <f t="shared" si="276"/>
        <v>23.737846131408197</v>
      </c>
      <c r="AU345" s="44">
        <f t="shared" si="277"/>
        <v>117.61887625049256</v>
      </c>
      <c r="AV345" s="42" t="str">
        <f t="shared" si="254"/>
        <v>1,86276272315165+0,248747459912423i</v>
      </c>
      <c r="AW345" s="20">
        <f t="shared" si="278"/>
        <v>5.4799121568462708</v>
      </c>
      <c r="AX345" s="44">
        <f t="shared" si="279"/>
        <v>7.6060998351862832</v>
      </c>
    </row>
    <row r="346" spans="14:50" x14ac:dyDescent="0.3">
      <c r="N346" s="8">
        <v>28</v>
      </c>
      <c r="O346" s="35">
        <f t="shared" si="244"/>
        <v>19054.607179632505</v>
      </c>
      <c r="P346" s="34" t="str">
        <f t="shared" si="245"/>
        <v>324,571428571429</v>
      </c>
      <c r="Q346" s="4" t="str">
        <f t="shared" si="246"/>
        <v>1+2736,54006548905i</v>
      </c>
      <c r="R346" s="4">
        <f t="shared" si="255"/>
        <v>2736.5402482015156</v>
      </c>
      <c r="S346" s="4">
        <f t="shared" si="256"/>
        <v>1.57043090186723</v>
      </c>
      <c r="T346" s="4" t="str">
        <f t="shared" si="247"/>
        <v>1+0,0239447255730292i</v>
      </c>
      <c r="U346" s="4">
        <f t="shared" si="257"/>
        <v>1.0002866338618983</v>
      </c>
      <c r="V346" s="4">
        <f t="shared" si="258"/>
        <v>2.3940150911455051E-2</v>
      </c>
      <c r="W346" t="str">
        <f t="shared" si="248"/>
        <v>1-0,207853520599212i</v>
      </c>
      <c r="X346" s="4">
        <f t="shared" si="259"/>
        <v>1.021373137509249</v>
      </c>
      <c r="Y346" s="4">
        <f t="shared" si="260"/>
        <v>-0.20493549136090006</v>
      </c>
      <c r="Z346" t="str">
        <f t="shared" si="249"/>
        <v>0,99854768778092+0,178213608561764i</v>
      </c>
      <c r="AA346" s="4">
        <f t="shared" si="261"/>
        <v>1.0143261679801163</v>
      </c>
      <c r="AB346" s="4">
        <f t="shared" si="262"/>
        <v>0.17661328031194148</v>
      </c>
      <c r="AC346" s="48" t="str">
        <f t="shared" si="263"/>
        <v>-0,0417759583960747-0,111922256865648i</v>
      </c>
      <c r="AD346" s="20">
        <f t="shared" si="264"/>
        <v>-18.455205709352668</v>
      </c>
      <c r="AE346" s="44">
        <f t="shared" si="265"/>
        <v>-110.46852738103776</v>
      </c>
      <c r="AF346" t="str">
        <f t="shared" si="250"/>
        <v>-20791,6666666667</v>
      </c>
      <c r="AG346" t="str">
        <f t="shared" si="266"/>
        <v>119723,627865146i</v>
      </c>
      <c r="AH346">
        <f t="shared" si="267"/>
        <v>119723.627865146</v>
      </c>
      <c r="AI346">
        <f t="shared" si="268"/>
        <v>1.5707963267948966</v>
      </c>
      <c r="AJ346" t="str">
        <f t="shared" si="251"/>
        <v>-266,379103353242+140,462034960318i</v>
      </c>
      <c r="AK346">
        <f t="shared" si="269"/>
        <v>301.14350394532966</v>
      </c>
      <c r="AL346">
        <f t="shared" si="270"/>
        <v>2.6563433410053596</v>
      </c>
      <c r="AM346" t="str">
        <f t="shared" si="252"/>
        <v>1+193,090267020907i</v>
      </c>
      <c r="AN346">
        <f t="shared" si="271"/>
        <v>193.09285646601523</v>
      </c>
      <c r="AO346">
        <f t="shared" si="272"/>
        <v>1.5656174481535696</v>
      </c>
      <c r="AP346" t="str">
        <f t="shared" si="253"/>
        <v>1+135,622925645637i</v>
      </c>
      <c r="AQ346">
        <f t="shared" si="273"/>
        <v>135.6266122878618</v>
      </c>
      <c r="AR346">
        <f t="shared" si="274"/>
        <v>1.5634230757492968</v>
      </c>
      <c r="AS346" s="42" t="str">
        <f t="shared" si="275"/>
        <v>-6,87597923501765+13,4463578278151i</v>
      </c>
      <c r="AT346">
        <f t="shared" si="276"/>
        <v>23.580941148641365</v>
      </c>
      <c r="AU346" s="44">
        <f t="shared" si="277"/>
        <v>117.08355356775074</v>
      </c>
      <c r="AV346" s="42" t="str">
        <f t="shared" si="254"/>
        <v>1,79219733716651+0,20784062895097i</v>
      </c>
      <c r="AW346" s="20">
        <f t="shared" si="278"/>
        <v>5.1257354392886967</v>
      </c>
      <c r="AX346" s="44">
        <f t="shared" si="279"/>
        <v>6.615026186712968</v>
      </c>
    </row>
    <row r="347" spans="14:50" x14ac:dyDescent="0.3">
      <c r="N347" s="8">
        <v>29</v>
      </c>
      <c r="O347" s="35">
        <f t="shared" si="244"/>
        <v>19498.445997580486</v>
      </c>
      <c r="P347" s="34" t="str">
        <f t="shared" si="245"/>
        <v>324,571428571429</v>
      </c>
      <c r="Q347" s="4" t="str">
        <f t="shared" si="246"/>
        <v>1+2800,28227211045i</v>
      </c>
      <c r="R347" s="4">
        <f t="shared" si="255"/>
        <v>2800.2824506638722</v>
      </c>
      <c r="S347" s="4">
        <f t="shared" si="256"/>
        <v>1.5704392199534003</v>
      </c>
      <c r="T347" s="4" t="str">
        <f t="shared" si="247"/>
        <v>1+0,0245024698809664i</v>
      </c>
      <c r="U347" s="4">
        <f t="shared" si="257"/>
        <v>1.0003001404729821</v>
      </c>
      <c r="V347" s="4">
        <f t="shared" si="258"/>
        <v>2.4497568122207478E-2</v>
      </c>
      <c r="W347" t="str">
        <f t="shared" si="248"/>
        <v>1-0,212695051050056i</v>
      </c>
      <c r="X347" s="4">
        <f t="shared" si="259"/>
        <v>1.0223693974005608</v>
      </c>
      <c r="Y347" s="4">
        <f t="shared" si="260"/>
        <v>-0.20957200936883971</v>
      </c>
      <c r="Z347" t="str">
        <f t="shared" si="249"/>
        <v>0,998479242414718+0,182364736770317i</v>
      </c>
      <c r="AA347" s="4">
        <f t="shared" si="261"/>
        <v>1.0149964013484858</v>
      </c>
      <c r="AB347" s="4">
        <f t="shared" si="262"/>
        <v>0.18065131586698926</v>
      </c>
      <c r="AC347" s="48" t="str">
        <f t="shared" si="263"/>
        <v>-0,0417260617757351-0,109075025602898i</v>
      </c>
      <c r="AD347" s="20">
        <f t="shared" si="264"/>
        <v>-18.652357661533738</v>
      </c>
      <c r="AE347" s="44">
        <f t="shared" si="265"/>
        <v>-110.93408162698412</v>
      </c>
      <c r="AF347" t="str">
        <f t="shared" si="250"/>
        <v>-20791,6666666667</v>
      </c>
      <c r="AG347" t="str">
        <f t="shared" si="266"/>
        <v>122512,349404832i</v>
      </c>
      <c r="AH347">
        <f t="shared" si="267"/>
        <v>122512.349404832</v>
      </c>
      <c r="AI347">
        <f t="shared" si="268"/>
        <v>1.5707963267948966</v>
      </c>
      <c r="AJ347" t="str">
        <f t="shared" si="251"/>
        <v>-278,980292273427+143,733816056388i</v>
      </c>
      <c r="AK347">
        <f t="shared" si="269"/>
        <v>313.8302301485603</v>
      </c>
      <c r="AL347">
        <f t="shared" si="270"/>
        <v>2.6658501412145181</v>
      </c>
      <c r="AM347" t="str">
        <f t="shared" si="252"/>
        <v>1+197,587917120113i</v>
      </c>
      <c r="AN347">
        <f t="shared" si="271"/>
        <v>197.59044762301806</v>
      </c>
      <c r="AO347">
        <f t="shared" si="272"/>
        <v>1.5657353317873559</v>
      </c>
      <c r="AP347" t="str">
        <f t="shared" si="253"/>
        <v>1+138,781989405794i</v>
      </c>
      <c r="AQ347">
        <f t="shared" si="273"/>
        <v>138.7855921320002</v>
      </c>
      <c r="AR347">
        <f t="shared" si="274"/>
        <v>1.5635909055569546</v>
      </c>
      <c r="AS347" s="42" t="str">
        <f t="shared" si="275"/>
        <v>-6,62965577732417+13,2649988620779i</v>
      </c>
      <c r="AT347">
        <f t="shared" si="276"/>
        <v>23.422499760088883</v>
      </c>
      <c r="AU347" s="44">
        <f t="shared" si="277"/>
        <v>116.55522421343684</v>
      </c>
      <c r="AV347" s="42" t="str">
        <f t="shared" si="254"/>
        <v>1,72350951702005+0,169633711675916i</v>
      </c>
      <c r="AW347" s="20">
        <f t="shared" si="278"/>
        <v>4.7701420985551577</v>
      </c>
      <c r="AX347" s="44">
        <f t="shared" si="279"/>
        <v>5.6211425864526969</v>
      </c>
    </row>
    <row r="348" spans="14:50" x14ac:dyDescent="0.3">
      <c r="N348" s="8">
        <v>30</v>
      </c>
      <c r="O348" s="35">
        <f t="shared" si="244"/>
        <v>19952.623149688792</v>
      </c>
      <c r="P348" s="34" t="str">
        <f t="shared" si="245"/>
        <v>324,571428571429</v>
      </c>
      <c r="Q348" s="4" t="str">
        <f t="shared" si="246"/>
        <v>1+2865,50922545865i</v>
      </c>
      <c r="R348" s="4">
        <f t="shared" si="255"/>
        <v>2865.5093999477008</v>
      </c>
      <c r="S348" s="4">
        <f t="shared" si="256"/>
        <v>1.5704473486968609</v>
      </c>
      <c r="T348" s="4" t="str">
        <f t="shared" si="247"/>
        <v>1+0,0250732057227632i</v>
      </c>
      <c r="U348" s="4">
        <f t="shared" si="257"/>
        <v>1.0003142834355689</v>
      </c>
      <c r="V348" s="4">
        <f t="shared" si="258"/>
        <v>2.5067953482744845E-2</v>
      </c>
      <c r="W348" t="str">
        <f t="shared" si="248"/>
        <v>1-0,217649355232319i</v>
      </c>
      <c r="X348" s="4">
        <f t="shared" si="259"/>
        <v>1.0234115701090369</v>
      </c>
      <c r="Y348" s="4">
        <f t="shared" si="260"/>
        <v>-0.21430707634941448</v>
      </c>
      <c r="Z348" t="str">
        <f t="shared" si="249"/>
        <v>0,998407571317786+0,186612557176191i</v>
      </c>
      <c r="AA348" s="4">
        <f t="shared" si="261"/>
        <v>1.0156977527594107</v>
      </c>
      <c r="AB348" s="4">
        <f t="shared" si="262"/>
        <v>0.18477811851802431</v>
      </c>
      <c r="AC348" s="48" t="str">
        <f t="shared" si="263"/>
        <v>-0,0416737799690205-0,106286449842037i</v>
      </c>
      <c r="AD348" s="20">
        <f t="shared" si="264"/>
        <v>-18.849384986500279</v>
      </c>
      <c r="AE348" s="44">
        <f t="shared" si="265"/>
        <v>-111.40961442430871</v>
      </c>
      <c r="AF348" t="str">
        <f t="shared" si="250"/>
        <v>-20791,6666666667</v>
      </c>
      <c r="AG348" t="str">
        <f t="shared" si="266"/>
        <v>125366,028613816i</v>
      </c>
      <c r="AH348">
        <f t="shared" si="267"/>
        <v>125366.028613816</v>
      </c>
      <c r="AI348">
        <f t="shared" si="268"/>
        <v>1.5707963267948966</v>
      </c>
      <c r="AJ348" t="str">
        <f t="shared" si="251"/>
        <v>-292,175356931141+147,081806724272i</v>
      </c>
      <c r="AK348">
        <f t="shared" si="269"/>
        <v>327.10777591967411</v>
      </c>
      <c r="AL348">
        <f t="shared" si="270"/>
        <v>2.6752267465036974</v>
      </c>
      <c r="AM348" t="str">
        <f t="shared" si="252"/>
        <v>1+202,190330948362i</v>
      </c>
      <c r="AN348">
        <f t="shared" si="271"/>
        <v>202.1928038507013</v>
      </c>
      <c r="AO348">
        <f t="shared" si="272"/>
        <v>1.565850532197953</v>
      </c>
      <c r="AP348" t="str">
        <f t="shared" si="253"/>
        <v>1+142,014637213731i</v>
      </c>
      <c r="AQ348">
        <f t="shared" si="273"/>
        <v>142.01815793393334</v>
      </c>
      <c r="AR348">
        <f t="shared" si="274"/>
        <v>1.5637549154840142</v>
      </c>
      <c r="AS348" s="42" t="str">
        <f t="shared" si="275"/>
        <v>-6,38995522880101+13,0816522627841i</v>
      </c>
      <c r="AT348">
        <f t="shared" si="276"/>
        <v>23.262562748076899</v>
      </c>
      <c r="AU348" s="44">
        <f t="shared" si="277"/>
        <v>116.03398187815084</v>
      </c>
      <c r="AV348" s="42" t="str">
        <f t="shared" si="254"/>
        <v>1,65669596529632+0,134003757888317i</v>
      </c>
      <c r="AW348" s="20">
        <f t="shared" si="278"/>
        <v>4.4131777615766348</v>
      </c>
      <c r="AX348" s="44">
        <f t="shared" si="279"/>
        <v>4.62436745384215</v>
      </c>
    </row>
    <row r="349" spans="14:50" x14ac:dyDescent="0.3">
      <c r="N349" s="8">
        <v>31</v>
      </c>
      <c r="O349" s="35">
        <f t="shared" si="244"/>
        <v>20417.379446695286</v>
      </c>
      <c r="P349" s="34" t="str">
        <f t="shared" si="245"/>
        <v>324,571428571429</v>
      </c>
      <c r="Q349" s="4" t="str">
        <f t="shared" si="246"/>
        <v>1+2932,25550972768i</v>
      </c>
      <c r="R349" s="4">
        <f t="shared" si="255"/>
        <v>2932.2556802448753</v>
      </c>
      <c r="S349" s="4">
        <f t="shared" si="256"/>
        <v>1.5704552924075745</v>
      </c>
      <c r="T349" s="4" t="str">
        <f t="shared" si="247"/>
        <v>1+0,0256572357101172i</v>
      </c>
      <c r="U349" s="4">
        <f t="shared" si="257"/>
        <v>1.0003290927211328</v>
      </c>
      <c r="V349" s="4">
        <f t="shared" si="258"/>
        <v>2.5651607933533563E-2</v>
      </c>
      <c r="W349" t="str">
        <f t="shared" si="248"/>
        <v>1-0,222719059983656i</v>
      </c>
      <c r="X349" s="4">
        <f t="shared" si="259"/>
        <v>1.0245017226339852</v>
      </c>
      <c r="Y349" s="4">
        <f t="shared" si="260"/>
        <v>-0.21914235319100495</v>
      </c>
      <c r="Z349" t="str">
        <f t="shared" si="249"/>
        <v>0,998332522466119+0,190959322029987i</v>
      </c>
      <c r="AA349" s="4">
        <f t="shared" si="261"/>
        <v>1.0164316445702173</v>
      </c>
      <c r="AB349" s="4">
        <f t="shared" si="262"/>
        <v>0.18899539312781538</v>
      </c>
      <c r="AC349" s="48" t="str">
        <f t="shared" si="263"/>
        <v>-0,0416190220920617-0,103555106237058i</v>
      </c>
      <c r="AD349" s="20">
        <f t="shared" si="264"/>
        <v>-19.046282681882744</v>
      </c>
      <c r="AE349" s="44">
        <f t="shared" si="265"/>
        <v>-111.89530162067135</v>
      </c>
      <c r="AF349" t="str">
        <f t="shared" si="250"/>
        <v>-20791,6666666667</v>
      </c>
      <c r="AG349" t="str">
        <f t="shared" si="266"/>
        <v>128286,178550586i</v>
      </c>
      <c r="AH349">
        <f t="shared" si="267"/>
        <v>128286.178550586</v>
      </c>
      <c r="AI349">
        <f t="shared" si="268"/>
        <v>1.5707963267948966</v>
      </c>
      <c r="AJ349" t="str">
        <f t="shared" si="251"/>
        <v>-305,992285827608+150,50778211294i</v>
      </c>
      <c r="AK349">
        <f t="shared" si="269"/>
        <v>341.00421032966841</v>
      </c>
      <c r="AL349">
        <f t="shared" si="270"/>
        <v>2.684471865361024</v>
      </c>
      <c r="AM349" t="str">
        <f t="shared" si="252"/>
        <v>1+206,899948766385i</v>
      </c>
      <c r="AN349">
        <f t="shared" si="271"/>
        <v>206.90236537925983</v>
      </c>
      <c r="AO349">
        <f t="shared" si="272"/>
        <v>1.565963110453906</v>
      </c>
      <c r="AP349" t="str">
        <f t="shared" si="253"/>
        <v>1+145,322583062104i</v>
      </c>
      <c r="AQ349">
        <f t="shared" si="273"/>
        <v>145.32602364284975</v>
      </c>
      <c r="AR349">
        <f t="shared" si="274"/>
        <v>1.563915192455396</v>
      </c>
      <c r="AS349" s="42" t="str">
        <f t="shared" si="275"/>
        <v>-6,15685796269704+12,896586570288i</v>
      </c>
      <c r="AT349">
        <f t="shared" si="276"/>
        <v>23.101170815287773</v>
      </c>
      <c r="AU349" s="44">
        <f t="shared" si="277"/>
        <v>115.51990903947362</v>
      </c>
      <c r="AV349" s="42" t="str">
        <f t="shared" si="254"/>
        <v>1,59174979994876+0,100830759032566i</v>
      </c>
      <c r="AW349" s="20">
        <f t="shared" si="278"/>
        <v>4.0548881334050115</v>
      </c>
      <c r="AX349" s="44">
        <f t="shared" si="279"/>
        <v>3.6246074188022801</v>
      </c>
    </row>
    <row r="350" spans="14:50" x14ac:dyDescent="0.3">
      <c r="N350" s="8">
        <v>32</v>
      </c>
      <c r="O350" s="35">
        <f t="shared" si="244"/>
        <v>20892.961308540423</v>
      </c>
      <c r="P350" s="34" t="str">
        <f t="shared" si="245"/>
        <v>324,571428571429</v>
      </c>
      <c r="Q350" s="4" t="str">
        <f t="shared" si="246"/>
        <v>1+3000,55651468098i</v>
      </c>
      <c r="R350" s="4">
        <f t="shared" si="255"/>
        <v>3000.5566813167306</v>
      </c>
      <c r="S350" s="4">
        <f t="shared" si="256"/>
        <v>1.5704630552973982</v>
      </c>
      <c r="T350" s="4" t="str">
        <f t="shared" si="247"/>
        <v>1+0,0262548695034586i</v>
      </c>
      <c r="U350" s="4">
        <f t="shared" si="257"/>
        <v>1.0003445997118412</v>
      </c>
      <c r="V350" s="4">
        <f t="shared" si="258"/>
        <v>2.6248839344391425E-2</v>
      </c>
      <c r="W350" t="str">
        <f t="shared" si="248"/>
        <v>1-0,227906853328634i</v>
      </c>
      <c r="X350" s="4">
        <f t="shared" si="259"/>
        <v>1.0256420105446926</v>
      </c>
      <c r="Y350" s="4">
        <f t="shared" si="260"/>
        <v>-0.22407949882123832</v>
      </c>
      <c r="Z350" t="str">
        <f t="shared" si="249"/>
        <v>0,998253936671039+0,19540733604397i</v>
      </c>
      <c r="AA350" s="4">
        <f t="shared" si="261"/>
        <v>1.0171995620619523</v>
      </c>
      <c r="AB350" s="4">
        <f t="shared" si="262"/>
        <v>0.19330486015466375</v>
      </c>
      <c r="AC350" s="48" t="str">
        <f t="shared" si="263"/>
        <v>-0,041561693816242-0,100879605313097i</v>
      </c>
      <c r="AD350" s="20">
        <f t="shared" si="264"/>
        <v>-19.243045585997788</v>
      </c>
      <c r="AE350" s="44">
        <f t="shared" si="265"/>
        <v>-112.39131944230327</v>
      </c>
      <c r="AF350" t="str">
        <f t="shared" si="250"/>
        <v>-20791,6666666667</v>
      </c>
      <c r="AG350" t="str">
        <f t="shared" si="266"/>
        <v>131274,347517293i</v>
      </c>
      <c r="AH350">
        <f t="shared" si="267"/>
        <v>131274.347517293</v>
      </c>
      <c r="AI350">
        <f t="shared" si="268"/>
        <v>1.5707963267948966</v>
      </c>
      <c r="AJ350" t="str">
        <f t="shared" si="251"/>
        <v>-320,460386521494+154,013558719891i</v>
      </c>
      <c r="AK350">
        <f t="shared" si="269"/>
        <v>355.54892152708135</v>
      </c>
      <c r="AL350">
        <f t="shared" si="270"/>
        <v>2.6935843935102444</v>
      </c>
      <c r="AM350" t="str">
        <f t="shared" si="252"/>
        <v>1+211,71926767589i</v>
      </c>
      <c r="AN350">
        <f t="shared" si="271"/>
        <v>211.72162928056065</v>
      </c>
      <c r="AO350">
        <f t="shared" si="272"/>
        <v>1.5660731262342753</v>
      </c>
      <c r="AP350" t="str">
        <f t="shared" si="253"/>
        <v>1+148,70758086759i</v>
      </c>
      <c r="AQ350">
        <f t="shared" si="273"/>
        <v>148.71094313294776</v>
      </c>
      <c r="AR350">
        <f t="shared" si="274"/>
        <v>1.5640718214191143</v>
      </c>
      <c r="AS350" s="42" t="str">
        <f t="shared" si="275"/>
        <v>-5,93033180680758+12,7100629274496i</v>
      </c>
      <c r="AT350">
        <f t="shared" si="276"/>
        <v>22.938364505094917</v>
      </c>
      <c r="AU350" s="44">
        <f t="shared" si="277"/>
        <v>115.01307725429466</v>
      </c>
      <c r="AV350" s="42" t="str">
        <f t="shared" si="254"/>
        <v>1,528660766409+0,0699977882706253i</v>
      </c>
      <c r="AW350" s="20">
        <f t="shared" si="278"/>
        <v>3.6953189190971298</v>
      </c>
      <c r="AX350" s="44">
        <f t="shared" si="279"/>
        <v>2.6217578119913858</v>
      </c>
    </row>
    <row r="351" spans="14:50" x14ac:dyDescent="0.3">
      <c r="N351" s="8">
        <v>33</v>
      </c>
      <c r="O351" s="35">
        <f t="shared" si="244"/>
        <v>21379.620895022348</v>
      </c>
      <c r="P351" s="34" t="str">
        <f t="shared" si="245"/>
        <v>324,571428571429</v>
      </c>
      <c r="Q351" s="4" t="str">
        <f t="shared" si="246"/>
        <v>1+3070,44845441541i</v>
      </c>
      <c r="R351" s="4">
        <f t="shared" si="255"/>
        <v>3070.4486172580682</v>
      </c>
      <c r="S351" s="4">
        <f t="shared" si="256"/>
        <v>1.5704706414823146</v>
      </c>
      <c r="T351" s="4" t="str">
        <f t="shared" si="247"/>
        <v>1+0,0268664239761348i</v>
      </c>
      <c r="U351" s="4">
        <f t="shared" si="257"/>
        <v>1.0003608372668662</v>
      </c>
      <c r="V351" s="4">
        <f t="shared" si="258"/>
        <v>2.6859962670151689E-2</v>
      </c>
      <c r="W351" t="str">
        <f t="shared" si="248"/>
        <v>1-0,233215485903948i</v>
      </c>
      <c r="X351" s="4">
        <f t="shared" si="259"/>
        <v>1.0268346813705771</v>
      </c>
      <c r="Y351" s="4">
        <f t="shared" si="260"/>
        <v>-0.22912016778492672</v>
      </c>
      <c r="Z351" t="str">
        <f t="shared" si="249"/>
        <v>0,998171647241541+0,199958957614045i</v>
      </c>
      <c r="AA351" s="4">
        <f t="shared" si="261"/>
        <v>1.0180030560302786</v>
      </c>
      <c r="AB351" s="4">
        <f t="shared" si="262"/>
        <v>0.1977082545018353</v>
      </c>
      <c r="AC351" s="48" t="str">
        <f t="shared" si="263"/>
        <v>-0,0415016973252079-0,0982585909343876i</v>
      </c>
      <c r="AD351" s="20">
        <f t="shared" si="264"/>
        <v>-19.439668376670273</v>
      </c>
      <c r="AE351" s="44">
        <f t="shared" si="265"/>
        <v>-112.89784428052013</v>
      </c>
      <c r="AF351" t="str">
        <f t="shared" si="250"/>
        <v>-20791,6666666667</v>
      </c>
      <c r="AG351" t="str">
        <f t="shared" si="266"/>
        <v>134332,119880674i</v>
      </c>
      <c r="AH351">
        <f t="shared" si="267"/>
        <v>134332.119880674</v>
      </c>
      <c r="AI351">
        <f t="shared" si="268"/>
        <v>1.5707963267948966</v>
      </c>
      <c r="AJ351" t="str">
        <f t="shared" si="251"/>
        <v>-335,610347794132+157,600995354285i</v>
      </c>
      <c r="AK351">
        <f t="shared" si="269"/>
        <v>370.77267871724257</v>
      </c>
      <c r="AL351">
        <f t="shared" si="270"/>
        <v>2.7025634084898349</v>
      </c>
      <c r="AM351" t="str">
        <f t="shared" si="252"/>
        <v>1+216,650842943551i</v>
      </c>
      <c r="AN351">
        <f t="shared" si="271"/>
        <v>216.65315079211567</v>
      </c>
      <c r="AO351">
        <f t="shared" si="272"/>
        <v>1.5661806378602252</v>
      </c>
      <c r="AP351" t="str">
        <f t="shared" si="253"/>
        <v>1+152,171425400828i</v>
      </c>
      <c r="AQ351">
        <f t="shared" si="273"/>
        <v>152.17471113335409</v>
      </c>
      <c r="AR351">
        <f t="shared" si="274"/>
        <v>1.5642248853911607</v>
      </c>
      <c r="AS351" s="42" t="str">
        <f t="shared" si="275"/>
        <v>-5,71033284013285+12,5223345579814i</v>
      </c>
      <c r="AT351">
        <f t="shared" si="276"/>
        <v>22.774184126760183</v>
      </c>
      <c r="AU351" s="44">
        <f t="shared" si="277"/>
        <v>114.51354747378879</v>
      </c>
      <c r="AV351" s="42" t="str">
        <f t="shared" si="254"/>
        <v>1,46741545403363+0,0413911200074784i</v>
      </c>
      <c r="AW351" s="20">
        <f t="shared" si="278"/>
        <v>3.3345157500899192</v>
      </c>
      <c r="AX351" s="44">
        <f t="shared" si="279"/>
        <v>1.615703193268651</v>
      </c>
    </row>
    <row r="352" spans="14:50" x14ac:dyDescent="0.3">
      <c r="N352" s="8">
        <v>34</v>
      </c>
      <c r="O352" s="35">
        <f t="shared" si="244"/>
        <v>21877.61623949555</v>
      </c>
      <c r="P352" s="34" t="str">
        <f t="shared" si="245"/>
        <v>324,571428571429</v>
      </c>
      <c r="Q352" s="4" t="str">
        <f t="shared" si="246"/>
        <v>1+3141,96838656256i</v>
      </c>
      <c r="R352" s="4">
        <f t="shared" si="255"/>
        <v>3141.9685456984666</v>
      </c>
      <c r="S352" s="4">
        <f t="shared" si="256"/>
        <v>1.5704780549846165</v>
      </c>
      <c r="T352" s="4" t="str">
        <f t="shared" si="247"/>
        <v>1+0,0274922233824224i</v>
      </c>
      <c r="U352" s="4">
        <f t="shared" si="257"/>
        <v>1.0003778397918004</v>
      </c>
      <c r="V352" s="4">
        <f t="shared" si="258"/>
        <v>2.7485300109547361E-2</v>
      </c>
      <c r="W352" t="str">
        <f t="shared" si="248"/>
        <v>1-0,238647772416861i</v>
      </c>
      <c r="X352" s="4">
        <f t="shared" si="259"/>
        <v>1.0280820780849795</v>
      </c>
      <c r="Y352" s="4">
        <f t="shared" si="260"/>
        <v>-0.23426600765272276</v>
      </c>
      <c r="Z352" t="str">
        <f t="shared" si="249"/>
        <v>0,998085479630709+0,204616600070217i</v>
      </c>
      <c r="AA352" s="4">
        <f t="shared" si="261"/>
        <v>1.0188437454653965</v>
      </c>
      <c r="AB352" s="4">
        <f t="shared" si="262"/>
        <v>0.20220732425562082</v>
      </c>
      <c r="AC352" s="48" t="str">
        <f t="shared" si="263"/>
        <v>-0,0414389312772752-0,0956907397993477i</v>
      </c>
      <c r="AD352" s="20">
        <f t="shared" si="264"/>
        <v>-19.636145570472362</v>
      </c>
      <c r="AE352" s="44">
        <f t="shared" si="265"/>
        <v>-113.41505246196627</v>
      </c>
      <c r="AF352" t="str">
        <f t="shared" si="250"/>
        <v>-20791,6666666667</v>
      </c>
      <c r="AG352" t="str">
        <f t="shared" si="266"/>
        <v>137461,116912112i</v>
      </c>
      <c r="AH352">
        <f t="shared" si="267"/>
        <v>137461.11691211199</v>
      </c>
      <c r="AI352">
        <f t="shared" si="268"/>
        <v>1.5707963267948966</v>
      </c>
      <c r="AJ352" t="str">
        <f t="shared" si="251"/>
        <v>-351,474304744578+161,271994122511i</v>
      </c>
      <c r="AK352">
        <f t="shared" si="269"/>
        <v>386.70769708390299</v>
      </c>
      <c r="AL352">
        <f t="shared" si="270"/>
        <v>2.7114081638887777</v>
      </c>
      <c r="AM352" t="str">
        <f t="shared" si="252"/>
        <v>1+221,697289355854i</v>
      </c>
      <c r="AN352">
        <f t="shared" si="271"/>
        <v>221.69954467191238</v>
      </c>
      <c r="AO352">
        <f t="shared" si="272"/>
        <v>1.5662857023258954</v>
      </c>
      <c r="AP352" t="str">
        <f t="shared" si="253"/>
        <v>1+155,71595323804i</v>
      </c>
      <c r="AQ352">
        <f t="shared" si="273"/>
        <v>155.71916417972275</v>
      </c>
      <c r="AR352">
        <f t="shared" si="274"/>
        <v>1.5643744654993745</v>
      </c>
      <c r="AS352" s="42" t="str">
        <f t="shared" si="275"/>
        <v>-5,49680619784481+12,3336463192251i</v>
      </c>
      <c r="AT352">
        <f t="shared" si="276"/>
        <v>22.608669685565509</v>
      </c>
      <c r="AU352" s="44">
        <f t="shared" si="277"/>
        <v>114.02137037796309</v>
      </c>
      <c r="AV352" s="42" t="str">
        <f t="shared" si="254"/>
        <v>1,40799751498714+0,0149003293848223i</v>
      </c>
      <c r="AW352" s="20">
        <f t="shared" si="278"/>
        <v>2.9725241150931319</v>
      </c>
      <c r="AX352" s="44">
        <f t="shared" si="279"/>
        <v>0.60631791599680485</v>
      </c>
    </row>
    <row r="353" spans="14:50" x14ac:dyDescent="0.3">
      <c r="N353" s="8">
        <v>35</v>
      </c>
      <c r="O353" s="35">
        <f t="shared" si="244"/>
        <v>22387.211385683382</v>
      </c>
      <c r="P353" s="34" t="str">
        <f t="shared" si="245"/>
        <v>324,571428571429</v>
      </c>
      <c r="Q353" s="4" t="str">
        <f t="shared" si="246"/>
        <v>1+3215,15423193712i</v>
      </c>
      <c r="R353" s="4">
        <f t="shared" si="255"/>
        <v>3215.1543874506515</v>
      </c>
      <c r="S353" s="4">
        <f t="shared" si="256"/>
        <v>1.5704852997350371</v>
      </c>
      <c r="T353" s="4" t="str">
        <f t="shared" si="247"/>
        <v>1+0,0281325995294498i</v>
      </c>
      <c r="U353" s="4">
        <f t="shared" si="257"/>
        <v>1.0003956433113272</v>
      </c>
      <c r="V353" s="4">
        <f t="shared" si="258"/>
        <v>2.8125181267355602E-2</v>
      </c>
      <c r="W353" t="str">
        <f t="shared" si="248"/>
        <v>1-0,244206593137585i</v>
      </c>
      <c r="X353" s="4">
        <f t="shared" si="259"/>
        <v>1.0293866426818767</v>
      </c>
      <c r="Y353" s="4">
        <f t="shared" si="260"/>
        <v>-0.2395186562541731</v>
      </c>
      <c r="Z353" t="str">
        <f t="shared" si="249"/>
        <v>0,997995251065491+0,209382732956165i</v>
      </c>
      <c r="AA353" s="4">
        <f t="shared" si="261"/>
        <v>1.0197233203224614</v>
      </c>
      <c r="AB353" s="4">
        <f t="shared" si="262"/>
        <v>0.20680382930589269</v>
      </c>
      <c r="AC353" s="48" t="str">
        <f t="shared" si="263"/>
        <v>-0,0413732907740674-0,0931747609626829i</v>
      </c>
      <c r="AD353" s="20">
        <f t="shared" si="264"/>
        <v>-19.832471522426939</v>
      </c>
      <c r="AE353" s="44">
        <f t="shared" si="265"/>
        <v>-113.94312000187617</v>
      </c>
      <c r="AF353" t="str">
        <f t="shared" si="250"/>
        <v>-20791,6666666667</v>
      </c>
      <c r="AG353" t="str">
        <f t="shared" si="266"/>
        <v>140662,997647249i</v>
      </c>
      <c r="AH353">
        <f t="shared" si="267"/>
        <v>140662.99764724899</v>
      </c>
      <c r="AI353">
        <f t="shared" si="268"/>
        <v>1.5707963267948966</v>
      </c>
      <c r="AJ353" t="str">
        <f t="shared" si="251"/>
        <v>-368,085906952437+165,028501436708i</v>
      </c>
      <c r="AK353">
        <f t="shared" si="269"/>
        <v>403.38770579114538</v>
      </c>
      <c r="AL353">
        <f t="shared" si="270"/>
        <v>2.720118083290739</v>
      </c>
      <c r="AM353" t="str">
        <f t="shared" si="252"/>
        <v>1+226,861282605483i</v>
      </c>
      <c r="AN353">
        <f t="shared" si="271"/>
        <v>226.86348658478479</v>
      </c>
      <c r="AO353">
        <f t="shared" si="272"/>
        <v>1.566388375328573</v>
      </c>
      <c r="AP353" t="str">
        <f t="shared" si="253"/>
        <v>1+159,343043734804i</v>
      </c>
      <c r="AQ353">
        <f t="shared" si="273"/>
        <v>159.34618158798679</v>
      </c>
      <c r="AR353">
        <f t="shared" si="274"/>
        <v>1.5645206410263197</v>
      </c>
      <c r="AS353" s="42" t="str">
        <f t="shared" si="275"/>
        <v>-5,28968687821733+12,1442343268909i</v>
      </c>
      <c r="AT353">
        <f t="shared" si="276"/>
        <v>22.44186081790933</v>
      </c>
      <c r="AU353" s="44">
        <f t="shared" si="277"/>
        <v>113.53658672681708</v>
      </c>
      <c r="AV353" s="42" t="str">
        <f t="shared" si="254"/>
        <v>1,35038788379912-0,0095816275895278i</v>
      </c>
      <c r="AW353" s="20">
        <f t="shared" si="278"/>
        <v>2.6093892954823792</v>
      </c>
      <c r="AX353" s="44">
        <f t="shared" si="279"/>
        <v>-0.40653327505907927</v>
      </c>
    </row>
    <row r="354" spans="14:50" x14ac:dyDescent="0.3">
      <c r="N354" s="8">
        <v>36</v>
      </c>
      <c r="O354" s="35">
        <f t="shared" si="244"/>
        <v>22908.676527677751</v>
      </c>
      <c r="P354" s="34" t="str">
        <f t="shared" si="245"/>
        <v>324,571428571429</v>
      </c>
      <c r="Q354" s="4" t="str">
        <f t="shared" si="246"/>
        <v>1+3290,04479464309i</v>
      </c>
      <c r="R354" s="4">
        <f t="shared" si="255"/>
        <v>3290.0449466167011</v>
      </c>
      <c r="S354" s="4">
        <f t="shared" si="256"/>
        <v>1.5704923795748365</v>
      </c>
      <c r="T354" s="4" t="str">
        <f t="shared" si="247"/>
        <v>1+0,028787891953127i</v>
      </c>
      <c r="U354" s="4">
        <f t="shared" si="257"/>
        <v>1.000414285545296</v>
      </c>
      <c r="V354" s="4">
        <f t="shared" si="258"/>
        <v>2.8779943319852775E-2</v>
      </c>
      <c r="W354" t="str">
        <f t="shared" si="248"/>
        <v>1-0,24989489542645i</v>
      </c>
      <c r="X354" s="4">
        <f t="shared" si="259"/>
        <v>1.030750919844458</v>
      </c>
      <c r="Y354" s="4">
        <f t="shared" si="260"/>
        <v>-0.24487973872916174</v>
      </c>
      <c r="Z354" t="str">
        <f t="shared" si="249"/>
        <v>0,997900770159001+0,214259883338638i</v>
      </c>
      <c r="AA354" s="4">
        <f t="shared" si="261"/>
        <v>1.0206435443837452</v>
      </c>
      <c r="AB354" s="4">
        <f t="shared" si="262"/>
        <v>0.21149953984296666</v>
      </c>
      <c r="AC354" s="48" t="str">
        <f t="shared" si="263"/>
        <v>-0,0413046673362977-0,0907093953843574i</v>
      </c>
      <c r="AD354" s="20">
        <f t="shared" si="264"/>
        <v>-20.028640426225792</v>
      </c>
      <c r="AE354" s="44">
        <f t="shared" si="265"/>
        <v>-114.48222233965078</v>
      </c>
      <c r="AF354" t="str">
        <f t="shared" si="250"/>
        <v>-20791,6666666667</v>
      </c>
      <c r="AG354" t="str">
        <f t="shared" si="266"/>
        <v>143939,459765635i</v>
      </c>
      <c r="AH354">
        <f t="shared" si="267"/>
        <v>143939.45976563499</v>
      </c>
      <c r="AI354">
        <f t="shared" si="268"/>
        <v>1.5707963267948966</v>
      </c>
      <c r="AJ354" t="str">
        <f t="shared" si="251"/>
        <v>-385,48038985316+168,872509046778i</v>
      </c>
      <c r="AK354">
        <f t="shared" si="269"/>
        <v>420.84801921013991</v>
      </c>
      <c r="AL354">
        <f t="shared" si="270"/>
        <v>2.7286927539767847</v>
      </c>
      <c r="AM354" t="str">
        <f t="shared" si="252"/>
        <v>1+232,145560710016i</v>
      </c>
      <c r="AN354">
        <f t="shared" si="271"/>
        <v>232.1477145210948</v>
      </c>
      <c r="AO354">
        <f t="shared" si="272"/>
        <v>1.5664887112981793</v>
      </c>
      <c r="AP354" t="str">
        <f t="shared" si="253"/>
        <v>1+163,054620022511i</v>
      </c>
      <c r="AQ354">
        <f t="shared" si="273"/>
        <v>163.05768645079399</v>
      </c>
      <c r="AR354">
        <f t="shared" si="274"/>
        <v>1.5646634894511942</v>
      </c>
      <c r="AS354" s="42" t="str">
        <f t="shared" si="275"/>
        <v>-5,08890054570334+11,9543256488389i</v>
      </c>
      <c r="AT354">
        <f t="shared" si="276"/>
        <v>22.273796731362047</v>
      </c>
      <c r="AU354" s="44">
        <f t="shared" si="277"/>
        <v>113.05922772523938</v>
      </c>
      <c r="AV354" s="42" t="str">
        <f t="shared" si="254"/>
        <v>1,29456499598167-0,0321583524831855i</v>
      </c>
      <c r="AW354" s="20">
        <f t="shared" si="278"/>
        <v>2.2451563051362373</v>
      </c>
      <c r="AX354" s="44">
        <f t="shared" si="279"/>
        <v>-1.4229946144113939</v>
      </c>
    </row>
    <row r="355" spans="14:50" x14ac:dyDescent="0.3">
      <c r="N355" s="8">
        <v>37</v>
      </c>
      <c r="O355" s="35">
        <f t="shared" si="244"/>
        <v>23442.288153199243</v>
      </c>
      <c r="P355" s="34" t="str">
        <f t="shared" si="245"/>
        <v>324,571428571429</v>
      </c>
      <c r="Q355" s="4" t="str">
        <f t="shared" si="246"/>
        <v>1+3366,67978264805i</v>
      </c>
      <c r="R355" s="4">
        <f t="shared" si="255"/>
        <v>3366.6799311623195</v>
      </c>
      <c r="S355" s="4">
        <f t="shared" si="256"/>
        <v>1.5704992982578361</v>
      </c>
      <c r="T355" s="4" t="str">
        <f t="shared" si="247"/>
        <v>1+0,0294584480981704i</v>
      </c>
      <c r="U355" s="4">
        <f t="shared" si="257"/>
        <v>1.0004338059883584</v>
      </c>
      <c r="V355" s="4">
        <f t="shared" si="258"/>
        <v>2.9449931183618307E-2</v>
      </c>
      <c r="W355" t="str">
        <f t="shared" si="248"/>
        <v>1-0,255715695296618i</v>
      </c>
      <c r="X355" s="4">
        <f t="shared" si="259"/>
        <v>1.032177560704084</v>
      </c>
      <c r="Y355" s="4">
        <f t="shared" si="260"/>
        <v>-0.25035086439190563</v>
      </c>
      <c r="Z355" t="str">
        <f t="shared" si="249"/>
        <v>0,997801836504569+0,21925063714732i</v>
      </c>
      <c r="AA355" s="4">
        <f t="shared" si="261"/>
        <v>1.0216062582136998</v>
      </c>
      <c r="AB355" s="4">
        <f t="shared" si="262"/>
        <v>0.21629623472437512</v>
      </c>
      <c r="AC355" s="48" t="str">
        <f t="shared" si="263"/>
        <v>-0,0412329488876542-0,0882934155052636i</v>
      </c>
      <c r="AD355" s="20">
        <f t="shared" si="264"/>
        <v>-20.224646315015541</v>
      </c>
      <c r="AE355" s="44">
        <f t="shared" si="265"/>
        <v>-115.03253405604531</v>
      </c>
      <c r="AF355" t="str">
        <f t="shared" si="250"/>
        <v>-20791,6666666667</v>
      </c>
      <c r="AG355" t="str">
        <f t="shared" si="266"/>
        <v>147292,240490852i</v>
      </c>
      <c r="AH355">
        <f t="shared" si="267"/>
        <v>147292.24049085201</v>
      </c>
      <c r="AI355">
        <f t="shared" si="268"/>
        <v>1.5707963267948966</v>
      </c>
      <c r="AJ355" t="str">
        <f t="shared" si="251"/>
        <v>-403,694649477086+172,806055096436i</v>
      </c>
      <c r="AK355">
        <f t="shared" si="269"/>
        <v>439.12561152182843</v>
      </c>
      <c r="AL355">
        <f t="shared" si="270"/>
        <v>2.7371319204342837</v>
      </c>
      <c r="AM355" t="str">
        <f t="shared" si="252"/>
        <v>1+237,552925463646i</v>
      </c>
      <c r="AN355">
        <f t="shared" si="271"/>
        <v>237.55503024843858</v>
      </c>
      <c r="AO355">
        <f t="shared" si="272"/>
        <v>1.5665867634260879</v>
      </c>
      <c r="AP355" t="str">
        <f t="shared" si="253"/>
        <v>1+166,852650028037i</v>
      </c>
      <c r="AQ355">
        <f t="shared" si="273"/>
        <v>166.8556466571587</v>
      </c>
      <c r="AR355">
        <f t="shared" si="274"/>
        <v>1.5648030864907909</v>
      </c>
      <c r="AS355" s="42" t="str">
        <f t="shared" si="275"/>
        <v>-4,89436432489969+11,7641380646011i</v>
      </c>
      <c r="AT355">
        <f t="shared" si="276"/>
        <v>22.104516149641317</v>
      </c>
      <c r="AU355" s="44">
        <f t="shared" si="277"/>
        <v>112.58931539891908</v>
      </c>
      <c r="AV355" s="42" t="str">
        <f t="shared" si="254"/>
        <v>1,24050500424526-0,0529299605524971i</v>
      </c>
      <c r="AW355" s="20">
        <f t="shared" si="278"/>
        <v>1.8798698346257789</v>
      </c>
      <c r="AX355" s="44">
        <f t="shared" si="279"/>
        <v>-2.4432186571262218</v>
      </c>
    </row>
    <row r="356" spans="14:50" x14ac:dyDescent="0.3">
      <c r="N356" s="8">
        <v>38</v>
      </c>
      <c r="O356" s="35">
        <f t="shared" si="244"/>
        <v>23988.329190194923</v>
      </c>
      <c r="P356" s="34" t="str">
        <f t="shared" si="245"/>
        <v>324,571428571429</v>
      </c>
      <c r="Q356" s="4" t="str">
        <f t="shared" si="246"/>
        <v>1+3445,09982883703i</v>
      </c>
      <c r="R356" s="4">
        <f t="shared" si="255"/>
        <v>3445.0999739707026</v>
      </c>
      <c r="S356" s="4">
        <f t="shared" si="256"/>
        <v>1.5705060594524107</v>
      </c>
      <c r="T356" s="4" t="str">
        <f t="shared" si="247"/>
        <v>1+0,030144623502324i</v>
      </c>
      <c r="U356" s="4">
        <f t="shared" si="257"/>
        <v>1.0004542459933372</v>
      </c>
      <c r="V356" s="4">
        <f t="shared" si="258"/>
        <v>3.0135497687735859E-2</v>
      </c>
      <c r="W356" t="str">
        <f t="shared" si="248"/>
        <v>1-0,261672079013229i</v>
      </c>
      <c r="X356" s="4">
        <f t="shared" si="259"/>
        <v>1.0336693266877497</v>
      </c>
      <c r="Y356" s="4">
        <f t="shared" si="260"/>
        <v>-0.25593362340211451</v>
      </c>
      <c r="Z356" t="str">
        <f t="shared" si="249"/>
        <v>0,997698240250651+0,224357640545942i</v>
      </c>
      <c r="AA356" s="4">
        <f t="shared" si="261"/>
        <v>1.0226133822078547</v>
      </c>
      <c r="AB356" s="4">
        <f t="shared" si="262"/>
        <v>0.22119569970518993</v>
      </c>
      <c r="AC356" s="48" t="str">
        <f t="shared" si="263"/>
        <v>-0,0411580197478299-0,0859256248493541i</v>
      </c>
      <c r="AD356" s="20">
        <f t="shared" si="264"/>
        <v>-20.420483062808657</v>
      </c>
      <c r="AE356" s="44">
        <f t="shared" si="265"/>
        <v>-115.59422857129388</v>
      </c>
      <c r="AF356" t="str">
        <f t="shared" si="250"/>
        <v>-20791,6666666667</v>
      </c>
      <c r="AG356" t="str">
        <f t="shared" si="266"/>
        <v>150723,11751162i</v>
      </c>
      <c r="AH356">
        <f t="shared" si="267"/>
        <v>150723.11751161999</v>
      </c>
      <c r="AI356">
        <f t="shared" si="268"/>
        <v>1.5707963267948966</v>
      </c>
      <c r="AJ356" t="str">
        <f t="shared" si="251"/>
        <v>-422,767320710906+176,831225203865i</v>
      </c>
      <c r="AK356">
        <f t="shared" si="269"/>
        <v>458.25919485393644</v>
      </c>
      <c r="AL356">
        <f t="shared" si="270"/>
        <v>2.7454354777174661</v>
      </c>
      <c r="AM356" t="str">
        <f t="shared" si="252"/>
        <v>1+243,086243922741i</v>
      </c>
      <c r="AN356">
        <f t="shared" si="271"/>
        <v>243.08830079719249</v>
      </c>
      <c r="AO356">
        <f t="shared" si="272"/>
        <v>1.5666825836932892</v>
      </c>
      <c r="AP356" t="str">
        <f t="shared" si="253"/>
        <v>1+170,739147517163i</v>
      </c>
      <c r="AQ356">
        <f t="shared" si="273"/>
        <v>170.74207593586164</v>
      </c>
      <c r="AR356">
        <f t="shared" si="274"/>
        <v>1.5649395061395324</v>
      </c>
      <c r="AS356" s="42" t="str">
        <f t="shared" si="275"/>
        <v>-4,70598758069058+11,5738798870383i</v>
      </c>
      <c r="AT356">
        <f t="shared" si="276"/>
        <v>21.934057262433736</v>
      </c>
      <c r="AU356" s="44">
        <f t="shared" si="277"/>
        <v>112.12686297866567</v>
      </c>
      <c r="AV356" s="42" t="str">
        <f t="shared" si="254"/>
        <v>1,18818199100424-0,0719930535455954i</v>
      </c>
      <c r="AW356" s="20">
        <f t="shared" si="278"/>
        <v>1.513574199625058</v>
      </c>
      <c r="AX356" s="44">
        <f t="shared" si="279"/>
        <v>-3.467365592628231</v>
      </c>
    </row>
    <row r="357" spans="14:50" x14ac:dyDescent="0.3">
      <c r="N357" s="8">
        <v>39</v>
      </c>
      <c r="O357" s="35">
        <f t="shared" si="244"/>
        <v>24547.089156850321</v>
      </c>
      <c r="P357" s="34" t="str">
        <f t="shared" si="245"/>
        <v>324,571428571429</v>
      </c>
      <c r="Q357" s="4" t="str">
        <f t="shared" si="246"/>
        <v>1+3525,34651255655i</v>
      </c>
      <c r="R357" s="4">
        <f t="shared" si="255"/>
        <v>3525.3466543865761</v>
      </c>
      <c r="S357" s="4">
        <f t="shared" si="256"/>
        <v>1.570512666743433</v>
      </c>
      <c r="T357" s="4" t="str">
        <f t="shared" si="247"/>
        <v>1+0,0308467819848698i</v>
      </c>
      <c r="U357" s="4">
        <f t="shared" si="257"/>
        <v>1.0004756488584927</v>
      </c>
      <c r="V357" s="4">
        <f t="shared" si="258"/>
        <v>3.083700374942781E-2</v>
      </c>
      <c r="W357" t="str">
        <f t="shared" si="248"/>
        <v>1-0,267767204729773i</v>
      </c>
      <c r="X357" s="4">
        <f t="shared" si="259"/>
        <v>1.0352290934516843</v>
      </c>
      <c r="Y357" s="4">
        <f t="shared" si="260"/>
        <v>-0.26162958323824853</v>
      </c>
      <c r="Z357" t="str">
        <f t="shared" si="249"/>
        <v>0,997589761655703+0,229583601335307i</v>
      </c>
      <c r="AA357" s="4">
        <f t="shared" si="261"/>
        <v>1.023666919736284</v>
      </c>
      <c r="AB357" s="4">
        <f t="shared" si="262"/>
        <v>0.22619972552534384</v>
      </c>
      <c r="AC357" s="48" t="str">
        <f t="shared" si="263"/>
        <v>-0,0410797606357924-0,0836048576519953i</v>
      </c>
      <c r="AD357" s="20">
        <f t="shared" si="264"/>
        <v>-20.616144386577172</v>
      </c>
      <c r="AE357" s="44">
        <f t="shared" si="265"/>
        <v>-116.16747782350149</v>
      </c>
      <c r="AF357" t="str">
        <f t="shared" si="250"/>
        <v>-20791,6666666667</v>
      </c>
      <c r="AG357" t="str">
        <f t="shared" si="266"/>
        <v>154233,909924349i</v>
      </c>
      <c r="AH357">
        <f t="shared" si="267"/>
        <v>154233.90992434899</v>
      </c>
      <c r="AI357">
        <f t="shared" si="268"/>
        <v>1.5707963267948966</v>
      </c>
      <c r="AJ357" t="str">
        <f t="shared" si="251"/>
        <v>-442,738859247429+180,950153567535i</v>
      </c>
      <c r="AK357">
        <f t="shared" si="269"/>
        <v>478.28930111787906</v>
      </c>
      <c r="AL357">
        <f t="shared" si="270"/>
        <v>2.7536034647022305</v>
      </c>
      <c r="AM357" t="str">
        <f t="shared" si="252"/>
        <v>1+248,74844992599i</v>
      </c>
      <c r="AN357">
        <f t="shared" si="271"/>
        <v>248.75045998064556</v>
      </c>
      <c r="AO357">
        <f t="shared" si="272"/>
        <v>1.5667762228979145</v>
      </c>
      <c r="AP357" t="str">
        <f t="shared" si="253"/>
        <v>1+174,716173162303i</v>
      </c>
      <c r="AQ357">
        <f t="shared" si="273"/>
        <v>174.7190349231584</v>
      </c>
      <c r="AR357">
        <f t="shared" si="274"/>
        <v>1.5650728207086002</v>
      </c>
      <c r="AS357" s="42" t="str">
        <f t="shared" si="275"/>
        <v>-4,52367268042245+11,3837498423023i</v>
      </c>
      <c r="AT357">
        <f t="shared" si="276"/>
        <v>21.76245767996765</v>
      </c>
      <c r="AU357" s="44">
        <f t="shared" si="277"/>
        <v>111.67187529069795</v>
      </c>
      <c r="AV357" s="42" t="str">
        <f t="shared" si="254"/>
        <v>1,13756817601804-0,089440708148579i</v>
      </c>
      <c r="AW357" s="20">
        <f t="shared" si="278"/>
        <v>1.1463132933905116</v>
      </c>
      <c r="AX357" s="44">
        <f t="shared" si="279"/>
        <v>-4.4956025328035256</v>
      </c>
    </row>
    <row r="358" spans="14:50" x14ac:dyDescent="0.3">
      <c r="N358" s="8">
        <v>40</v>
      </c>
      <c r="O358" s="35">
        <f t="shared" si="244"/>
        <v>25118.86431509586</v>
      </c>
      <c r="P358" s="34" t="str">
        <f t="shared" si="245"/>
        <v>324,571428571429</v>
      </c>
      <c r="Q358" s="4" t="str">
        <f t="shared" si="246"/>
        <v>1+3607,46238166053i</v>
      </c>
      <c r="R358" s="4">
        <f t="shared" si="255"/>
        <v>3607.4625202621114</v>
      </c>
      <c r="S358" s="4">
        <f t="shared" si="256"/>
        <v>1.5705191236341736</v>
      </c>
      <c r="T358" s="4" t="str">
        <f t="shared" si="247"/>
        <v>1+0,0315652958395296i</v>
      </c>
      <c r="U358" s="4">
        <f t="shared" si="257"/>
        <v>1.0004980599188771</v>
      </c>
      <c r="V358" s="4">
        <f t="shared" si="258"/>
        <v>3.1554818553164533E-2</v>
      </c>
      <c r="W358" t="str">
        <f t="shared" si="248"/>
        <v>1-0,274004304162583i</v>
      </c>
      <c r="X358" s="4">
        <f t="shared" si="259"/>
        <v>1.0368598548982506</v>
      </c>
      <c r="Y358" s="4">
        <f t="shared" si="260"/>
        <v>-0.26744028496839806</v>
      </c>
      <c r="Z358" t="str">
        <f t="shared" si="249"/>
        <v>0,997476170622079+0,234931290388999i</v>
      </c>
      <c r="AA358" s="4">
        <f t="shared" si="261"/>
        <v>1.024768960382157</v>
      </c>
      <c r="AB358" s="4">
        <f t="shared" si="262"/>
        <v>0.23131010584745618</v>
      </c>
      <c r="AC358" s="48" t="str">
        <f t="shared" si="263"/>
        <v>-0,0409980486844702-0,0813299785142197i</v>
      </c>
      <c r="AD358" s="20">
        <f t="shared" si="264"/>
        <v>-20.81162384909053</v>
      </c>
      <c r="AE358" s="44">
        <f t="shared" si="265"/>
        <v>-116.75245192667427</v>
      </c>
      <c r="AF358" t="str">
        <f t="shared" si="250"/>
        <v>-20791,6666666667</v>
      </c>
      <c r="AG358" t="str">
        <f t="shared" si="266"/>
        <v>157826,479197648i</v>
      </c>
      <c r="AH358">
        <f t="shared" si="267"/>
        <v>157826.479197648</v>
      </c>
      <c r="AI358">
        <f t="shared" si="268"/>
        <v>1.5707963267948966</v>
      </c>
      <c r="AJ358" t="str">
        <f t="shared" si="251"/>
        <v>-463,651627397526+185,165024097785i</v>
      </c>
      <c r="AK358">
        <f t="shared" si="269"/>
        <v>499.25836771906751</v>
      </c>
      <c r="AL358">
        <f t="shared" si="270"/>
        <v>2.7616360572751519</v>
      </c>
      <c r="AM358" t="str">
        <f t="shared" si="252"/>
        <v>1+254,542545649967i</v>
      </c>
      <c r="AN358">
        <f t="shared" si="271"/>
        <v>254.54450995054978</v>
      </c>
      <c r="AO358">
        <f t="shared" si="272"/>
        <v>1.5668677306821377</v>
      </c>
      <c r="AP358" t="str">
        <f t="shared" si="253"/>
        <v>1+178,785835635096i</v>
      </c>
      <c r="AQ358">
        <f t="shared" si="273"/>
        <v>178.78863225535218</v>
      </c>
      <c r="AR358">
        <f t="shared" si="274"/>
        <v>1.5652031008641776</v>
      </c>
      <c r="AS358" s="42" t="str">
        <f t="shared" si="275"/>
        <v>-4,34731573450524+11,1939370041052i</v>
      </c>
      <c r="AT358">
        <f t="shared" si="276"/>
        <v>21.589754392213059</v>
      </c>
      <c r="AU358" s="44">
        <f t="shared" si="277"/>
        <v>111.22434915061898</v>
      </c>
      <c r="AV358" s="42" t="str">
        <f t="shared" si="254"/>
        <v>1,08863411816341-0,105362478983357i</v>
      </c>
      <c r="AW358" s="20">
        <f t="shared" si="278"/>
        <v>0.77813054312249619</v>
      </c>
      <c r="AX358" s="44">
        <f t="shared" si="279"/>
        <v>-5.5281027760552943</v>
      </c>
    </row>
    <row r="359" spans="14:50" x14ac:dyDescent="0.3">
      <c r="N359" s="8">
        <v>41</v>
      </c>
      <c r="O359" s="35">
        <f t="shared" si="244"/>
        <v>25703.95782768865</v>
      </c>
      <c r="P359" s="34" t="str">
        <f t="shared" si="245"/>
        <v>324,571428571429</v>
      </c>
      <c r="Q359" s="4" t="str">
        <f t="shared" si="246"/>
        <v>1+3691,49097506965i</v>
      </c>
      <c r="R359" s="4">
        <f t="shared" si="255"/>
        <v>3691.4911105162741</v>
      </c>
      <c r="S359" s="4">
        <f t="shared" si="256"/>
        <v>1.5705254335481591</v>
      </c>
      <c r="T359" s="4" t="str">
        <f t="shared" si="247"/>
        <v>1+0,0323005460318594i</v>
      </c>
      <c r="U359" s="4">
        <f t="shared" si="257"/>
        <v>1.0005215266419589</v>
      </c>
      <c r="V359" s="4">
        <f t="shared" si="258"/>
        <v>3.2289319733284645E-2</v>
      </c>
      <c r="W359" t="str">
        <f t="shared" si="248"/>
        <v>1-0,280386684304335i</v>
      </c>
      <c r="X359" s="4">
        <f t="shared" si="259"/>
        <v>1.0385647272727776</v>
      </c>
      <c r="Y359" s="4">
        <f t="shared" si="260"/>
        <v>-0.27336723931489387</v>
      </c>
      <c r="Z359" t="str">
        <f t="shared" si="249"/>
        <v>0,99735722620797+0,240403543122537i</v>
      </c>
      <c r="AA359" s="4">
        <f t="shared" si="261"/>
        <v>1.0259216832756415</v>
      </c>
      <c r="AB359" s="4">
        <f t="shared" si="262"/>
        <v>0.23652863503865051</v>
      </c>
      <c r="AC359" s="48" t="str">
        <f t="shared" si="263"/>
        <v>-0,0409127574680878-0,0790998820824913i</v>
      </c>
      <c r="AD359" s="20">
        <f t="shared" si="264"/>
        <v>-21.006914862562166</v>
      </c>
      <c r="AE359" s="44">
        <f t="shared" si="265"/>
        <v>-117.34931880778866</v>
      </c>
      <c r="AF359" t="str">
        <f t="shared" si="250"/>
        <v>-20791,6666666667</v>
      </c>
      <c r="AG359" t="str">
        <f t="shared" si="266"/>
        <v>161502,730159297i</v>
      </c>
      <c r="AH359">
        <f t="shared" si="267"/>
        <v>161502.730159297</v>
      </c>
      <c r="AI359">
        <f t="shared" si="268"/>
        <v>1.5707963267948966</v>
      </c>
      <c r="AJ359" t="str">
        <f t="shared" si="251"/>
        <v>-485,549983946256+189,47807157476i</v>
      </c>
      <c r="AK359">
        <f t="shared" si="269"/>
        <v>521.2108273222068</v>
      </c>
      <c r="AL359">
        <f t="shared" si="270"/>
        <v>2.769533561493724</v>
      </c>
      <c r="AM359" t="str">
        <f t="shared" si="252"/>
        <v>1+260,471603200914i</v>
      </c>
      <c r="AN359">
        <f t="shared" si="271"/>
        <v>260.47352278888997</v>
      </c>
      <c r="AO359">
        <f t="shared" si="272"/>
        <v>1.5669571555584634</v>
      </c>
      <c r="AP359" t="str">
        <f t="shared" si="253"/>
        <v>1+182,950292724452i</v>
      </c>
      <c r="AQ359">
        <f t="shared" si="273"/>
        <v>182.95302568682123</v>
      </c>
      <c r="AR359">
        <f t="shared" si="274"/>
        <v>1.5653304156648273</v>
      </c>
      <c r="AS359" s="42" t="str">
        <f t="shared" si="275"/>
        <v>-4,17680731236459+11,0046207782019i</v>
      </c>
      <c r="AT359">
        <f t="shared" si="276"/>
        <v>21.41598373256711</v>
      </c>
      <c r="AU359" s="44">
        <f t="shared" si="277"/>
        <v>110.78427375895178</v>
      </c>
      <c r="AV359" s="42" t="str">
        <f t="shared" si="254"/>
        <v>1,04134891048001-0,119844415037527i</v>
      </c>
      <c r="AW359" s="20">
        <f t="shared" si="278"/>
        <v>0.40906887000492487</v>
      </c>
      <c r="AX359" s="44">
        <f t="shared" si="279"/>
        <v>-6.5650450488368692</v>
      </c>
    </row>
    <row r="360" spans="14:50" x14ac:dyDescent="0.3">
      <c r="N360" s="8">
        <v>42</v>
      </c>
      <c r="O360" s="35">
        <f t="shared" si="244"/>
        <v>26302.679918953829</v>
      </c>
      <c r="P360" s="34" t="str">
        <f t="shared" si="245"/>
        <v>324,571428571429</v>
      </c>
      <c r="Q360" s="4" t="str">
        <f t="shared" si="246"/>
        <v>1+3777,47684585641i</v>
      </c>
      <c r="R360" s="4">
        <f t="shared" si="255"/>
        <v>3777.4769782198923</v>
      </c>
      <c r="S360" s="4">
        <f t="shared" si="256"/>
        <v>1.5705315998309877</v>
      </c>
      <c r="T360" s="4" t="str">
        <f t="shared" si="247"/>
        <v>1+0,0330529224012436i</v>
      </c>
      <c r="U360" s="4">
        <f t="shared" si="257"/>
        <v>1.000546098727721</v>
      </c>
      <c r="V360" s="4">
        <f t="shared" si="258"/>
        <v>3.3040893560163695E-2</v>
      </c>
      <c r="W360" t="str">
        <f t="shared" si="248"/>
        <v>1-0,286917729177462i</v>
      </c>
      <c r="X360" s="4">
        <f t="shared" si="259"/>
        <v>1.0403469533364105</v>
      </c>
      <c r="Y360" s="4">
        <f t="shared" si="260"/>
        <v>-0.27941192250946784</v>
      </c>
      <c r="Z360" t="str">
        <f t="shared" si="249"/>
        <v>0,997232676116324+0,246003260996756i</v>
      </c>
      <c r="AA360" s="4">
        <f t="shared" si="261"/>
        <v>1.0271273605231064</v>
      </c>
      <c r="AB360" s="4">
        <f t="shared" si="262"/>
        <v>0.24185710578991643</v>
      </c>
      <c r="AC360" s="48" t="str">
        <f t="shared" si="263"/>
        <v>-0,0408237570434597-0,0769134927535348i</v>
      </c>
      <c r="AD360" s="20">
        <f t="shared" si="264"/>
        <v>-21.202010693170191</v>
      </c>
      <c r="AE360" s="44">
        <f t="shared" si="265"/>
        <v>-117.95824382234655</v>
      </c>
      <c r="AF360" t="str">
        <f t="shared" si="250"/>
        <v>-20791,6666666667</v>
      </c>
      <c r="AG360" t="str">
        <f t="shared" si="266"/>
        <v>165264,612006218i</v>
      </c>
      <c r="AH360">
        <f t="shared" si="267"/>
        <v>165264.612006218</v>
      </c>
      <c r="AI360">
        <f t="shared" si="268"/>
        <v>1.5707963267948966</v>
      </c>
      <c r="AJ360" t="str">
        <f t="shared" si="251"/>
        <v>-508,480378243831+193,891582833323i</v>
      </c>
      <c r="AK360">
        <f t="shared" si="269"/>
        <v>544.19320186180278</v>
      </c>
      <c r="AL360">
        <f t="shared" si="270"/>
        <v>2.7772964067520074</v>
      </c>
      <c r="AM360" t="str">
        <f t="shared" si="252"/>
        <v>1+266,538766243628i</v>
      </c>
      <c r="AN360">
        <f t="shared" si="271"/>
        <v>266.54064213675815</v>
      </c>
      <c r="AO360">
        <f t="shared" si="272"/>
        <v>1.5670445449354209</v>
      </c>
      <c r="AP360" t="str">
        <f t="shared" si="253"/>
        <v>1+187,211752480644i</v>
      </c>
      <c r="AQ360">
        <f t="shared" si="273"/>
        <v>187.21442323409252</v>
      </c>
      <c r="AR360">
        <f t="shared" si="274"/>
        <v>1.5654548325980233</v>
      </c>
      <c r="AS360" s="42" t="str">
        <f t="shared" si="275"/>
        <v>-4,01203313117751+10,815970932945i</v>
      </c>
      <c r="AT360">
        <f t="shared" si="276"/>
        <v>21.241181345864458</v>
      </c>
      <c r="AU360" s="44">
        <f t="shared" si="277"/>
        <v>110.35163109628503</v>
      </c>
      <c r="AV360" s="42" t="str">
        <f t="shared" si="254"/>
        <v>0,99568036777101-0,132969088393906i</v>
      </c>
      <c r="AW360" s="20">
        <f t="shared" si="278"/>
        <v>3.917065269426874E-2</v>
      </c>
      <c r="AX360" s="44">
        <f t="shared" si="279"/>
        <v>-7.6066127260615435</v>
      </c>
    </row>
    <row r="361" spans="14:50" x14ac:dyDescent="0.3">
      <c r="N361" s="8">
        <v>43</v>
      </c>
      <c r="O361" s="35">
        <f t="shared" si="244"/>
        <v>26915.348039269167</v>
      </c>
      <c r="P361" s="34" t="str">
        <f t="shared" si="245"/>
        <v>324,571428571429</v>
      </c>
      <c r="Q361" s="4" t="str">
        <f t="shared" si="246"/>
        <v>1+3865,46558486768i</v>
      </c>
      <c r="R361" s="4">
        <f t="shared" si="255"/>
        <v>3865.4657142182014</v>
      </c>
      <c r="S361" s="4">
        <f t="shared" si="256"/>
        <v>1.5705376257521022</v>
      </c>
      <c r="T361" s="4" t="str">
        <f t="shared" si="247"/>
        <v>1+0,0338228238675922i</v>
      </c>
      <c r="U361" s="4">
        <f t="shared" si="257"/>
        <v>1.0005718282134364</v>
      </c>
      <c r="V361" s="4">
        <f t="shared" si="258"/>
        <v>3.3809935129960181E-2</v>
      </c>
      <c r="W361" t="str">
        <f t="shared" si="248"/>
        <v>1-0,293600901628405i</v>
      </c>
      <c r="X361" s="4">
        <f t="shared" si="259"/>
        <v>1.0422099066104737</v>
      </c>
      <c r="Y361" s="4">
        <f t="shared" si="260"/>
        <v>-0.2855757719366066</v>
      </c>
      <c r="Z361" t="str">
        <f t="shared" si="249"/>
        <v>0,9971022561597+0,251733413056194i</v>
      </c>
      <c r="AA361" s="4">
        <f t="shared" si="261"/>
        <v>1.028388360731336</v>
      </c>
      <c r="AB361" s="4">
        <f t="shared" si="262"/>
        <v>0.24729730656663512</v>
      </c>
      <c r="AC361" s="48" t="str">
        <f t="shared" si="263"/>
        <v>-0,040730914006615-0,0747697644036955i</v>
      </c>
      <c r="AD361" s="20">
        <f t="shared" si="264"/>
        <v>-21.396904466519658</v>
      </c>
      <c r="AE361" s="44">
        <f t="shared" si="265"/>
        <v>-118.57938934791358</v>
      </c>
      <c r="AF361" t="str">
        <f t="shared" si="250"/>
        <v>-20791,6666666667</v>
      </c>
      <c r="AG361" t="str">
        <f t="shared" si="266"/>
        <v>169114,119337961i</v>
      </c>
      <c r="AH361">
        <f t="shared" si="267"/>
        <v>169114.11933796099</v>
      </c>
      <c r="AI361">
        <f t="shared" si="268"/>
        <v>1.5707963267948966</v>
      </c>
      <c r="AJ361" t="str">
        <f t="shared" si="251"/>
        <v>-532,491448730887+198,407897975563i</v>
      </c>
      <c r="AK361">
        <f t="shared" si="269"/>
        <v>568.25420099687801</v>
      </c>
      <c r="AL361">
        <f t="shared" si="270"/>
        <v>2.7849251389827945</v>
      </c>
      <c r="AM361" t="str">
        <f t="shared" si="252"/>
        <v>1+272,747251668263i</v>
      </c>
      <c r="AN361">
        <f t="shared" si="271"/>
        <v>272.74908486114265</v>
      </c>
      <c r="AO361">
        <f t="shared" si="272"/>
        <v>1.5671299451426721</v>
      </c>
      <c r="AP361" t="str">
        <f t="shared" si="253"/>
        <v>1+191,572474386042i</v>
      </c>
      <c r="AQ361">
        <f t="shared" si="273"/>
        <v>191.57508434655776</v>
      </c>
      <c r="AR361">
        <f t="shared" si="274"/>
        <v>1.5655764176158542</v>
      </c>
      <c r="AS361" s="42" t="str">
        <f t="shared" si="275"/>
        <v>-3,85287471530558+10,6281476717797i</v>
      </c>
      <c r="AT361">
        <f t="shared" si="276"/>
        <v>21.065382160539166</v>
      </c>
      <c r="AU361" s="44">
        <f t="shared" si="277"/>
        <v>109.92639631624417</v>
      </c>
      <c r="AV361" s="42" t="str">
        <f t="shared" si="254"/>
        <v>0,951595206174026-0,144815634128511i</v>
      </c>
      <c r="AW361" s="20">
        <f t="shared" si="278"/>
        <v>-0.3315223059804917</v>
      </c>
      <c r="AX361" s="44">
        <f t="shared" si="279"/>
        <v>-8.6529930316694177</v>
      </c>
    </row>
    <row r="362" spans="14:50" x14ac:dyDescent="0.3">
      <c r="N362" s="8">
        <v>44</v>
      </c>
      <c r="O362" s="35">
        <f t="shared" si="244"/>
        <v>27542.287033381719</v>
      </c>
      <c r="P362" s="34" t="str">
        <f t="shared" si="245"/>
        <v>324,571428571429</v>
      </c>
      <c r="Q362" s="4" t="str">
        <f t="shared" si="246"/>
        <v>1+3955,50384489753i</v>
      </c>
      <c r="R362" s="4">
        <f t="shared" si="255"/>
        <v>3955.5039713036754</v>
      </c>
      <c r="S362" s="4">
        <f t="shared" si="256"/>
        <v>1.5705435145065241</v>
      </c>
      <c r="T362" s="4" t="str">
        <f t="shared" si="247"/>
        <v>1+0,0346106586428534i</v>
      </c>
      <c r="U362" s="4">
        <f t="shared" si="257"/>
        <v>1.0005987695833392</v>
      </c>
      <c r="V362" s="4">
        <f t="shared" si="258"/>
        <v>3.4596848557971231E-2</v>
      </c>
      <c r="W362" t="str">
        <f t="shared" si="248"/>
        <v>1-0,300439745163658i</v>
      </c>
      <c r="X362" s="4">
        <f t="shared" si="259"/>
        <v>1.0441570956872361</v>
      </c>
      <c r="Y362" s="4">
        <f t="shared" si="260"/>
        <v>-0.29186018156369281</v>
      </c>
      <c r="Z362" t="str">
        <f t="shared" si="249"/>
        <v>0,996965689699883+0,25759703750332i</v>
      </c>
      <c r="AA362" s="4">
        <f t="shared" si="261"/>
        <v>1.0297071526260513</v>
      </c>
      <c r="AB362" s="4">
        <f t="shared" si="262"/>
        <v>0.25285101888409683</v>
      </c>
      <c r="AC362" s="48" t="str">
        <f t="shared" si="263"/>
        <v>-0,0406340915661906-0,0726676801421929i</v>
      </c>
      <c r="AD362" s="20">
        <f t="shared" si="264"/>
        <v>-21.59158917411597</v>
      </c>
      <c r="AE362" s="44">
        <f t="shared" si="265"/>
        <v>-119.2129143552052</v>
      </c>
      <c r="AF362" t="str">
        <f t="shared" si="250"/>
        <v>-20791,6666666667</v>
      </c>
      <c r="AG362" t="str">
        <f t="shared" si="266"/>
        <v>173053,293214267i</v>
      </c>
      <c r="AH362">
        <f t="shared" si="267"/>
        <v>173053.293214267</v>
      </c>
      <c r="AI362">
        <f t="shared" si="268"/>
        <v>1.5707963267948966</v>
      </c>
      <c r="AJ362" t="str">
        <f t="shared" si="251"/>
        <v>-557,634126107148+203,029411611549i</v>
      </c>
      <c r="AK362">
        <f t="shared" si="269"/>
        <v>593.44482521849864</v>
      </c>
      <c r="AL362">
        <f t="shared" si="270"/>
        <v>2.7924204139246251</v>
      </c>
      <c r="AM362" t="str">
        <f t="shared" si="252"/>
        <v>1+279,10035129597i</v>
      </c>
      <c r="AN362">
        <f t="shared" si="271"/>
        <v>279.10214276055609</v>
      </c>
      <c r="AO362">
        <f t="shared" si="272"/>
        <v>1.5672134014555519</v>
      </c>
      <c r="AP362" t="str">
        <f t="shared" si="253"/>
        <v>1+196,034770553122i</v>
      </c>
      <c r="AQ362">
        <f t="shared" si="273"/>
        <v>196.03732110446518</v>
      </c>
      <c r="AR362">
        <f t="shared" si="274"/>
        <v>1.5656952351699185</v>
      </c>
      <c r="AS362" s="42" t="str">
        <f t="shared" si="275"/>
        <v>-3,69921002478997+10,4413017435941i</v>
      </c>
      <c r="AT362">
        <f t="shared" si="276"/>
        <v>20.888620364751233</v>
      </c>
      <c r="AU362" s="44">
        <f t="shared" si="277"/>
        <v>109.50853813466894</v>
      </c>
      <c r="AV362" s="42" t="str">
        <f t="shared" si="254"/>
        <v>0,909059214241503-0,155459800259197i</v>
      </c>
      <c r="AW362" s="20">
        <f t="shared" si="278"/>
        <v>-0.7029688093647366</v>
      </c>
      <c r="AX362" s="44">
        <f t="shared" si="279"/>
        <v>-9.7043762205362292</v>
      </c>
    </row>
    <row r="363" spans="14:50" x14ac:dyDescent="0.3">
      <c r="N363" s="8">
        <v>45</v>
      </c>
      <c r="O363" s="35">
        <f t="shared" si="244"/>
        <v>28183.829312644593</v>
      </c>
      <c r="P363" s="34" t="str">
        <f t="shared" si="245"/>
        <v>324,571428571429</v>
      </c>
      <c r="Q363" s="4" t="str">
        <f t="shared" si="246"/>
        <v>1+4047,63936542322i</v>
      </c>
      <c r="R363" s="4">
        <f t="shared" si="255"/>
        <v>4047.6394889520097</v>
      </c>
      <c r="S363" s="4">
        <f t="shared" si="256"/>
        <v>1.570549269216547</v>
      </c>
      <c r="T363" s="4" t="str">
        <f t="shared" si="247"/>
        <v>1+0,0354168444474532i</v>
      </c>
      <c r="U363" s="4">
        <f t="shared" si="257"/>
        <v>1.0006269798834204</v>
      </c>
      <c r="V363" s="4">
        <f t="shared" si="258"/>
        <v>3.5402047175624382E-2</v>
      </c>
      <c r="W363" t="str">
        <f t="shared" si="248"/>
        <v>1-0,307437885828587i</v>
      </c>
      <c r="X363" s="4">
        <f t="shared" si="259"/>
        <v>1.0461921686013289</v>
      </c>
      <c r="Y363" s="4">
        <f t="shared" si="260"/>
        <v>-0.29826649715759929</v>
      </c>
      <c r="Z363" t="str">
        <f t="shared" si="249"/>
        <v>0,996822687061103+0,26359724330943i</v>
      </c>
      <c r="AA363" s="4">
        <f t="shared" si="261"/>
        <v>1.0310863087637467</v>
      </c>
      <c r="AB363" s="4">
        <f t="shared" si="262"/>
        <v>0.25852001440201527</v>
      </c>
      <c r="AC363" s="48" t="str">
        <f t="shared" si="263"/>
        <v>-0,0405331496350907-0,0706062520875324i</v>
      </c>
      <c r="AD363" s="20">
        <f t="shared" si="264"/>
        <v>-21.786057680919377</v>
      </c>
      <c r="AE363" s="44">
        <f t="shared" si="265"/>
        <v>-119.85897395635547</v>
      </c>
      <c r="AF363" t="str">
        <f t="shared" si="250"/>
        <v>-20791,6666666667</v>
      </c>
      <c r="AG363" t="str">
        <f t="shared" si="266"/>
        <v>177084,222237266i</v>
      </c>
      <c r="AH363">
        <f t="shared" si="267"/>
        <v>177084.22223726599</v>
      </c>
      <c r="AI363">
        <f t="shared" si="268"/>
        <v>1.5707963267948966</v>
      </c>
      <c r="AJ363" t="str">
        <f t="shared" si="251"/>
        <v>-583,96174136226+207,758574128983i</v>
      </c>
      <c r="AK363">
        <f t="shared" si="269"/>
        <v>619.81847382838725</v>
      </c>
      <c r="AL363">
        <f t="shared" si="270"/>
        <v>2.799782990479045</v>
      </c>
      <c r="AM363" t="str">
        <f t="shared" si="252"/>
        <v>1+285,601433624262i</v>
      </c>
      <c r="AN363">
        <f t="shared" si="271"/>
        <v>285.60318431038843</v>
      </c>
      <c r="AO363">
        <f t="shared" si="272"/>
        <v>1.5672949581190492</v>
      </c>
      <c r="AP363" t="str">
        <f t="shared" si="253"/>
        <v>1+200,601006950375i</v>
      </c>
      <c r="AQ363">
        <f t="shared" si="273"/>
        <v>200.60349944481129</v>
      </c>
      <c r="AR363">
        <f t="shared" si="274"/>
        <v>1.565811348245429</v>
      </c>
      <c r="AS363" s="42" t="str">
        <f t="shared" si="275"/>
        <v>-3,5509140516934+10,2555745869328i</v>
      </c>
      <c r="AT363">
        <f t="shared" si="276"/>
        <v>20.710929386285354</v>
      </c>
      <c r="AU363" s="44">
        <f t="shared" si="277"/>
        <v>109.09801921354129</v>
      </c>
      <c r="AV363" s="42" t="str">
        <f t="shared" si="254"/>
        <v>0,868037415186103-0,164974006650955i</v>
      </c>
      <c r="AW363" s="20">
        <f t="shared" si="278"/>
        <v>-1.0751282946340208</v>
      </c>
      <c r="AX363" s="44">
        <f t="shared" si="279"/>
        <v>-10.760954742814164</v>
      </c>
    </row>
    <row r="364" spans="14:50" x14ac:dyDescent="0.3">
      <c r="N364" s="8">
        <v>46</v>
      </c>
      <c r="O364" s="35">
        <f t="shared" si="244"/>
        <v>28840.315031266062</v>
      </c>
      <c r="P364" s="34" t="str">
        <f t="shared" si="245"/>
        <v>324,571428571429</v>
      </c>
      <c r="Q364" s="4" t="str">
        <f t="shared" si="246"/>
        <v>1+4141,92099791728i</v>
      </c>
      <c r="R364" s="4">
        <f t="shared" si="255"/>
        <v>4141.9211186342109</v>
      </c>
      <c r="S364" s="4">
        <f t="shared" si="256"/>
        <v>1.570554892933393</v>
      </c>
      <c r="T364" s="4" t="str">
        <f t="shared" si="247"/>
        <v>1+0,0362418087317762i</v>
      </c>
      <c r="U364" s="4">
        <f t="shared" si="257"/>
        <v>1.0006565188415806</v>
      </c>
      <c r="V364" s="4">
        <f t="shared" si="258"/>
        <v>3.6225953731128066E-2</v>
      </c>
      <c r="W364" t="str">
        <f t="shared" si="248"/>
        <v>1-0,314599034130002i</v>
      </c>
      <c r="X364" s="4">
        <f t="shared" si="259"/>
        <v>1.0483189172553982</v>
      </c>
      <c r="Y364" s="4">
        <f t="shared" si="260"/>
        <v>-0.30479601128857647</v>
      </c>
      <c r="Z364" t="str">
        <f t="shared" si="249"/>
        <v>0,996672944915589+0,269737211863063i</v>
      </c>
      <c r="AA364" s="4">
        <f t="shared" si="261"/>
        <v>1.0325285093353942</v>
      </c>
      <c r="AB364" s="4">
        <f t="shared" si="262"/>
        <v>0.26430605183234873</v>
      </c>
      <c r="AC364" s="48" t="str">
        <f t="shared" si="263"/>
        <v>-0,0404279449419694-0,068584521166218i</v>
      </c>
      <c r="AD364" s="20">
        <f t="shared" si="264"/>
        <v>-21.980302734051257</v>
      </c>
      <c r="AE364" s="44">
        <f t="shared" si="265"/>
        <v>-120.51771893009131</v>
      </c>
      <c r="AF364" t="str">
        <f t="shared" si="250"/>
        <v>-20791,6666666667</v>
      </c>
      <c r="AG364" t="str">
        <f t="shared" si="266"/>
        <v>181209,043658881i</v>
      </c>
      <c r="AH364">
        <f t="shared" si="267"/>
        <v>181209.04365888101</v>
      </c>
      <c r="AI364">
        <f t="shared" si="268"/>
        <v>1.5707963267948966</v>
      </c>
      <c r="AJ364" t="str">
        <f t="shared" si="251"/>
        <v>-611,530138897982+212,597892992429i</v>
      </c>
      <c r="AK364">
        <f t="shared" si="269"/>
        <v>647.43105801730394</v>
      </c>
      <c r="AL364">
        <f t="shared" si="270"/>
        <v>2.8070137241807305</v>
      </c>
      <c r="AM364" t="str">
        <f t="shared" si="252"/>
        <v>1+292,253945613043i</v>
      </c>
      <c r="AN364">
        <f t="shared" si="271"/>
        <v>292.25565644892401</v>
      </c>
      <c r="AO364">
        <f t="shared" si="272"/>
        <v>1.567374658371244</v>
      </c>
      <c r="AP364" t="str">
        <f t="shared" si="253"/>
        <v>1+205,27360465678i</v>
      </c>
      <c r="AQ364">
        <f t="shared" si="273"/>
        <v>205.27604041579724</v>
      </c>
      <c r="AR364">
        <f t="shared" si="274"/>
        <v>1.5659248183945442</v>
      </c>
      <c r="AS364" s="42" t="str">
        <f t="shared" si="275"/>
        <v>-3,40785938345875+10,0710985041962i</v>
      </c>
      <c r="AT364">
        <f t="shared" si="276"/>
        <v>20.532341876018513</v>
      </c>
      <c r="AU364" s="44">
        <f t="shared" si="277"/>
        <v>108.69479653837362</v>
      </c>
      <c r="AV364" s="42" t="str">
        <f t="shared" si="254"/>
        <v>0,828494220052555-0,173427411816473i</v>
      </c>
      <c r="AW364" s="20">
        <f t="shared" si="278"/>
        <v>-1.4479608580327485</v>
      </c>
      <c r="AX364" s="44">
        <f t="shared" si="279"/>
        <v>-11.822922391717658</v>
      </c>
    </row>
    <row r="365" spans="14:50" x14ac:dyDescent="0.3">
      <c r="N365" s="8">
        <v>47</v>
      </c>
      <c r="O365" s="35">
        <f t="shared" si="244"/>
        <v>29512.092266663854</v>
      </c>
      <c r="P365" s="34" t="str">
        <f t="shared" si="245"/>
        <v>324,571428571429</v>
      </c>
      <c r="Q365" s="4" t="str">
        <f t="shared" si="246"/>
        <v>1+4238,39873174928i</v>
      </c>
      <c r="R365" s="4">
        <f t="shared" si="255"/>
        <v>4238.3988497183582</v>
      </c>
      <c r="S365" s="4">
        <f t="shared" si="256"/>
        <v>1.57056038863883</v>
      </c>
      <c r="T365" s="4" t="str">
        <f t="shared" si="247"/>
        <v>1+0,0370859889028062i</v>
      </c>
      <c r="U365" s="4">
        <f t="shared" si="257"/>
        <v>1.0006874489933903</v>
      </c>
      <c r="V365" s="4">
        <f t="shared" si="258"/>
        <v>3.7069000593801728E-2</v>
      </c>
      <c r="W365" t="str">
        <f t="shared" si="248"/>
        <v>1-0,321926987003526i</v>
      </c>
      <c r="X365" s="4">
        <f t="shared" si="259"/>
        <v>1.0505412818928956</v>
      </c>
      <c r="Y365" s="4">
        <f t="shared" si="260"/>
        <v>-0.31144995812365373</v>
      </c>
      <c r="Z365" t="str">
        <f t="shared" si="249"/>
        <v>0,996516145640176+0,276020198656823i</v>
      </c>
      <c r="AA365" s="4">
        <f t="shared" si="261"/>
        <v>1.0340365460601983</v>
      </c>
      <c r="AB365" s="4">
        <f t="shared" si="262"/>
        <v>0.27021087365509822</v>
      </c>
      <c r="AC365" s="48" t="str">
        <f t="shared" si="263"/>
        <v>-0,040318331164139-0,0666015569327748i</v>
      </c>
      <c r="AD365" s="20">
        <f t="shared" si="264"/>
        <v>-22.174316972723048</v>
      </c>
      <c r="AE365" s="44">
        <f t="shared" si="265"/>
        <v>-121.18929522362987</v>
      </c>
      <c r="AF365" t="str">
        <f t="shared" si="250"/>
        <v>-20791,6666666667</v>
      </c>
      <c r="AG365" t="str">
        <f t="shared" si="266"/>
        <v>185429,944514031i</v>
      </c>
      <c r="AH365">
        <f t="shared" si="267"/>
        <v>185429.944514031</v>
      </c>
      <c r="AI365">
        <f t="shared" si="268"/>
        <v>1.5707963267948966</v>
      </c>
      <c r="AJ365" t="str">
        <f t="shared" si="251"/>
        <v>-640,397794981666+217,549934072807i</v>
      </c>
      <c r="AK365">
        <f t="shared" si="269"/>
        <v>676.34111928261655</v>
      </c>
      <c r="AL365">
        <f t="shared" si="270"/>
        <v>2.8141135608004073</v>
      </c>
      <c r="AM365" t="str">
        <f t="shared" si="252"/>
        <v>1+299,061414512229i</v>
      </c>
      <c r="AN365">
        <f t="shared" si="271"/>
        <v>299.06308640495115</v>
      </c>
      <c r="AO365">
        <f t="shared" si="272"/>
        <v>1.5674525444662128</v>
      </c>
      <c r="AP365" t="str">
        <f t="shared" si="253"/>
        <v>1+210,055041145494i</v>
      </c>
      <c r="AQ365">
        <f t="shared" si="273"/>
        <v>210.0574214605025</v>
      </c>
      <c r="AR365">
        <f t="shared" si="274"/>
        <v>1.5660357057689449</v>
      </c>
      <c r="AS365" s="42" t="str">
        <f t="shared" si="275"/>
        <v>-3,26991673280592+9,88799686210269i</v>
      </c>
      <c r="AT365">
        <f t="shared" si="276"/>
        <v>20.352889694754236</v>
      </c>
      <c r="AU365" s="44">
        <f t="shared" si="277"/>
        <v>108.29882178791262</v>
      </c>
      <c r="AV365" s="42" t="str">
        <f t="shared" si="254"/>
        <v>0,790393571674859-0,180885986590817i</v>
      </c>
      <c r="AW365" s="20">
        <f t="shared" si="278"/>
        <v>-1.8214272779688199</v>
      </c>
      <c r="AX365" s="44">
        <f t="shared" si="279"/>
        <v>-12.890473435717267</v>
      </c>
    </row>
    <row r="366" spans="14:50" x14ac:dyDescent="0.3">
      <c r="N366" s="8">
        <v>48</v>
      </c>
      <c r="O366" s="35">
        <f t="shared" si="244"/>
        <v>30199.517204020212</v>
      </c>
      <c r="P366" s="34" t="str">
        <f t="shared" si="245"/>
        <v>324,571428571429</v>
      </c>
      <c r="Q366" s="4" t="str">
        <f t="shared" si="246"/>
        <v>1+4337,12372069067i</v>
      </c>
      <c r="R366" s="4">
        <f t="shared" si="255"/>
        <v>4337.1238359744439</v>
      </c>
      <c r="S366" s="4">
        <f t="shared" si="256"/>
        <v>1.5705657592467519</v>
      </c>
      <c r="T366" s="4" t="str">
        <f t="shared" si="247"/>
        <v>1+0,0379498325560434i</v>
      </c>
      <c r="U366" s="4">
        <f t="shared" si="257"/>
        <v>1.0007198358137164</v>
      </c>
      <c r="V366" s="4">
        <f t="shared" si="258"/>
        <v>3.7931629962097528E-2</v>
      </c>
      <c r="W366" t="str">
        <f t="shared" si="248"/>
        <v>1-0,329425629826766i</v>
      </c>
      <c r="X366" s="4">
        <f t="shared" si="259"/>
        <v>1.0528633556101956</v>
      </c>
      <c r="Y366" s="4">
        <f t="shared" si="260"/>
        <v>-0.31822950801319377</v>
      </c>
      <c r="Z366" t="str">
        <f t="shared" si="249"/>
        <v>0,996351956642576+0,282449535013469i</v>
      </c>
      <c r="AA366" s="4">
        <f t="shared" si="261"/>
        <v>1.0356133261670664</v>
      </c>
      <c r="AB366" s="4">
        <f t="shared" si="262"/>
        <v>0.2762362026371678</v>
      </c>
      <c r="AC366" s="48" t="str">
        <f t="shared" si="263"/>
        <v>-0,0402041590835603-0,0646564574099616i</v>
      </c>
      <c r="AD366" s="20">
        <f t="shared" si="264"/>
        <v>-22.368092939455853</v>
      </c>
      <c r="AE366" s="44">
        <f t="shared" si="265"/>
        <v>-121.87384343122937</v>
      </c>
      <c r="AF366" t="str">
        <f t="shared" si="250"/>
        <v>-20791,6666666667</v>
      </c>
      <c r="AG366" t="str">
        <f t="shared" si="266"/>
        <v>189749,162780217i</v>
      </c>
      <c r="AH366">
        <f t="shared" si="267"/>
        <v>189749.16278021701</v>
      </c>
      <c r="AI366">
        <f t="shared" si="268"/>
        <v>1.5707963267948966</v>
      </c>
      <c r="AJ366" t="str">
        <f t="shared" si="251"/>
        <v>-670,625941782201+222,617323007843i</v>
      </c>
      <c r="AK366">
        <f t="shared" si="269"/>
        <v>706.60995343572858</v>
      </c>
      <c r="AL366">
        <f t="shared" si="270"/>
        <v>2.8210835300978805</v>
      </c>
      <c r="AM366" t="str">
        <f t="shared" si="252"/>
        <v>1+306,027449731934i</v>
      </c>
      <c r="AN366">
        <f t="shared" si="271"/>
        <v>306.02908356793699</v>
      </c>
      <c r="AO366">
        <f t="shared" si="272"/>
        <v>1.5675286576964123</v>
      </c>
      <c r="AP366" t="str">
        <f t="shared" si="253"/>
        <v>1+214,94785159743i</v>
      </c>
      <c r="AQ366">
        <f t="shared" si="273"/>
        <v>214.95017773044708</v>
      </c>
      <c r="AR366">
        <f t="shared" si="274"/>
        <v>1.5661440691516704</v>
      </c>
      <c r="AS366" s="42" t="str">
        <f t="shared" si="275"/>
        <v>-3,13695543400459+9,70638431485402i</v>
      </c>
      <c r="AT366">
        <f t="shared" si="276"/>
        <v>20.172603903215212</v>
      </c>
      <c r="AU366" s="44">
        <f t="shared" si="277"/>
        <v>107.91004169517112</v>
      </c>
      <c r="AV366" s="42" t="str">
        <f t="shared" si="254"/>
        <v>0,753699079364838-0,1874125937049i</v>
      </c>
      <c r="AW366" s="20">
        <f t="shared" si="278"/>
        <v>-2.1954890362406427</v>
      </c>
      <c r="AX366" s="44">
        <f t="shared" si="279"/>
        <v>-13.963801736058244</v>
      </c>
    </row>
    <row r="367" spans="14:50" x14ac:dyDescent="0.3">
      <c r="N367" s="8">
        <v>49</v>
      </c>
      <c r="O367" s="35">
        <f t="shared" si="244"/>
        <v>30902.954325135954</v>
      </c>
      <c r="P367" s="34" t="str">
        <f t="shared" si="245"/>
        <v>324,571428571429</v>
      </c>
      <c r="Q367" s="4" t="str">
        <f t="shared" si="246"/>
        <v>1+4438,14831003739i</v>
      </c>
      <c r="R367" s="4">
        <f t="shared" si="255"/>
        <v>4438.1484226969851</v>
      </c>
      <c r="S367" s="4">
        <f t="shared" si="256"/>
        <v>1.5705710076047255</v>
      </c>
      <c r="T367" s="4" t="str">
        <f t="shared" si="247"/>
        <v>1+0,0388337977128272i</v>
      </c>
      <c r="U367" s="4">
        <f t="shared" si="257"/>
        <v>1.0007537478544863</v>
      </c>
      <c r="V367" s="4">
        <f t="shared" si="258"/>
        <v>3.881429407533063E-2</v>
      </c>
      <c r="W367" t="str">
        <f t="shared" si="248"/>
        <v>1-0,337098938479403i</v>
      </c>
      <c r="X367" s="4">
        <f t="shared" si="259"/>
        <v>1.0552893888995285</v>
      </c>
      <c r="Y367" s="4">
        <f t="shared" si="260"/>
        <v>-0.32513576187595145</v>
      </c>
      <c r="Z367" t="str">
        <f t="shared" si="249"/>
        <v>0,996180029655914+0,28902862985224i</v>
      </c>
      <c r="AA367" s="4">
        <f t="shared" si="261"/>
        <v>1.0372618764610608</v>
      </c>
      <c r="AB367" s="4">
        <f t="shared" si="262"/>
        <v>0.28238373814996814</v>
      </c>
      <c r="AC367" s="48" t="str">
        <f t="shared" si="263"/>
        <v>-0,0400852767675886-0,0627483489478621i</v>
      </c>
      <c r="AD367" s="20">
        <f t="shared" si="264"/>
        <v>-22.56162309266136</v>
      </c>
      <c r="AE367" s="44">
        <f t="shared" si="265"/>
        <v>-122.57149824944696</v>
      </c>
      <c r="AF367" t="str">
        <f t="shared" si="250"/>
        <v>-20791,6666666667</v>
      </c>
      <c r="AG367" t="str">
        <f t="shared" si="266"/>
        <v>194168,988564136i</v>
      </c>
      <c r="AH367">
        <f t="shared" si="267"/>
        <v>194168.988564136</v>
      </c>
      <c r="AI367">
        <f t="shared" si="268"/>
        <v>1.5707963267948966</v>
      </c>
      <c r="AJ367" t="str">
        <f t="shared" si="251"/>
        <v>-702,278697251713+227,802746594227i</v>
      </c>
      <c r="AK367">
        <f t="shared" si="269"/>
        <v>738.3017404621479</v>
      </c>
      <c r="AL367">
        <f t="shared" si="270"/>
        <v>2.8279247397401228</v>
      </c>
      <c r="AM367" t="str">
        <f t="shared" si="252"/>
        <v>1+313,155744756238i</v>
      </c>
      <c r="AN367">
        <f t="shared" si="271"/>
        <v>313.15734140178495</v>
      </c>
      <c r="AO367">
        <f t="shared" si="272"/>
        <v>1.5676030384145545</v>
      </c>
      <c r="AP367" t="str">
        <f t="shared" si="253"/>
        <v>1+219,954630245453i</v>
      </c>
      <c r="AQ367">
        <f t="shared" si="273"/>
        <v>219.95690342977178</v>
      </c>
      <c r="AR367">
        <f t="shared" si="274"/>
        <v>1.5662499659882352</v>
      </c>
      <c r="AS367" s="42" t="str">
        <f t="shared" si="275"/>
        <v>-3,00884390564186+9,52636704663382i</v>
      </c>
      <c r="AT367">
        <f t="shared" si="276"/>
        <v>19.99151475498833</v>
      </c>
      <c r="AU367" s="44">
        <f t="shared" si="277"/>
        <v>107.52839839893205</v>
      </c>
      <c r="AV367" s="42" t="str">
        <f t="shared" si="254"/>
        <v>0,71837414435572-0,193067072333089i</v>
      </c>
      <c r="AW367" s="20">
        <f t="shared" si="278"/>
        <v>-2.5701083376730258</v>
      </c>
      <c r="AX367" s="44">
        <f t="shared" si="279"/>
        <v>-15.043099850514947</v>
      </c>
    </row>
    <row r="368" spans="14:50" x14ac:dyDescent="0.3">
      <c r="N368" s="8">
        <v>50</v>
      </c>
      <c r="O368" s="35">
        <f t="shared" si="244"/>
        <v>31622.77660168384</v>
      </c>
      <c r="P368" s="34" t="str">
        <f t="shared" si="245"/>
        <v>324,571428571429</v>
      </c>
      <c r="Q368" s="4" t="str">
        <f t="shared" si="246"/>
        <v>1+4541,52606436393i</v>
      </c>
      <c r="R368" s="4">
        <f t="shared" si="255"/>
        <v>4541.5261744590807</v>
      </c>
      <c r="S368" s="4">
        <f t="shared" si="256"/>
        <v>1.570576136495498</v>
      </c>
      <c r="T368" s="4" t="str">
        <f t="shared" si="247"/>
        <v>1+0,0397383530631844i</v>
      </c>
      <c r="U368" s="4">
        <f t="shared" si="257"/>
        <v>1.0007892568888688</v>
      </c>
      <c r="V368" s="4">
        <f t="shared" si="258"/>
        <v>3.9717455429117983E-2</v>
      </c>
      <c r="W368" t="str">
        <f t="shared" si="248"/>
        <v>1-0,344950981451253i</v>
      </c>
      <c r="X368" s="4">
        <f t="shared" si="259"/>
        <v>1.0578237942134705</v>
      </c>
      <c r="Y368" s="4">
        <f t="shared" si="260"/>
        <v>-0.33216974538967842</v>
      </c>
      <c r="Z368" t="str">
        <f t="shared" si="249"/>
        <v>0,996+0,295760971496304i</v>
      </c>
      <c r="AA368" s="4">
        <f t="shared" si="261"/>
        <v>1.0389853474714825</v>
      </c>
      <c r="AB368" s="4">
        <f t="shared" si="262"/>
        <v>0.28865515228199567</v>
      </c>
      <c r="AC368" s="48" t="str">
        <f t="shared" si="263"/>
        <v>-0,0399615297761927-0,0608763861004137i</v>
      </c>
      <c r="AD368" s="20">
        <f t="shared" si="264"/>
        <v>-22.754899820646784</v>
      </c>
      <c r="AE368" s="44">
        <f t="shared" si="265"/>
        <v>-123.28238790929541</v>
      </c>
      <c r="AF368" t="str">
        <f t="shared" si="250"/>
        <v>-20791,6666666667</v>
      </c>
      <c r="AG368" t="str">
        <f t="shared" si="266"/>
        <v>198691,765315922i</v>
      </c>
      <c r="AH368">
        <f t="shared" si="267"/>
        <v>198691.76531592201</v>
      </c>
      <c r="AI368">
        <f t="shared" si="268"/>
        <v>1.5707963267948966</v>
      </c>
      <c r="AJ368" t="str">
        <f t="shared" si="251"/>
        <v>-735,423201128312+233,108954212181i</v>
      </c>
      <c r="AK368">
        <f t="shared" si="269"/>
        <v>771.4836805089983</v>
      </c>
      <c r="AL368">
        <f t="shared" si="270"/>
        <v>2.834638369396937</v>
      </c>
      <c r="AM368" t="str">
        <f t="shared" si="252"/>
        <v>1+320,450079101519i</v>
      </c>
      <c r="AN368">
        <f t="shared" si="271"/>
        <v>320.45163940315518</v>
      </c>
      <c r="AO368">
        <f t="shared" si="272"/>
        <v>1.5676757260549872</v>
      </c>
      <c r="AP368" t="str">
        <f t="shared" si="253"/>
        <v>1+225,078031749876i</v>
      </c>
      <c r="AQ368">
        <f t="shared" si="273"/>
        <v>225.08025319071905</v>
      </c>
      <c r="AR368">
        <f t="shared" si="274"/>
        <v>1.5663534524170377</v>
      </c>
      <c r="AS368" s="42" t="str">
        <f t="shared" si="275"/>
        <v>-2,88545008025297+9,3480430302652i</v>
      </c>
      <c r="AT368">
        <f t="shared" si="276"/>
        <v>19.809651692216441</v>
      </c>
      <c r="AU368" s="44">
        <f t="shared" si="277"/>
        <v>107.15382978500953</v>
      </c>
      <c r="AV368" s="42" t="str">
        <f t="shared" si="254"/>
        <v>0,684382076093452-0,197906326744124i</v>
      </c>
      <c r="AW368" s="20">
        <f t="shared" si="278"/>
        <v>-2.9452481284303458</v>
      </c>
      <c r="AX368" s="44">
        <f t="shared" si="279"/>
        <v>-16.128558124285878</v>
      </c>
    </row>
    <row r="369" spans="14:50" x14ac:dyDescent="0.3">
      <c r="N369" s="8">
        <v>51</v>
      </c>
      <c r="O369" s="35">
        <f t="shared" si="244"/>
        <v>32359.365692962871</v>
      </c>
      <c r="P369" s="34" t="str">
        <f t="shared" si="245"/>
        <v>324,571428571429</v>
      </c>
      <c r="Q369" s="4" t="str">
        <f t="shared" si="246"/>
        <v>1+4647,311795924i</v>
      </c>
      <c r="R369" s="4">
        <f t="shared" si="255"/>
        <v>4647.3119035130785</v>
      </c>
      <c r="S369" s="4">
        <f t="shared" si="256"/>
        <v>1.5705811486384744</v>
      </c>
      <c r="T369" s="4" t="str">
        <f t="shared" si="247"/>
        <v>1+0,040663978214335i</v>
      </c>
      <c r="U369" s="4">
        <f t="shared" si="257"/>
        <v>1.0008264380621728</v>
      </c>
      <c r="V369" s="4">
        <f t="shared" si="258"/>
        <v>4.0641586994529445E-2</v>
      </c>
      <c r="W369" t="str">
        <f t="shared" si="248"/>
        <v>1-0,352985921999436i</v>
      </c>
      <c r="X369" s="4">
        <f t="shared" si="259"/>
        <v>1.0604711505410187</v>
      </c>
      <c r="Y369" s="4">
        <f t="shared" si="260"/>
        <v>-0.33933240299630169</v>
      </c>
      <c r="Z369" t="str">
        <f t="shared" si="249"/>
        <v>0,995811485807796+0,302650129522316i</v>
      </c>
      <c r="AA369" s="4">
        <f t="shared" si="261"/>
        <v>1.0407870176777787</v>
      </c>
      <c r="AB369" s="4">
        <f t="shared" si="262"/>
        <v>0.29505208574341091</v>
      </c>
      <c r="AC369" s="48" t="str">
        <f t="shared" si="263"/>
        <v>-0,039832761397361-0,0590397515177171i</v>
      </c>
      <c r="AD369" s="20">
        <f t="shared" si="264"/>
        <v>-22.947915457106895</v>
      </c>
      <c r="AE369" s="44">
        <f t="shared" si="265"/>
        <v>-124.00663358564333</v>
      </c>
      <c r="AF369" t="str">
        <f t="shared" si="250"/>
        <v>-20791,6666666667</v>
      </c>
      <c r="AG369" t="str">
        <f t="shared" si="266"/>
        <v>203319,891071675i</v>
      </c>
      <c r="AH369">
        <f t="shared" si="267"/>
        <v>203319.891071675</v>
      </c>
      <c r="AI369">
        <f t="shared" si="268"/>
        <v>1.5707963267948966</v>
      </c>
      <c r="AJ369" t="str">
        <f t="shared" si="251"/>
        <v>-770,129757348484+238,53875928322i</v>
      </c>
      <c r="AK369">
        <f t="shared" si="269"/>
        <v>806.22613628808438</v>
      </c>
      <c r="AL369">
        <f t="shared" si="270"/>
        <v>2.8412256650245973</v>
      </c>
      <c r="AM369" t="str">
        <f t="shared" si="252"/>
        <v>1+327,914320320397i</v>
      </c>
      <c r="AN369">
        <f t="shared" si="271"/>
        <v>327.91584510539889</v>
      </c>
      <c r="AO369">
        <f t="shared" si="272"/>
        <v>1.5677467591545851</v>
      </c>
      <c r="AP369" t="str">
        <f t="shared" si="253"/>
        <v>1+230,320772605993i</v>
      </c>
      <c r="AQ369">
        <f t="shared" si="273"/>
        <v>230.3229434811511</v>
      </c>
      <c r="AR369">
        <f t="shared" si="274"/>
        <v>1.5664545832990813</v>
      </c>
      <c r="AS369" s="42" t="str">
        <f t="shared" si="275"/>
        <v>-2,76664180139848+9,17150229906086i</v>
      </c>
      <c r="AT369">
        <f t="shared" si="276"/>
        <v>19.627043343834803</v>
      </c>
      <c r="AU369" s="44">
        <f t="shared" si="277"/>
        <v>106.7862698166719</v>
      </c>
      <c r="AV369" s="42" t="str">
        <f t="shared" si="254"/>
        <v>0,651686199527795-0,201984418240744i</v>
      </c>
      <c r="AW369" s="20">
        <f t="shared" si="278"/>
        <v>-3.3208721132720935</v>
      </c>
      <c r="AX369" s="44">
        <f t="shared" si="279"/>
        <v>-17.220363768971467</v>
      </c>
    </row>
    <row r="370" spans="14:50" x14ac:dyDescent="0.3">
      <c r="N370" s="8">
        <v>52</v>
      </c>
      <c r="O370" s="35">
        <f t="shared" si="244"/>
        <v>33113.11214825909</v>
      </c>
      <c r="P370" s="34" t="str">
        <f t="shared" si="245"/>
        <v>324,571428571429</v>
      </c>
      <c r="Q370" s="4" t="str">
        <f t="shared" si="246"/>
        <v>1+4755,56159371271i</v>
      </c>
      <c r="R370" s="4">
        <f t="shared" si="255"/>
        <v>4755.5616988527627</v>
      </c>
      <c r="S370" s="4">
        <f t="shared" si="256"/>
        <v>1.5705860466911581</v>
      </c>
      <c r="T370" s="4" t="str">
        <f t="shared" si="247"/>
        <v>1+0,0416111639449862i</v>
      </c>
      <c r="U370" s="4">
        <f t="shared" si="257"/>
        <v>1.0008653700497667</v>
      </c>
      <c r="V370" s="4">
        <f t="shared" si="258"/>
        <v>4.1587172440944536E-2</v>
      </c>
      <c r="W370" t="str">
        <f t="shared" si="248"/>
        <v>1-0,361208020355783i</v>
      </c>
      <c r="X370" s="4">
        <f t="shared" si="259"/>
        <v>1.0632362079845399</v>
      </c>
      <c r="Y370" s="4">
        <f t="shared" si="260"/>
        <v>-0.34662459173274851</v>
      </c>
      <c r="Z370" t="str">
        <f t="shared" si="249"/>
        <v>0,995614087215427+0,309699756653048i</v>
      </c>
      <c r="AA370" s="4">
        <f t="shared" si="261"/>
        <v>1.0426702978088351</v>
      </c>
      <c r="AB370" s="4">
        <f t="shared" si="262"/>
        <v>0.30157614356044893</v>
      </c>
      <c r="AC370" s="48" t="str">
        <f t="shared" si="263"/>
        <v>-0,0396988129124039-0,0572376558522862i</v>
      </c>
      <c r="AD370" s="20">
        <f t="shared" si="264"/>
        <v>-23.140662298160084</v>
      </c>
      <c r="AE370" s="44">
        <f t="shared" si="265"/>
        <v>-124.74434878436813</v>
      </c>
      <c r="AF370" t="str">
        <f t="shared" si="250"/>
        <v>-20791,6666666667</v>
      </c>
      <c r="AG370" t="str">
        <f t="shared" si="266"/>
        <v>208055,819724931i</v>
      </c>
      <c r="AH370">
        <f t="shared" si="267"/>
        <v>208055.819724931</v>
      </c>
      <c r="AI370">
        <f t="shared" si="268"/>
        <v>1.5707963267948966</v>
      </c>
      <c r="AJ370" t="str">
        <f t="shared" si="251"/>
        <v>-806,471983171158+244,095040761864i</v>
      </c>
      <c r="AK370">
        <f t="shared" si="269"/>
        <v>842.60278219606926</v>
      </c>
      <c r="AL370">
        <f t="shared" si="270"/>
        <v>2.8476879333458474</v>
      </c>
      <c r="AM370" t="str">
        <f t="shared" si="252"/>
        <v>1+335,552426052369i</v>
      </c>
      <c r="AN370">
        <f t="shared" si="271"/>
        <v>335.55391612918271</v>
      </c>
      <c r="AO370">
        <f t="shared" si="272"/>
        <v>1.5678161753731692</v>
      </c>
      <c r="AP370" t="str">
        <f t="shared" si="253"/>
        <v>1+235,685632584402i</v>
      </c>
      <c r="AQ370">
        <f t="shared" si="273"/>
        <v>235.68775404485854</v>
      </c>
      <c r="AR370">
        <f t="shared" si="274"/>
        <v>1.5665534122470186</v>
      </c>
      <c r="AS370" s="42" t="str">
        <f t="shared" si="275"/>
        <v>-2,65228718895622+8,99682722910967i</v>
      </c>
      <c r="AT370">
        <f t="shared" si="276"/>
        <v>19.443717526153751</v>
      </c>
      <c r="AU370" s="44">
        <f t="shared" si="277"/>
        <v>106.42564885374834</v>
      </c>
      <c r="AV370" s="42" t="str">
        <f t="shared" si="254"/>
        <v>0,620249953606596-0,205352659630742i</v>
      </c>
      <c r="AW370" s="20">
        <f t="shared" si="278"/>
        <v>-3.6969447720063302</v>
      </c>
      <c r="AX370" s="44">
        <f t="shared" si="279"/>
        <v>-18.318699930619758</v>
      </c>
    </row>
    <row r="371" spans="14:50" x14ac:dyDescent="0.3">
      <c r="N371" s="8">
        <v>53</v>
      </c>
      <c r="O371" s="35">
        <f t="shared" si="244"/>
        <v>33884.41561392029</v>
      </c>
      <c r="P371" s="34" t="str">
        <f t="shared" si="245"/>
        <v>324,571428571429</v>
      </c>
      <c r="Q371" s="4" t="str">
        <f t="shared" si="246"/>
        <v>1+4866,33285320574i</v>
      </c>
      <c r="R371" s="4">
        <f t="shared" si="255"/>
        <v>4866.3329559525127</v>
      </c>
      <c r="S371" s="4">
        <f t="shared" si="256"/>
        <v>1.5705908332505605</v>
      </c>
      <c r="T371" s="4" t="str">
        <f t="shared" si="247"/>
        <v>1+0,0425804124655502i</v>
      </c>
      <c r="U371" s="4">
        <f t="shared" si="257"/>
        <v>1.0009061352223476</v>
      </c>
      <c r="V371" s="4">
        <f t="shared" si="258"/>
        <v>4.2554706362603591E-2</v>
      </c>
      <c r="W371" t="str">
        <f t="shared" si="248"/>
        <v>1-0,369621635985679i</v>
      </c>
      <c r="X371" s="4">
        <f t="shared" si="259"/>
        <v>1.0661238923261827</v>
      </c>
      <c r="Y371" s="4">
        <f t="shared" si="260"/>
        <v>-0.3540470749007526</v>
      </c>
      <c r="Z371" t="str">
        <f t="shared" si="249"/>
        <v>0,995407385514012+0,316913590694121i</v>
      </c>
      <c r="AA371" s="4">
        <f t="shared" si="261"/>
        <v>1.0446387352106381</v>
      </c>
      <c r="AB371" s="4">
        <f t="shared" si="262"/>
        <v>0.30822889055850511</v>
      </c>
      <c r="AC371" s="48" t="str">
        <f t="shared" si="263"/>
        <v>-0,0395595238928554-0,0554693376771805i</v>
      </c>
      <c r="AD371" s="20">
        <f t="shared" si="264"/>
        <v>-23.333132620979079</v>
      </c>
      <c r="AE371" s="44">
        <f t="shared" si="265"/>
        <v>-125.49563870796398</v>
      </c>
      <c r="AF371" t="str">
        <f t="shared" si="250"/>
        <v>-20791,6666666667</v>
      </c>
      <c r="AG371" t="str">
        <f t="shared" si="266"/>
        <v>212902,062327751i</v>
      </c>
      <c r="AH371">
        <f t="shared" si="267"/>
        <v>212902.06232775099</v>
      </c>
      <c r="AI371">
        <f t="shared" si="268"/>
        <v>1.5707963267948966</v>
      </c>
      <c r="AJ371" t="str">
        <f t="shared" si="251"/>
        <v>-844,526965329805+249,780744662101i</v>
      </c>
      <c r="AK371">
        <f t="shared" si="269"/>
        <v>880.6907604676702</v>
      </c>
      <c r="AL371">
        <f t="shared" si="270"/>
        <v>2.8540265365327286</v>
      </c>
      <c r="AM371" t="str">
        <f t="shared" si="252"/>
        <v>1+343,368446122197i</v>
      </c>
      <c r="AN371">
        <f t="shared" si="271"/>
        <v>343.36990228086688</v>
      </c>
      <c r="AO371">
        <f t="shared" si="272"/>
        <v>1.5678840115134596</v>
      </c>
      <c r="AP371" t="str">
        <f t="shared" si="253"/>
        <v>1+241,175456204876i</v>
      </c>
      <c r="AQ371">
        <f t="shared" si="273"/>
        <v>241.1775293754169</v>
      </c>
      <c r="AR371">
        <f t="shared" si="274"/>
        <v>1.5666499916535397</v>
      </c>
      <c r="AS371" s="42" t="str">
        <f t="shared" si="275"/>
        <v>-2,54225497355298+8,82409282945713i</v>
      </c>
      <c r="AT371">
        <f t="shared" si="276"/>
        <v>19.259701245595334</v>
      </c>
      <c r="AU371" s="44">
        <f t="shared" si="277"/>
        <v>106.07189396005042</v>
      </c>
      <c r="AV371" s="42" t="str">
        <f t="shared" si="254"/>
        <v>0,590036981219944-0,208059711530182i</v>
      </c>
      <c r="AW371" s="20">
        <f t="shared" si="278"/>
        <v>-4.0734313753837466</v>
      </c>
      <c r="AX371" s="44">
        <f t="shared" si="279"/>
        <v>-19.423744747913599</v>
      </c>
    </row>
    <row r="372" spans="14:50" x14ac:dyDescent="0.3">
      <c r="N372" s="8">
        <v>54</v>
      </c>
      <c r="O372" s="35">
        <f t="shared" si="244"/>
        <v>34673.685045253202</v>
      </c>
      <c r="P372" s="34" t="str">
        <f t="shared" si="245"/>
        <v>324,571428571429</v>
      </c>
      <c r="Q372" s="4" t="str">
        <f t="shared" si="246"/>
        <v>1+4979,68430679102i</v>
      </c>
      <c r="R372" s="4">
        <f t="shared" si="255"/>
        <v>4979.6844071989908</v>
      </c>
      <c r="S372" s="4">
        <f t="shared" si="256"/>
        <v>1.5705955108545782</v>
      </c>
      <c r="T372" s="4" t="str">
        <f t="shared" si="247"/>
        <v>1+0,0435722376844214i</v>
      </c>
      <c r="U372" s="4">
        <f t="shared" si="257"/>
        <v>1.0009488198188894</v>
      </c>
      <c r="V372" s="4">
        <f t="shared" si="258"/>
        <v>4.3544694508831694E-2</v>
      </c>
      <c r="W372" t="str">
        <f t="shared" si="248"/>
        <v>1-0,378231229899491i</v>
      </c>
      <c r="X372" s="4">
        <f t="shared" si="259"/>
        <v>1.0691393095716206</v>
      </c>
      <c r="Y372" s="4">
        <f t="shared" si="260"/>
        <v>-0.36160051559127454</v>
      </c>
      <c r="Z372" t="str">
        <f t="shared" si="249"/>
        <v>0,99519094226153+0,324295456515824i</v>
      </c>
      <c r="AA372" s="4">
        <f t="shared" si="261"/>
        <v>1.0466960182766527</v>
      </c>
      <c r="AB372" s="4">
        <f t="shared" si="262"/>
        <v>0.31501184663375875</v>
      </c>
      <c r="AC372" s="48" t="str">
        <f t="shared" si="263"/>
        <v>-0,0394147325306159-0,0537340634137514i</v>
      </c>
      <c r="AD372" s="20">
        <f t="shared" si="264"/>
        <v>-23.525318704059739</v>
      </c>
      <c r="AE372" s="44">
        <f t="shared" si="265"/>
        <v>-126.2605996004896</v>
      </c>
      <c r="AF372" t="str">
        <f t="shared" si="250"/>
        <v>-20791,6666666667</v>
      </c>
      <c r="AG372" t="str">
        <f t="shared" si="266"/>
        <v>217861,188422107i</v>
      </c>
      <c r="AH372">
        <f t="shared" si="267"/>
        <v>217861.18842210699</v>
      </c>
      <c r="AI372">
        <f t="shared" si="268"/>
        <v>1.5707963267948966</v>
      </c>
      <c r="AJ372" t="str">
        <f t="shared" si="251"/>
        <v>-884,375423543674+255,598885619396i</v>
      </c>
      <c r="AK372">
        <f t="shared" si="269"/>
        <v>920.57084469253618</v>
      </c>
      <c r="AL372">
        <f t="shared" si="270"/>
        <v>2.8602428870969936</v>
      </c>
      <c r="AM372" t="str">
        <f t="shared" si="252"/>
        <v>1+351,366524687174i</v>
      </c>
      <c r="AN372">
        <f t="shared" si="271"/>
        <v>351.3679476997616</v>
      </c>
      <c r="AO372">
        <f t="shared" si="272"/>
        <v>1.5679503035405773</v>
      </c>
      <c r="AP372" t="str">
        <f t="shared" si="253"/>
        <v>1+246,793154244563i</v>
      </c>
      <c r="AQ372">
        <f t="shared" si="273"/>
        <v>246.79518022437284</v>
      </c>
      <c r="AR372">
        <f t="shared" si="274"/>
        <v>1.566744372719113</v>
      </c>
      <c r="AS372" s="42" t="str">
        <f t="shared" si="275"/>
        <v>-2,43641480118886+8,65336703784764i</v>
      </c>
      <c r="AT372">
        <f t="shared" si="276"/>
        <v>19.075020703396525</v>
      </c>
      <c r="AU372" s="44">
        <f t="shared" si="277"/>
        <v>105.72492919883685</v>
      </c>
      <c r="AV372" s="42" t="str">
        <f t="shared" si="254"/>
        <v>0,561011210876664-0,210151679856728i</v>
      </c>
      <c r="AW372" s="20">
        <f t="shared" si="278"/>
        <v>-4.4502980006632153</v>
      </c>
      <c r="AX372" s="44">
        <f t="shared" si="279"/>
        <v>-20.535670401652752</v>
      </c>
    </row>
    <row r="373" spans="14:50" x14ac:dyDescent="0.3">
      <c r="N373" s="8">
        <v>55</v>
      </c>
      <c r="O373" s="35">
        <f t="shared" si="244"/>
        <v>35481.33892335758</v>
      </c>
      <c r="P373" s="34" t="str">
        <f t="shared" si="245"/>
        <v>324,571428571429</v>
      </c>
      <c r="Q373" s="4" t="str">
        <f t="shared" si="246"/>
        <v>1+5095,67605490971i</v>
      </c>
      <c r="R373" s="4">
        <f t="shared" si="255"/>
        <v>5095.6761530321164</v>
      </c>
      <c r="S373" s="4">
        <f t="shared" si="256"/>
        <v>1.5706000819833374</v>
      </c>
      <c r="T373" s="4" t="str">
        <f t="shared" si="247"/>
        <v>1+0,04458716548046i</v>
      </c>
      <c r="U373" s="4">
        <f t="shared" si="257"/>
        <v>1.00099351412763</v>
      </c>
      <c r="V373" s="4">
        <f t="shared" si="258"/>
        <v>4.4557654017914353E-2</v>
      </c>
      <c r="W373" t="str">
        <f t="shared" si="248"/>
        <v>1-0,387041367017882i</v>
      </c>
      <c r="X373" s="4">
        <f t="shared" si="259"/>
        <v>1.0722877504583697</v>
      </c>
      <c r="Y373" s="4">
        <f t="shared" si="260"/>
        <v>-0.36928547008177831</v>
      </c>
      <c r="Z373" t="str">
        <f t="shared" si="249"/>
        <v>0,994964298352823+0,331849268081132i</v>
      </c>
      <c r="AA373" s="4">
        <f t="shared" si="261"/>
        <v>1.0488459809346216</v>
      </c>
      <c r="AB373" s="4">
        <f t="shared" si="262"/>
        <v>0.32192648181452771</v>
      </c>
      <c r="AC373" s="48" t="str">
        <f t="shared" si="263"/>
        <v>-0,0392642760029296-0,0520311272664765i</v>
      </c>
      <c r="AD373" s="20">
        <f t="shared" si="264"/>
        <v>-23.717212849163975</v>
      </c>
      <c r="AE373" s="44">
        <f t="shared" si="265"/>
        <v>-127.03931807297361</v>
      </c>
      <c r="AF373" t="str">
        <f t="shared" si="250"/>
        <v>-20791,6666666667</v>
      </c>
      <c r="AG373" t="str">
        <f t="shared" si="266"/>
        <v>222935,8274023i</v>
      </c>
      <c r="AH373">
        <f t="shared" si="267"/>
        <v>222935.8274023</v>
      </c>
      <c r="AI373">
        <f t="shared" si="268"/>
        <v>1.5707963267948966</v>
      </c>
      <c r="AJ373" t="str">
        <f t="shared" si="251"/>
        <v>-926,101881735246+261,552548489098i</v>
      </c>
      <c r="AK373">
        <f t="shared" si="269"/>
        <v>962.32761104246902</v>
      </c>
      <c r="AL373">
        <f t="shared" si="270"/>
        <v>2.8663384429913243</v>
      </c>
      <c r="AM373" t="str">
        <f t="shared" si="252"/>
        <v>1+359,550902434429i</v>
      </c>
      <c r="AN373">
        <f t="shared" si="271"/>
        <v>359.55229305542235</v>
      </c>
      <c r="AO373">
        <f t="shared" si="272"/>
        <v>1.5680150866011004</v>
      </c>
      <c r="AP373" t="str">
        <f t="shared" si="253"/>
        <v>1+252,541705281325i</v>
      </c>
      <c r="AQ373">
        <f t="shared" si="273"/>
        <v>252.54368514456979</v>
      </c>
      <c r="AR373">
        <f t="shared" si="274"/>
        <v>1.5668366054790994</v>
      </c>
      <c r="AS373" s="42" t="str">
        <f t="shared" si="275"/>
        <v>-2,33463750921064+8,48471101990491i</v>
      </c>
      <c r="AT373">
        <f t="shared" si="276"/>
        <v>18.889701302098636</v>
      </c>
      <c r="AU373" s="44">
        <f t="shared" si="277"/>
        <v>105.38467591613752</v>
      </c>
      <c r="AV373" s="42" t="str">
        <f t="shared" si="254"/>
        <v>0,533136930424387-0,211672213927816i</v>
      </c>
      <c r="AW373" s="20">
        <f t="shared" si="278"/>
        <v>-4.8275115470653311</v>
      </c>
      <c r="AX373" s="44">
        <f t="shared" si="279"/>
        <v>-21.654642156836061</v>
      </c>
    </row>
    <row r="374" spans="14:50" x14ac:dyDescent="0.3">
      <c r="N374" s="8">
        <v>56</v>
      </c>
      <c r="O374" s="35">
        <f t="shared" si="244"/>
        <v>36307.805477010232</v>
      </c>
      <c r="P374" s="34" t="str">
        <f t="shared" si="245"/>
        <v>324,571428571429</v>
      </c>
      <c r="Q374" s="4" t="str">
        <f t="shared" si="246"/>
        <v>1+5214,36959792194i</v>
      </c>
      <c r="R374" s="4">
        <f t="shared" si="255"/>
        <v>5214.3696938108078</v>
      </c>
      <c r="S374" s="4">
        <f t="shared" si="256"/>
        <v>1.5706045490605107</v>
      </c>
      <c r="T374" s="4" t="str">
        <f t="shared" si="247"/>
        <v>1+0,045625733981817i</v>
      </c>
      <c r="U374" s="4">
        <f t="shared" si="257"/>
        <v>1.0010403126754583</v>
      </c>
      <c r="V374" s="4">
        <f t="shared" si="258"/>
        <v>4.5594113654580035E-2</v>
      </c>
      <c r="W374" t="str">
        <f t="shared" si="248"/>
        <v>1-0,396056718592161i</v>
      </c>
      <c r="X374" s="4">
        <f t="shared" si="259"/>
        <v>1.0755746949152301</v>
      </c>
      <c r="Y374" s="4">
        <f t="shared" si="260"/>
        <v>-0.3771023811270679</v>
      </c>
      <c r="Z374" t="str">
        <f t="shared" si="249"/>
        <v>0,994726973045774+0,339579030520919i</v>
      </c>
      <c r="AA374" s="4">
        <f t="shared" si="261"/>
        <v>1.0510926071827995</v>
      </c>
      <c r="AB374" s="4">
        <f t="shared" si="262"/>
        <v>0.32897421111477221</v>
      </c>
      <c r="AC374" s="48" t="str">
        <f t="shared" si="263"/>
        <v>-0,0391079908736948-0,0503598511621434i</v>
      </c>
      <c r="AD374" s="20">
        <f t="shared" si="264"/>
        <v>-23.908807404959838</v>
      </c>
      <c r="AE374" s="44">
        <f t="shared" si="265"/>
        <v>-127.83187041060498</v>
      </c>
      <c r="AF374" t="str">
        <f t="shared" si="250"/>
        <v>-20791,6666666667</v>
      </c>
      <c r="AG374" t="str">
        <f t="shared" si="266"/>
        <v>228128,669909085i</v>
      </c>
      <c r="AH374">
        <f t="shared" si="267"/>
        <v>228128.669909085</v>
      </c>
      <c r="AI374">
        <f t="shared" si="268"/>
        <v>1.5707963267948966</v>
      </c>
      <c r="AJ374" t="str">
        <f t="shared" si="251"/>
        <v>-969,794847316682+267,644889982067i</v>
      </c>
      <c r="AK374">
        <f t="shared" si="269"/>
        <v>1006.0496175713697</v>
      </c>
      <c r="AL374">
        <f t="shared" si="270"/>
        <v>2.8723147029230169</v>
      </c>
      <c r="AM374" t="str">
        <f t="shared" si="252"/>
        <v>1+367,925918829372i</v>
      </c>
      <c r="AN374">
        <f t="shared" si="271"/>
        <v>367.92727779608521</v>
      </c>
      <c r="AO374">
        <f t="shared" si="272"/>
        <v>1.568078395041689</v>
      </c>
      <c r="AP374" t="str">
        <f t="shared" si="253"/>
        <v>1+258,424157273011i</v>
      </c>
      <c r="AQ374">
        <f t="shared" si="273"/>
        <v>258.42609206940762</v>
      </c>
      <c r="AR374">
        <f t="shared" si="274"/>
        <v>1.5669267388302484</v>
      </c>
      <c r="AS374" s="42" t="str">
        <f t="shared" si="275"/>
        <v>-2,23679537487345+8,3181794698312i</v>
      </c>
      <c r="AT374">
        <f t="shared" si="276"/>
        <v>18.703767653652083</v>
      </c>
      <c r="AU374" s="44">
        <f t="shared" si="277"/>
        <v>105.05105301184588</v>
      </c>
      <c r="AV374" s="42" t="str">
        <f t="shared" si="254"/>
        <v>0,50637885314757-0,212662604633116i</v>
      </c>
      <c r="AW374" s="20">
        <f t="shared" si="278"/>
        <v>-5.2050397513077513</v>
      </c>
      <c r="AX374" s="44">
        <f t="shared" si="279"/>
        <v>-22.780817398759034</v>
      </c>
    </row>
    <row r="375" spans="14:50" x14ac:dyDescent="0.3">
      <c r="N375" s="8">
        <v>57</v>
      </c>
      <c r="O375" s="35">
        <f t="shared" si="244"/>
        <v>37153.522909717351</v>
      </c>
      <c r="P375" s="34" t="str">
        <f t="shared" si="245"/>
        <v>324,571428571429</v>
      </c>
      <c r="Q375" s="4" t="str">
        <f t="shared" si="246"/>
        <v>1+5335,82786871534i</v>
      </c>
      <c r="R375" s="4">
        <f t="shared" si="255"/>
        <v>5335.8279624215102</v>
      </c>
      <c r="S375" s="4">
        <f t="shared" si="256"/>
        <v>1.5706089144546007</v>
      </c>
      <c r="T375" s="4" t="str">
        <f t="shared" si="247"/>
        <v>1+0,0466884938512592i</v>
      </c>
      <c r="U375" s="4">
        <f t="shared" si="257"/>
        <v>1.0010893144260899</v>
      </c>
      <c r="V375" s="4">
        <f t="shared" si="258"/>
        <v>4.6654614051055844E-2</v>
      </c>
      <c r="W375" t="str">
        <f t="shared" si="248"/>
        <v>1-0,405282064681069i</v>
      </c>
      <c r="X375" s="4">
        <f t="shared" si="259"/>
        <v>1.079005816458906</v>
      </c>
      <c r="Y375" s="4">
        <f t="shared" si="260"/>
        <v>-0.38505157116731126</v>
      </c>
      <c r="Z375" t="str">
        <f t="shared" si="249"/>
        <v>0,994478462941588+0,347488842257549i</v>
      </c>
      <c r="AA375" s="4">
        <f t="shared" si="261"/>
        <v>1.0534400356679803</v>
      </c>
      <c r="AB375" s="4">
        <f t="shared" si="262"/>
        <v>0.33615638918383006</v>
      </c>
      <c r="AC375" s="48" t="str">
        <f t="shared" si="263"/>
        <v>-0,0389457135324934-0,0487195846903674i</v>
      </c>
      <c r="AD375" s="20">
        <f t="shared" si="264"/>
        <v>-24.100094792372406</v>
      </c>
      <c r="AE375" s="44">
        <f t="shared" si="265"/>
        <v>-128.63832186329387</v>
      </c>
      <c r="AF375" t="str">
        <f t="shared" si="250"/>
        <v>-20791,6666666667</v>
      </c>
      <c r="AG375" t="str">
        <f t="shared" si="266"/>
        <v>233442,469256296i</v>
      </c>
      <c r="AH375">
        <f t="shared" si="267"/>
        <v>233442.469256296</v>
      </c>
      <c r="AI375">
        <f t="shared" si="268"/>
        <v>1.5707963267948966</v>
      </c>
      <c r="AJ375" t="str">
        <f t="shared" si="251"/>
        <v>-1015,54699892601+273,879140338403i</v>
      </c>
      <c r="AK375">
        <f t="shared" si="269"/>
        <v>1051.8295919682655</v>
      </c>
      <c r="AL375">
        <f t="shared" si="270"/>
        <v>2.8781732018807054</v>
      </c>
      <c r="AM375" t="str">
        <f t="shared" si="252"/>
        <v>1+376,496014416554i</v>
      </c>
      <c r="AN375">
        <f t="shared" si="271"/>
        <v>376.4973424495185</v>
      </c>
      <c r="AO375">
        <f t="shared" si="272"/>
        <v>1.5681402624272851</v>
      </c>
      <c r="AP375" t="str">
        <f t="shared" si="253"/>
        <v>1+264,443629173532i</v>
      </c>
      <c r="AQ375">
        <f t="shared" si="273"/>
        <v>264.44551992890422</v>
      </c>
      <c r="AR375">
        <f t="shared" si="274"/>
        <v>1.5670148205565944</v>
      </c>
      <c r="AS375" s="42" t="str">
        <f t="shared" si="275"/>
        <v>-2,14276233778595+8,15382091089861i</v>
      </c>
      <c r="AT375">
        <f t="shared" si="276"/>
        <v>18.517243588969283</v>
      </c>
      <c r="AU375" s="44">
        <f t="shared" si="277"/>
        <v>104.72397719854457</v>
      </c>
      <c r="AV375" s="42" t="str">
        <f t="shared" si="254"/>
        <v>0,480702176594241-0,213161882204019i</v>
      </c>
      <c r="AW375" s="20">
        <f t="shared" si="278"/>
        <v>-5.5828512034031252</v>
      </c>
      <c r="AX375" s="44">
        <f t="shared" si="279"/>
        <v>-23.914344664749244</v>
      </c>
    </row>
    <row r="376" spans="14:50" x14ac:dyDescent="0.3">
      <c r="N376" s="8">
        <v>58</v>
      </c>
      <c r="O376" s="35">
        <f t="shared" si="244"/>
        <v>38018.939632056143</v>
      </c>
      <c r="P376" s="34" t="str">
        <f t="shared" si="245"/>
        <v>324,571428571429</v>
      </c>
      <c r="Q376" s="4" t="str">
        <f t="shared" si="246"/>
        <v>1+5460,11526607275i</v>
      </c>
      <c r="R376" s="4">
        <f t="shared" si="255"/>
        <v>5460.1153576459083</v>
      </c>
      <c r="S376" s="4">
        <f t="shared" si="256"/>
        <v>1.5706131804801964</v>
      </c>
      <c r="T376" s="4" t="str">
        <f t="shared" si="247"/>
        <v>1+0,0477760085781366i</v>
      </c>
      <c r="U376" s="4">
        <f t="shared" si="257"/>
        <v>1.0011406229874293</v>
      </c>
      <c r="V376" s="4">
        <f t="shared" si="258"/>
        <v>4.7739707951633056E-2</v>
      </c>
      <c r="W376" t="str">
        <f t="shared" si="248"/>
        <v>1-0,414722296685214i</v>
      </c>
      <c r="X376" s="4">
        <f t="shared" si="259"/>
        <v>1.0825869865132587</v>
      </c>
      <c r="Y376" s="4">
        <f t="shared" si="260"/>
        <v>-0.39313323547950435</v>
      </c>
      <c r="Z376" t="str">
        <f t="shared" si="249"/>
        <v>0,994218240917016+0,355582897177902i</v>
      </c>
      <c r="AA376" s="4">
        <f t="shared" si="261"/>
        <v>1.0558925642969346</v>
      </c>
      <c r="AB376" s="4">
        <f t="shared" si="262"/>
        <v>0.34347430475797469</v>
      </c>
      <c r="AC376" s="48" t="str">
        <f t="shared" si="263"/>
        <v>-0,0387772806725797-0,0471097050421835i</v>
      </c>
      <c r="AD376" s="20">
        <f t="shared" si="264"/>
        <v>-24.291067531644018</v>
      </c>
      <c r="AE376" s="44">
        <f t="shared" si="265"/>
        <v>-129.45872592143903</v>
      </c>
      <c r="AF376" t="str">
        <f t="shared" si="250"/>
        <v>-20791,6666666667</v>
      </c>
      <c r="AG376" t="str">
        <f t="shared" si="266"/>
        <v>238880,042890683i</v>
      </c>
      <c r="AH376">
        <f t="shared" si="267"/>
        <v>238880.04289068299</v>
      </c>
      <c r="AI376">
        <f t="shared" si="268"/>
        <v>1.5707963267948966</v>
      </c>
      <c r="AJ376" t="str">
        <f t="shared" si="251"/>
        <v>-1063,45538301089+280,258605040164i</v>
      </c>
      <c r="AK376">
        <f t="shared" si="269"/>
        <v>1099.7646281609068</v>
      </c>
      <c r="AL376">
        <f t="shared" si="270"/>
        <v>2.8839155068733184</v>
      </c>
      <c r="AM376" t="str">
        <f t="shared" si="252"/>
        <v>1+385,265733174093i</v>
      </c>
      <c r="AN376">
        <f t="shared" si="271"/>
        <v>385.26703097743962</v>
      </c>
      <c r="AO376">
        <f t="shared" si="272"/>
        <v>1.5682007215588998</v>
      </c>
      <c r="AP376" t="str">
        <f t="shared" si="253"/>
        <v>1+270,603312586566i</v>
      </c>
      <c r="AQ376">
        <f t="shared" si="273"/>
        <v>270.6051603033888</v>
      </c>
      <c r="AR376">
        <f t="shared" si="274"/>
        <v>1.5671008973547647</v>
      </c>
      <c r="AS376" s="42" t="str">
        <f t="shared" si="275"/>
        <v>-2,0524141975793+7,99167799419646i</v>
      </c>
      <c r="AT376">
        <f t="shared" si="276"/>
        <v>18.33015216877088</v>
      </c>
      <c r="AU376" s="44">
        <f t="shared" si="277"/>
        <v>104.40336324811473</v>
      </c>
      <c r="AV376" s="42" t="str">
        <f t="shared" si="254"/>
        <v>0,456072634494624-0,213206913153484i</v>
      </c>
      <c r="AW376" s="20">
        <f t="shared" si="278"/>
        <v>-5.9609153628731404</v>
      </c>
      <c r="AX376" s="44">
        <f t="shared" si="279"/>
        <v>-25.055362673324261</v>
      </c>
    </row>
    <row r="377" spans="14:50" x14ac:dyDescent="0.3">
      <c r="N377" s="8">
        <v>59</v>
      </c>
      <c r="O377" s="35">
        <f t="shared" si="244"/>
        <v>38904.514499428085</v>
      </c>
      <c r="P377" s="34" t="str">
        <f t="shared" si="245"/>
        <v>324,571428571429</v>
      </c>
      <c r="Q377" s="4" t="str">
        <f t="shared" si="246"/>
        <v>1+5587,29768881742i</v>
      </c>
      <c r="R377" s="4">
        <f t="shared" si="255"/>
        <v>5587.2977783061169</v>
      </c>
      <c r="S377" s="4">
        <f t="shared" si="256"/>
        <v>1.5706173493992006</v>
      </c>
      <c r="T377" s="4" t="str">
        <f t="shared" si="247"/>
        <v>1+0,0488888547771524i</v>
      </c>
      <c r="U377" s="4">
        <f t="shared" si="257"/>
        <v>1.0011943468285374</v>
      </c>
      <c r="V377" s="4">
        <f t="shared" si="258"/>
        <v>4.8849960460682726E-2</v>
      </c>
      <c r="W377" t="str">
        <f t="shared" si="248"/>
        <v>1-0,424382419940559i</v>
      </c>
      <c r="X377" s="4">
        <f t="shared" si="259"/>
        <v>1.0863242786362666</v>
      </c>
      <c r="Y377" s="4">
        <f t="shared" si="260"/>
        <v>-0.40134743530165312</v>
      </c>
      <c r="Z377" t="str">
        <f t="shared" si="249"/>
        <v>0,993945755006255+0,363865486857035i</v>
      </c>
      <c r="AA377" s="4">
        <f t="shared" si="261"/>
        <v>1.0584546548722158</v>
      </c>
      <c r="AB377" s="4">
        <f t="shared" si="262"/>
        <v>0.35092917492130499</v>
      </c>
      <c r="AC377" s="48" t="str">
        <f t="shared" si="263"/>
        <v>-0,0386025298088874-0,0455296169431914i</v>
      </c>
      <c r="AD377" s="20">
        <f t="shared" si="264"/>
        <v>-24.481718271087626</v>
      </c>
      <c r="AE377" s="44">
        <f t="shared" si="265"/>
        <v>-130.29312357900386</v>
      </c>
      <c r="AF377" t="str">
        <f t="shared" si="250"/>
        <v>-20791,6666666667</v>
      </c>
      <c r="AG377" t="str">
        <f t="shared" si="266"/>
        <v>244444,273885762i</v>
      </c>
      <c r="AH377">
        <f t="shared" si="267"/>
        <v>244444.273885762</v>
      </c>
      <c r="AI377">
        <f t="shared" si="268"/>
        <v>1.5707963267948966</v>
      </c>
      <c r="AJ377" t="str">
        <f t="shared" si="251"/>
        <v>-1113,62161967716+286,78666656398i</v>
      </c>
      <c r="AK377">
        <f t="shared" si="269"/>
        <v>1149.9563921867909</v>
      </c>
      <c r="AL377">
        <f t="shared" si="270"/>
        <v>2.8895432128796097</v>
      </c>
      <c r="AM377" t="str">
        <f t="shared" si="252"/>
        <v>1+394,239724922957i</v>
      </c>
      <c r="AN377">
        <f t="shared" si="271"/>
        <v>394.24099318478898</v>
      </c>
      <c r="AO377">
        <f t="shared" si="272"/>
        <v>1.5682598044909963</v>
      </c>
      <c r="AP377" t="str">
        <f t="shared" si="253"/>
        <v>1+276,906473457791i</v>
      </c>
      <c r="AQ377">
        <f t="shared" si="273"/>
        <v>276.90827911572148</v>
      </c>
      <c r="AR377">
        <f t="shared" si="274"/>
        <v>1.5671850148587119</v>
      </c>
      <c r="AS377" s="42" t="str">
        <f t="shared" si="275"/>
        <v>-1,96562878816172+7,83178779427542i</v>
      </c>
      <c r="AT377">
        <f t="shared" si="276"/>
        <v>18.142515695576172</v>
      </c>
      <c r="AU377" s="44">
        <f t="shared" si="277"/>
        <v>104.08912422622346</v>
      </c>
      <c r="AV377" s="42" t="str">
        <f t="shared" si="254"/>
        <v>0,432456542141942-0,212832496007885i</v>
      </c>
      <c r="AW377" s="20">
        <f t="shared" si="278"/>
        <v>-6.3392025755114467</v>
      </c>
      <c r="AX377" s="44">
        <f t="shared" si="279"/>
        <v>-26.203999352780411</v>
      </c>
    </row>
    <row r="378" spans="14:50" x14ac:dyDescent="0.3">
      <c r="N378" s="8">
        <v>60</v>
      </c>
      <c r="O378" s="35">
        <f t="shared" si="244"/>
        <v>39810.717055349742</v>
      </c>
      <c r="P378" s="34" t="str">
        <f t="shared" si="245"/>
        <v>324,571428571429</v>
      </c>
      <c r="Q378" s="4" t="str">
        <f t="shared" si="246"/>
        <v>1+5717,4425707533i</v>
      </c>
      <c r="R378" s="4">
        <f t="shared" si="255"/>
        <v>5717.4426582049864</v>
      </c>
      <c r="S378" s="4">
        <f t="shared" si="256"/>
        <v>1.5706214234220288</v>
      </c>
      <c r="T378" s="4" t="str">
        <f t="shared" si="247"/>
        <v>1+0,0500276224940914i</v>
      </c>
      <c r="U378" s="4">
        <f t="shared" si="257"/>
        <v>1.0012505995066425</v>
      </c>
      <c r="V378" s="4">
        <f t="shared" si="258"/>
        <v>4.9985949294042008E-2</v>
      </c>
      <c r="W378" t="str">
        <f t="shared" si="248"/>
        <v>1-0,434267556372321i</v>
      </c>
      <c r="X378" s="4">
        <f t="shared" si="259"/>
        <v>1.0902239726393779</v>
      </c>
      <c r="Y378" s="4">
        <f t="shared" si="260"/>
        <v>-0.40969409096180698</v>
      </c>
      <c r="Z378" t="str">
        <f t="shared" si="249"/>
        <v>0,993660427230156+0,372341002833628i</v>
      </c>
      <c r="AA378" s="4">
        <f t="shared" si="261"/>
        <v>1.0611309377425426</v>
      </c>
      <c r="AB378" s="4">
        <f t="shared" si="262"/>
        <v>0.35852213918535492</v>
      </c>
      <c r="AC378" s="48" t="str">
        <f t="shared" si="263"/>
        <v>-0,0384212998369088-0,0439787525774715i</v>
      </c>
      <c r="AD378" s="20">
        <f t="shared" si="264"/>
        <v>-24.672039817499165</v>
      </c>
      <c r="AE378" s="44">
        <f t="shared" si="265"/>
        <v>-131.14154258629156</v>
      </c>
      <c r="AF378" t="str">
        <f t="shared" si="250"/>
        <v>-20791,6666666667</v>
      </c>
      <c r="AG378" t="str">
        <f t="shared" si="266"/>
        <v>250138,112470457i</v>
      </c>
      <c r="AH378">
        <f t="shared" si="267"/>
        <v>250138.11247045701</v>
      </c>
      <c r="AI378">
        <f t="shared" si="268"/>
        <v>1.5707963267948966</v>
      </c>
      <c r="AJ378" t="str">
        <f t="shared" si="251"/>
        <v>-1166,15211823868+293,466786174477i</v>
      </c>
      <c r="AK378">
        <f t="shared" si="269"/>
        <v>1202.5113377678135</v>
      </c>
      <c r="AL378">
        <f t="shared" si="270"/>
        <v>2.895057939005615</v>
      </c>
      <c r="AM378" t="str">
        <f t="shared" si="252"/>
        <v>1+403,422747792353i</v>
      </c>
      <c r="AN378">
        <f t="shared" si="271"/>
        <v>403.42398718511089</v>
      </c>
      <c r="AO378">
        <f t="shared" si="272"/>
        <v>1.5683175425484761</v>
      </c>
      <c r="AP378" t="str">
        <f t="shared" si="253"/>
        <v>1+283,356453806534i</v>
      </c>
      <c r="AQ378">
        <f t="shared" si="273"/>
        <v>283.35821836293087</v>
      </c>
      <c r="AR378">
        <f t="shared" si="274"/>
        <v>1.5672672176638858</v>
      </c>
      <c r="AS378" s="42" t="str">
        <f t="shared" si="275"/>
        <v>-1,88228612993149+7,67418210049818i</v>
      </c>
      <c r="AT378">
        <f t="shared" si="276"/>
        <v>17.954355726698243</v>
      </c>
      <c r="AU378" s="44">
        <f t="shared" si="277"/>
        <v>103.78117171484431</v>
      </c>
      <c r="AV378" s="42" t="str">
        <f t="shared" si="254"/>
        <v>0,409820835609222-0,212071455498016i</v>
      </c>
      <c r="AW378" s="20">
        <f t="shared" si="278"/>
        <v>-6.7176840908009305</v>
      </c>
      <c r="AX378" s="44">
        <f t="shared" si="279"/>
        <v>-27.360370871447326</v>
      </c>
    </row>
    <row r="379" spans="14:50" x14ac:dyDescent="0.3">
      <c r="N379" s="8">
        <v>61</v>
      </c>
      <c r="O379" s="35">
        <f t="shared" si="244"/>
        <v>40738.027780411358</v>
      </c>
      <c r="P379" s="34" t="str">
        <f t="shared" si="245"/>
        <v>324,571428571429</v>
      </c>
      <c r="Q379" s="4" t="str">
        <f t="shared" si="246"/>
        <v>1+5850,61891641952i</v>
      </c>
      <c r="R379" s="4">
        <f t="shared" si="255"/>
        <v>5850.6190018805637</v>
      </c>
      <c r="S379" s="4">
        <f t="shared" si="256"/>
        <v>1.5706254047087811</v>
      </c>
      <c r="T379" s="4" t="str">
        <f t="shared" si="247"/>
        <v>1+0,0511929155186708i</v>
      </c>
      <c r="U379" s="4">
        <f t="shared" si="257"/>
        <v>1.0013094999046508</v>
      </c>
      <c r="V379" s="4">
        <f t="shared" si="258"/>
        <v>5.1148265033683582E-2</v>
      </c>
      <c r="W379" t="str">
        <f t="shared" si="248"/>
        <v>1-0,444382947210684i</v>
      </c>
      <c r="X379" s="4">
        <f t="shared" si="259"/>
        <v>1.0942925585836969</v>
      </c>
      <c r="Y379" s="4">
        <f t="shared" si="260"/>
        <v>-0.41817297504702255</v>
      </c>
      <c r="Z379" t="str">
        <f t="shared" si="249"/>
        <v>0,99336165237025+0,38101393893844i</v>
      </c>
      <c r="AA379" s="4">
        <f t="shared" si="261"/>
        <v>1.0639262164572967</v>
      </c>
      <c r="AB379" s="4">
        <f t="shared" si="262"/>
        <v>0.366254253398966</v>
      </c>
      <c r="AC379" s="48" t="str">
        <f t="shared" si="263"/>
        <v>-0,0382334316330411-0,0424565714982323i</v>
      </c>
      <c r="AD379" s="20">
        <f t="shared" si="264"/>
        <v>-24.862025168176896</v>
      </c>
      <c r="AE379" s="44">
        <f t="shared" si="265"/>
        <v>-132.00399669509295</v>
      </c>
      <c r="AF379" t="str">
        <f t="shared" si="250"/>
        <v>-20791,6666666667</v>
      </c>
      <c r="AG379" t="str">
        <f t="shared" si="266"/>
        <v>255964,577593354i</v>
      </c>
      <c r="AH379">
        <f t="shared" si="267"/>
        <v>255964.57759335401</v>
      </c>
      <c r="AI379">
        <f t="shared" si="268"/>
        <v>1.5707963267948966</v>
      </c>
      <c r="AJ379" t="str">
        <f t="shared" si="251"/>
        <v>-1221,15830292581+300,302505759498i</v>
      </c>
      <c r="AK379">
        <f t="shared" si="269"/>
        <v>1257.5409320455844</v>
      </c>
      <c r="AL379">
        <f t="shared" si="270"/>
        <v>2.9004613248466211</v>
      </c>
      <c r="AM379" t="str">
        <f t="shared" si="252"/>
        <v>1+412,819670742561i</v>
      </c>
      <c r="AN379">
        <f t="shared" si="271"/>
        <v>412.82088192337909</v>
      </c>
      <c r="AO379">
        <f t="shared" si="272"/>
        <v>1.5683739663432807</v>
      </c>
      <c r="AP379" t="str">
        <f t="shared" si="253"/>
        <v>1+289,956673497751i</v>
      </c>
      <c r="AQ379">
        <f t="shared" si="273"/>
        <v>289.95839788818222</v>
      </c>
      <c r="AR379">
        <f t="shared" si="274"/>
        <v>1.5673475493508555</v>
      </c>
      <c r="AS379" s="42" t="str">
        <f t="shared" si="275"/>
        <v>-1,8022685613169+7,51888770306365i</v>
      </c>
      <c r="AT379">
        <f t="shared" si="276"/>
        <v>17.765693088111338</v>
      </c>
      <c r="AU379" s="44">
        <f t="shared" si="277"/>
        <v>103.47941602300486</v>
      </c>
      <c r="AV379" s="42" t="str">
        <f t="shared" si="254"/>
        <v>0,388133105175791-0,21095473491903i</v>
      </c>
      <c r="AW379" s="20">
        <f t="shared" si="278"/>
        <v>-7.0963320800655527</v>
      </c>
      <c r="AX379" s="44">
        <f t="shared" si="279"/>
        <v>-28.524580672088039</v>
      </c>
    </row>
    <row r="380" spans="14:50" x14ac:dyDescent="0.3">
      <c r="N380" s="8">
        <v>62</v>
      </c>
      <c r="O380" s="35">
        <f t="shared" si="244"/>
        <v>41686.938347033625</v>
      </c>
      <c r="P380" s="34" t="str">
        <f t="shared" si="245"/>
        <v>324,571428571429</v>
      </c>
      <c r="Q380" s="4" t="str">
        <f t="shared" si="246"/>
        <v>1+5986,89733767733i</v>
      </c>
      <c r="R380" s="4">
        <f t="shared" si="255"/>
        <v>5986.8974211930436</v>
      </c>
      <c r="S380" s="4">
        <f t="shared" si="256"/>
        <v>1.5706292953703878</v>
      </c>
      <c r="T380" s="4" t="str">
        <f t="shared" si="247"/>
        <v>1+0,0523853517046766i</v>
      </c>
      <c r="U380" s="4">
        <f t="shared" si="257"/>
        <v>1.0013711724796268</v>
      </c>
      <c r="V380" s="4">
        <f t="shared" si="258"/>
        <v>5.2337511385562731E-2</v>
      </c>
      <c r="W380" t="str">
        <f t="shared" si="248"/>
        <v>1-0,454733955769762i</v>
      </c>
      <c r="X380" s="4">
        <f t="shared" si="259"/>
        <v>1.098536740637297</v>
      </c>
      <c r="Y380" s="4">
        <f t="shared" si="260"/>
        <v>-0.4267837056502447</v>
      </c>
      <c r="Z380" t="str">
        <f t="shared" si="249"/>
        <v>0,993048796685002+0,389888893676994i</v>
      </c>
      <c r="AA380" s="4">
        <f t="shared" si="261"/>
        <v>1.0668454724139766</v>
      </c>
      <c r="AB380" s="4">
        <f t="shared" si="262"/>
        <v>0.37412648350217692</v>
      </c>
      <c r="AC380" s="48" t="str">
        <f t="shared" si="263"/>
        <v>-0,038038768696709-0,0409625605209068i</v>
      </c>
      <c r="AD380" s="20">
        <f t="shared" si="264"/>
        <v>-25.051667544473851</v>
      </c>
      <c r="AE380" s="44">
        <f t="shared" si="265"/>
        <v>-132.88048489917716</v>
      </c>
      <c r="AF380" t="str">
        <f t="shared" si="250"/>
        <v>-20791,6666666667</v>
      </c>
      <c r="AG380" t="str">
        <f t="shared" si="266"/>
        <v>261926,758523383i</v>
      </c>
      <c r="AH380">
        <f t="shared" si="267"/>
        <v>261926.758523383</v>
      </c>
      <c r="AI380">
        <f t="shared" si="268"/>
        <v>1.5707963267948966</v>
      </c>
      <c r="AJ380" t="str">
        <f t="shared" si="251"/>
        <v>-1278,75684923106+307,297449708045i</v>
      </c>
      <c r="AK380">
        <f t="shared" si="269"/>
        <v>1315.1618919556695</v>
      </c>
      <c r="AL380">
        <f t="shared" si="270"/>
        <v>2.9057550270495431</v>
      </c>
      <c r="AM380" t="str">
        <f t="shared" si="252"/>
        <v>1+422,435476146512i</v>
      </c>
      <c r="AN380">
        <f t="shared" si="271"/>
        <v>422.43665975756682</v>
      </c>
      <c r="AO380">
        <f t="shared" si="272"/>
        <v>1.5684291057906155</v>
      </c>
      <c r="AP380" t="str">
        <f t="shared" si="253"/>
        <v>1+296,710632055288i</v>
      </c>
      <c r="AQ380">
        <f t="shared" si="273"/>
        <v>296.7123171940263</v>
      </c>
      <c r="AR380">
        <f t="shared" si="274"/>
        <v>1.5674260525083952</v>
      </c>
      <c r="AS380" s="42" t="str">
        <f t="shared" si="275"/>
        <v>-1,72546085099853+7,36592667282123i</v>
      </c>
      <c r="AT380">
        <f t="shared" si="276"/>
        <v>17.576547889068937</v>
      </c>
      <c r="AU380" s="44">
        <f t="shared" si="277"/>
        <v>103.18376638600077</v>
      </c>
      <c r="AV380" s="42" t="str">
        <f t="shared" si="254"/>
        <v>0,367361623334361-0,209511486408883i</v>
      </c>
      <c r="AW380" s="20">
        <f t="shared" si="278"/>
        <v>-7.4751196554049182</v>
      </c>
      <c r="AX380" s="44">
        <f t="shared" si="279"/>
        <v>-29.696718513176357</v>
      </c>
    </row>
    <row r="381" spans="14:50" x14ac:dyDescent="0.3">
      <c r="N381" s="8">
        <v>63</v>
      </c>
      <c r="O381" s="35">
        <f t="shared" si="244"/>
        <v>42657.951880159271</v>
      </c>
      <c r="P381" s="34" t="str">
        <f t="shared" si="245"/>
        <v>324,571428571429</v>
      </c>
      <c r="Q381" s="4" t="str">
        <f t="shared" si="246"/>
        <v>1+6126,35009114951i</v>
      </c>
      <c r="R381" s="4">
        <f t="shared" si="255"/>
        <v>6126.3501727641733</v>
      </c>
      <c r="S381" s="4">
        <f t="shared" si="256"/>
        <v>1.5706330974697291</v>
      </c>
      <c r="T381" s="4" t="str">
        <f t="shared" si="247"/>
        <v>1+0,0536055632975582i</v>
      </c>
      <c r="U381" s="4">
        <f t="shared" si="257"/>
        <v>1.0014357475227498</v>
      </c>
      <c r="V381" s="4">
        <f t="shared" si="258"/>
        <v>5.3554305440527063E-2</v>
      </c>
      <c r="W381" t="str">
        <f t="shared" si="248"/>
        <v>1-0,465326070291304i</v>
      </c>
      <c r="X381" s="4">
        <f t="shared" si="259"/>
        <v>1.1029634407779561</v>
      </c>
      <c r="Y381" s="4">
        <f t="shared" si="260"/>
        <v>-0.43552573973595615</v>
      </c>
      <c r="Z381" t="str">
        <f t="shared" si="249"/>
        <v>0,99272119656556+0,398970572667764i</v>
      </c>
      <c r="AA381" s="4">
        <f t="shared" si="261"/>
        <v>1.0698938694867828</v>
      </c>
      <c r="AB381" s="4">
        <f t="shared" si="262"/>
        <v>0.38213969914030887</v>
      </c>
      <c r="AC381" s="48" t="str">
        <f t="shared" si="263"/>
        <v>-0,0378371578342445-0,0394962335941765i</v>
      </c>
      <c r="AD381" s="20">
        <f t="shared" si="264"/>
        <v>-25.240960426787382</v>
      </c>
      <c r="AE381" s="44">
        <f t="shared" si="265"/>
        <v>-133.77099067340058</v>
      </c>
      <c r="AF381" t="str">
        <f t="shared" si="250"/>
        <v>-20791,6666666667</v>
      </c>
      <c r="AG381" t="str">
        <f t="shared" si="266"/>
        <v>268027,816487791i</v>
      </c>
      <c r="AH381">
        <f t="shared" si="267"/>
        <v>268027.81648779102</v>
      </c>
      <c r="AI381">
        <f t="shared" si="268"/>
        <v>1.5707963267948966</v>
      </c>
      <c r="AJ381" t="str">
        <f t="shared" si="251"/>
        <v>-1339,06993139351+314,455326831989i</v>
      </c>
      <c r="AK381">
        <f t="shared" si="269"/>
        <v>1375.4964317420938</v>
      </c>
      <c r="AL381">
        <f t="shared" si="270"/>
        <v>2.9109407160710608</v>
      </c>
      <c r="AM381" t="str">
        <f t="shared" si="252"/>
        <v>1+432,275262431509i</v>
      </c>
      <c r="AN381">
        <f t="shared" si="271"/>
        <v>432.27641910035993</v>
      </c>
      <c r="AO381">
        <f t="shared" si="272"/>
        <v>1.568482990124803</v>
      </c>
      <c r="AP381" t="str">
        <f t="shared" si="253"/>
        <v>1+303,62191051737i</v>
      </c>
      <c r="AQ381">
        <f t="shared" si="273"/>
        <v>303.62355729787805</v>
      </c>
      <c r="AR381">
        <f t="shared" si="274"/>
        <v>1.5675027687560454</v>
      </c>
      <c r="AS381" s="42" t="str">
        <f t="shared" si="275"/>
        <v>-1,65175029214394+7,21531663412606i</v>
      </c>
      <c r="AT381">
        <f t="shared" si="276"/>
        <v>17.386939537356181</v>
      </c>
      <c r="AU381" s="44">
        <f t="shared" si="277"/>
        <v>102.89413115334173</v>
      </c>
      <c r="AV381" s="42" t="str">
        <f t="shared" si="254"/>
        <v>0,347475367744-0,207769158931711i</v>
      </c>
      <c r="AW381" s="20">
        <f t="shared" si="278"/>
        <v>-7.8540208894311947</v>
      </c>
      <c r="AX381" s="44">
        <f t="shared" si="279"/>
        <v>-30.876859520058812</v>
      </c>
    </row>
    <row r="382" spans="14:50" x14ac:dyDescent="0.3">
      <c r="N382" s="8">
        <v>64</v>
      </c>
      <c r="O382" s="35">
        <f t="shared" si="244"/>
        <v>43651.583224016598</v>
      </c>
      <c r="P382" s="34" t="str">
        <f t="shared" si="245"/>
        <v>324,571428571429</v>
      </c>
      <c r="Q382" s="4" t="str">
        <f t="shared" si="246"/>
        <v>1+6269,05111653184i</v>
      </c>
      <c r="R382" s="4">
        <f t="shared" si="255"/>
        <v>6269.0511962887267</v>
      </c>
      <c r="S382" s="4">
        <f t="shared" si="256"/>
        <v>1.5706368130227275</v>
      </c>
      <c r="T382" s="4" t="str">
        <f t="shared" si="247"/>
        <v>1+0,0548541972696536i</v>
      </c>
      <c r="U382" s="4">
        <f t="shared" si="257"/>
        <v>1.0015033614312525</v>
      </c>
      <c r="V382" s="4">
        <f t="shared" si="258"/>
        <v>5.479927793815427E-2</v>
      </c>
      <c r="W382" t="str">
        <f t="shared" si="248"/>
        <v>1-0,476164906854632i</v>
      </c>
      <c r="X382" s="4">
        <f t="shared" si="259"/>
        <v>1.1075798023257197</v>
      </c>
      <c r="Y382" s="4">
        <f t="shared" si="260"/>
        <v>-0.4443983666681513</v>
      </c>
      <c r="Z382" t="str">
        <f t="shared" si="249"/>
        <v>0,992378157128147+0,408263791137161i</v>
      </c>
      <c r="AA382" s="4">
        <f t="shared" si="261"/>
        <v>1.0730767586238854</v>
      </c>
      <c r="AB382" s="4">
        <f t="shared" si="262"/>
        <v>0.39029466715693428</v>
      </c>
      <c r="AC382" s="48" t="str">
        <f t="shared" si="263"/>
        <v>-0,0376284498841229-0,0380571316441809i</v>
      </c>
      <c r="AD382" s="20">
        <f t="shared" si="264"/>
        <v>-25.429897590866794</v>
      </c>
      <c r="AE382" s="44">
        <f t="shared" si="265"/>
        <v>-134.67548121500778</v>
      </c>
      <c r="AF382" t="str">
        <f t="shared" si="250"/>
        <v>-20791,6666666667</v>
      </c>
      <c r="AG382" t="str">
        <f t="shared" si="266"/>
        <v>274270,986348268i</v>
      </c>
      <c r="AH382">
        <f t="shared" si="267"/>
        <v>274270.98634826799</v>
      </c>
      <c r="AI382">
        <f t="shared" si="268"/>
        <v>1.5707963267948966</v>
      </c>
      <c r="AJ382" t="str">
        <f t="shared" si="251"/>
        <v>-1402,22548154675+321,779932332529i</v>
      </c>
      <c r="AK382">
        <f t="shared" si="269"/>
        <v>1438.6725221366196</v>
      </c>
      <c r="AL382">
        <f t="shared" si="270"/>
        <v>2.9160200731263464</v>
      </c>
      <c r="AM382" t="str">
        <f t="shared" si="252"/>
        <v>1+442,344246782486i</v>
      </c>
      <c r="AN382">
        <f t="shared" si="271"/>
        <v>442.34537712240746</v>
      </c>
      <c r="AO382">
        <f t="shared" si="272"/>
        <v>1.5685356479147781</v>
      </c>
      <c r="AP382" t="str">
        <f t="shared" si="253"/>
        <v>1+310,694173335318i</v>
      </c>
      <c r="AQ382">
        <f t="shared" si="273"/>
        <v>310.69578263072162</v>
      </c>
      <c r="AR382">
        <f t="shared" si="274"/>
        <v>1.567577738766162</v>
      </c>
      <c r="AS382" s="42" t="str">
        <f t="shared" si="275"/>
        <v>-1,58102677995404+7,06707103011431i</v>
      </c>
      <c r="AT382">
        <f t="shared" si="276"/>
        <v>17.196886755070985</v>
      </c>
      <c r="AU382" s="44">
        <f t="shared" si="277"/>
        <v>102.61041796572772</v>
      </c>
      <c r="AV382" s="42" t="str">
        <f t="shared" si="254"/>
        <v>0,328444039486794-0,205753583786507i</v>
      </c>
      <c r="AW382" s="20">
        <f t="shared" si="278"/>
        <v>-8.2330108357958096</v>
      </c>
      <c r="AX382" s="44">
        <f t="shared" si="279"/>
        <v>-32.065063249280094</v>
      </c>
    </row>
    <row r="383" spans="14:50" x14ac:dyDescent="0.3">
      <c r="N383" s="8">
        <v>65</v>
      </c>
      <c r="O383" s="35">
        <f t="shared" si="244"/>
        <v>44668.359215096389</v>
      </c>
      <c r="P383" s="34" t="str">
        <f t="shared" si="245"/>
        <v>324,571428571429</v>
      </c>
      <c r="Q383" s="4" t="str">
        <f t="shared" si="246"/>
        <v>1+6415,07607579689i</v>
      </c>
      <c r="R383" s="4">
        <f t="shared" si="255"/>
        <v>6415.0761537382878</v>
      </c>
      <c r="S383" s="4">
        <f t="shared" si="256"/>
        <v>1.5706404439994184</v>
      </c>
      <c r="T383" s="4" t="str">
        <f t="shared" si="247"/>
        <v>1+0,0561319156632228i</v>
      </c>
      <c r="U383" s="4">
        <f t="shared" si="257"/>
        <v>1.0015741569928924</v>
      </c>
      <c r="V383" s="4">
        <f t="shared" si="258"/>
        <v>5.6073073533367226E-2</v>
      </c>
      <c r="W383" t="str">
        <f t="shared" si="248"/>
        <v>1-0,487256212354365i</v>
      </c>
      <c r="X383" s="4">
        <f t="shared" si="259"/>
        <v>1.1123931932899993</v>
      </c>
      <c r="Y383" s="4">
        <f t="shared" si="260"/>
        <v>-0.45340070194679727</v>
      </c>
      <c r="Z383" t="str">
        <f t="shared" si="249"/>
        <v>0,992018950740124+0,417773476472632i</v>
      </c>
      <c r="AA383" s="4">
        <f t="shared" si="261"/>
        <v>1.0763996824003459</v>
      </c>
      <c r="AB383" s="4">
        <f t="shared" si="262"/>
        <v>0.39859204498704826</v>
      </c>
      <c r="AC383" s="48" t="str">
        <f t="shared" si="263"/>
        <v>-0,0374125004827475-0,0366448223869884i</v>
      </c>
      <c r="AD383" s="20">
        <f t="shared" si="264"/>
        <v>-25.618473145292363</v>
      </c>
      <c r="AE383" s="44">
        <f t="shared" si="265"/>
        <v>-135.59390669099875</v>
      </c>
      <c r="AF383" t="str">
        <f t="shared" si="250"/>
        <v>-20791,6666666667</v>
      </c>
      <c r="AG383" t="str">
        <f t="shared" si="266"/>
        <v>280659,578316114i</v>
      </c>
      <c r="AH383">
        <f t="shared" si="267"/>
        <v>280659.57831611403</v>
      </c>
      <c r="AI383">
        <f t="shared" si="268"/>
        <v>1.5707963267948966</v>
      </c>
      <c r="AJ383" t="str">
        <f t="shared" si="251"/>
        <v>-1468,35746108008+329,275149812452i</v>
      </c>
      <c r="AK383">
        <f t="shared" si="269"/>
        <v>1504.8241617523131</v>
      </c>
      <c r="AL383">
        <f t="shared" si="270"/>
        <v>2.9209947873228224</v>
      </c>
      <c r="AM383" t="str">
        <f t="shared" si="252"/>
        <v>1+452,647767908228i</v>
      </c>
      <c r="AN383">
        <f t="shared" si="271"/>
        <v>452.64887251853509</v>
      </c>
      <c r="AO383">
        <f t="shared" si="272"/>
        <v>1.5685871070792294</v>
      </c>
      <c r="AP383" t="str">
        <f t="shared" si="253"/>
        <v>1+317,931170316494i</v>
      </c>
      <c r="AQ383">
        <f t="shared" si="273"/>
        <v>317.93274298004525</v>
      </c>
      <c r="AR383">
        <f t="shared" si="274"/>
        <v>1.5676510022854639</v>
      </c>
      <c r="AS383" s="42" t="str">
        <f t="shared" si="275"/>
        <v>-1,51318287378162+6,92119937989215i</v>
      </c>
      <c r="AT383">
        <f t="shared" si="276"/>
        <v>17.006407594834592</v>
      </c>
      <c r="AU383" s="44">
        <f t="shared" si="277"/>
        <v>102.33253392137442</v>
      </c>
      <c r="AV383" s="42" t="str">
        <f t="shared" si="254"/>
        <v>0,310238076976922-0,203489057492647i</v>
      </c>
      <c r="AW383" s="20">
        <f t="shared" si="278"/>
        <v>-8.6120655504577677</v>
      </c>
      <c r="AX383" s="44">
        <f t="shared" si="279"/>
        <v>-33.261372769624401</v>
      </c>
    </row>
    <row r="384" spans="14:50" x14ac:dyDescent="0.3">
      <c r="N384" s="8">
        <v>66</v>
      </c>
      <c r="O384" s="35">
        <f t="shared" ref="O384:O418" si="280">10^(4+(N384/100))</f>
        <v>45708.818961487581</v>
      </c>
      <c r="P384" s="34" t="str">
        <f t="shared" si="245"/>
        <v>324,571428571429</v>
      </c>
      <c r="Q384" s="4" t="str">
        <f t="shared" si="246"/>
        <v>1+6564,50239331086i</v>
      </c>
      <c r="R384" s="4">
        <f t="shared" si="255"/>
        <v>6564.502469478095</v>
      </c>
      <c r="S384" s="4">
        <f t="shared" si="256"/>
        <v>1.5706439923249933</v>
      </c>
      <c r="T384" s="4" t="str">
        <f t="shared" si="247"/>
        <v>1+0,05743939594147i</v>
      </c>
      <c r="U384" s="4">
        <f t="shared" si="257"/>
        <v>1.0016482836835099</v>
      </c>
      <c r="V384" s="4">
        <f t="shared" si="258"/>
        <v>5.7376351065656188E-2</v>
      </c>
      <c r="W384" t="str">
        <f t="shared" si="248"/>
        <v>1-0,498605867547483i</v>
      </c>
      <c r="X384" s="4">
        <f t="shared" si="259"/>
        <v>1.1174112095163438</v>
      </c>
      <c r="Y384" s="4">
        <f t="shared" si="260"/>
        <v>-0.46253168120129012</v>
      </c>
      <c r="Z384" t="str">
        <f t="shared" si="249"/>
        <v>0,991642815476584+0,427504670835211i</v>
      </c>
      <c r="AA384" s="4">
        <f t="shared" si="261"/>
        <v>1.0798683795130999</v>
      </c>
      <c r="AB384" s="4">
        <f t="shared" si="262"/>
        <v>0.40703237397450659</v>
      </c>
      <c r="AC384" s="48" t="str">
        <f t="shared" si="263"/>
        <v>-0,0371891708695078-0,0352589001042317i</v>
      </c>
      <c r="AD384" s="20">
        <f t="shared" si="264"/>
        <v>-25.806681569953817</v>
      </c>
      <c r="AE384" s="44">
        <f t="shared" si="265"/>
        <v>-136.5261994957313</v>
      </c>
      <c r="AF384" t="str">
        <f t="shared" si="250"/>
        <v>-20791,6666666667</v>
      </c>
      <c r="AG384" t="str">
        <f t="shared" si="266"/>
        <v>287196,97970735i</v>
      </c>
      <c r="AH384">
        <f t="shared" si="267"/>
        <v>287196.97970735002</v>
      </c>
      <c r="AI384">
        <f t="shared" si="268"/>
        <v>1.5707963267948966</v>
      </c>
      <c r="AJ384" t="str">
        <f t="shared" si="251"/>
        <v>-1537,60614478853+336,944953335278i</v>
      </c>
      <c r="AK384">
        <f t="shared" si="269"/>
        <v>1574.0916612667631</v>
      </c>
      <c r="AL384">
        <f t="shared" si="270"/>
        <v>2.9258665529730745</v>
      </c>
      <c r="AM384" t="str">
        <f t="shared" si="252"/>
        <v>1+463,191288872014i</v>
      </c>
      <c r="AN384">
        <f t="shared" si="271"/>
        <v>463.19236833838005</v>
      </c>
      <c r="AO384">
        <f t="shared" si="272"/>
        <v>1.5686373949013965</v>
      </c>
      <c r="AP384" t="str">
        <f t="shared" si="253"/>
        <v>1+325,336738612486i</v>
      </c>
      <c r="AQ384">
        <f t="shared" si="273"/>
        <v>325.33827547801542</v>
      </c>
      <c r="AR384">
        <f t="shared" si="274"/>
        <v>1.5677225981560912</v>
      </c>
      <c r="AS384" s="42" t="str">
        <f t="shared" si="275"/>
        <v>-1,44811384503896+6,77770752723765i</v>
      </c>
      <c r="AT384">
        <f t="shared" si="276"/>
        <v>16.815519456340297</v>
      </c>
      <c r="AU384" s="44">
        <f t="shared" si="277"/>
        <v>102.06038573202672</v>
      </c>
      <c r="AV384" s="42" t="str">
        <f t="shared" si="254"/>
        <v>0,292828665860225-0,200998421932207i</v>
      </c>
      <c r="AW384" s="20">
        <f t="shared" si="278"/>
        <v>-8.9911621136135267</v>
      </c>
      <c r="AX384" s="44">
        <f t="shared" si="279"/>
        <v>-34.465813763704652</v>
      </c>
    </row>
    <row r="385" spans="14:50" x14ac:dyDescent="0.3">
      <c r="N385" s="8">
        <v>67</v>
      </c>
      <c r="O385" s="35">
        <f t="shared" si="280"/>
        <v>46773.514128719893</v>
      </c>
      <c r="P385" s="34" t="str">
        <f t="shared" si="245"/>
        <v>324,571428571429</v>
      </c>
      <c r="Q385" s="4" t="str">
        <f t="shared" si="246"/>
        <v>1+6717,40929688526i</v>
      </c>
      <c r="R385" s="4">
        <f t="shared" si="255"/>
        <v>6717.4093713187176</v>
      </c>
      <c r="S385" s="4">
        <f t="shared" si="256"/>
        <v>1.5706474598808207</v>
      </c>
      <c r="T385" s="4" t="str">
        <f t="shared" si="247"/>
        <v>1+0,058777331347746i</v>
      </c>
      <c r="U385" s="4">
        <f t="shared" si="257"/>
        <v>1.0017258979782657</v>
      </c>
      <c r="V385" s="4">
        <f t="shared" si="258"/>
        <v>5.8709783830724768E-2</v>
      </c>
      <c r="W385" t="str">
        <f t="shared" si="248"/>
        <v>1-0,510219890171406i</v>
      </c>
      <c r="X385" s="4">
        <f t="shared" si="259"/>
        <v>1.1226416776186967</v>
      </c>
      <c r="Y385" s="4">
        <f t="shared" si="260"/>
        <v>-0.47179005449160161</v>
      </c>
      <c r="Z385" t="str">
        <f t="shared" si="249"/>
        <v>0,991248953504202+0,437462533832963i</v>
      </c>
      <c r="AA385" s="4">
        <f t="shared" si="261"/>
        <v>1.0834887892039917</v>
      </c>
      <c r="AB385" s="4">
        <f t="shared" si="262"/>
        <v>0.41561607264068728</v>
      </c>
      <c r="AC385" s="48" t="str">
        <f t="shared" si="263"/>
        <v>-0,036958328729336-0,0338989853766799i</v>
      </c>
      <c r="AD385" s="20">
        <f t="shared" si="264"/>
        <v>-25.994517755329124</v>
      </c>
      <c r="AE385" s="44">
        <f t="shared" si="265"/>
        <v>-137.47227352321823</v>
      </c>
      <c r="AF385" t="str">
        <f t="shared" si="250"/>
        <v>-20791,6666666667</v>
      </c>
      <c r="AG385" t="str">
        <f t="shared" si="266"/>
        <v>293886,65673873i</v>
      </c>
      <c r="AH385">
        <f t="shared" si="267"/>
        <v>293886.65673872997</v>
      </c>
      <c r="AI385">
        <f t="shared" si="268"/>
        <v>1.5707963267948966</v>
      </c>
      <c r="AJ385" t="str">
        <f t="shared" si="251"/>
        <v>-1610,11841841461+344,793409532356i</v>
      </c>
      <c r="AK385">
        <f t="shared" si="269"/>
        <v>1646.6219409976632</v>
      </c>
      <c r="AL385">
        <f t="shared" si="270"/>
        <v>2.9306370670808244</v>
      </c>
      <c r="AM385" t="str">
        <f t="shared" si="252"/>
        <v>1+473,980399988223i</v>
      </c>
      <c r="AN385">
        <f t="shared" si="271"/>
        <v>473.98145488299002</v>
      </c>
      <c r="AO385">
        <f t="shared" si="272"/>
        <v>1.56868653804353</v>
      </c>
      <c r="AP385" t="str">
        <f t="shared" si="253"/>
        <v>1+332,914804753633i</v>
      </c>
      <c r="AQ385">
        <f t="shared" si="273"/>
        <v>332.91630663599165</v>
      </c>
      <c r="AR385">
        <f t="shared" si="274"/>
        <v>1.5677925643361841</v>
      </c>
      <c r="AS385" s="42" t="str">
        <f t="shared" si="275"/>
        <v>-1,38571771206332+6,63659788051075i</v>
      </c>
      <c r="AT385">
        <f t="shared" si="276"/>
        <v>16.624239103156583</v>
      </c>
      <c r="AU385" s="44">
        <f t="shared" si="277"/>
        <v>101.79387986900925</v>
      </c>
      <c r="AV385" s="42" t="str">
        <f t="shared" si="254"/>
        <v>0,276187745230838-0,19830314165489i</v>
      </c>
      <c r="AW385" s="20">
        <f t="shared" si="278"/>
        <v>-9.3702786521725461</v>
      </c>
      <c r="AX385" s="44">
        <f t="shared" si="279"/>
        <v>-35.678393654209003</v>
      </c>
    </row>
    <row r="386" spans="14:50" x14ac:dyDescent="0.3">
      <c r="N386" s="8">
        <v>68</v>
      </c>
      <c r="O386" s="35">
        <f t="shared" si="280"/>
        <v>47863.009232263823</v>
      </c>
      <c r="P386" s="34" t="str">
        <f t="shared" si="245"/>
        <v>324,571428571429</v>
      </c>
      <c r="Q386" s="4" t="str">
        <f t="shared" si="246"/>
        <v>1+6873,87785978425i</v>
      </c>
      <c r="R386" s="4">
        <f t="shared" si="255"/>
        <v>6873.8779325233945</v>
      </c>
      <c r="S386" s="4">
        <f t="shared" si="256"/>
        <v>1.5706508485054442</v>
      </c>
      <c r="T386" s="4" t="str">
        <f t="shared" si="247"/>
        <v>1+0,0601464312731122i</v>
      </c>
      <c r="U386" s="4">
        <f t="shared" si="257"/>
        <v>1.0018071636771675</v>
      </c>
      <c r="V386" s="4">
        <f t="shared" si="258"/>
        <v>6.0074059854340771E-2</v>
      </c>
      <c r="W386" t="str">
        <f t="shared" si="248"/>
        <v>1-0,522104438134655i</v>
      </c>
      <c r="X386" s="4">
        <f t="shared" si="259"/>
        <v>1.1280926576837134</v>
      </c>
      <c r="Y386" s="4">
        <f t="shared" si="260"/>
        <v>-0.48117438096949455</v>
      </c>
      <c r="Z386" t="str">
        <f t="shared" si="249"/>
        <v>0,990836529388929+0,447652345256652i</v>
      </c>
      <c r="AA386" s="4">
        <f t="shared" si="261"/>
        <v>1.0872670555964061</v>
      </c>
      <c r="AB386" s="4">
        <f t="shared" si="262"/>
        <v>0.42434342993409185</v>
      </c>
      <c r="AC386" s="48" t="str">
        <f t="shared" si="263"/>
        <v>-0,036719849070442-0,0325647247704562i</v>
      </c>
      <c r="AD386" s="20">
        <f t="shared" si="264"/>
        <v>-26.181977042333301</v>
      </c>
      <c r="AE386" s="44">
        <f t="shared" si="265"/>
        <v>-138.43202345883452</v>
      </c>
      <c r="AF386" t="str">
        <f t="shared" si="250"/>
        <v>-20791,6666666667</v>
      </c>
      <c r="AG386" t="str">
        <f t="shared" si="266"/>
        <v>300732,156365561i</v>
      </c>
      <c r="AH386">
        <f t="shared" si="267"/>
        <v>300732.15636556101</v>
      </c>
      <c r="AI386">
        <f t="shared" si="268"/>
        <v>1.5707963267948966</v>
      </c>
      <c r="AJ386" t="str">
        <f t="shared" si="251"/>
        <v>-1686,04809021255+352,824679759047i</v>
      </c>
      <c r="AK386">
        <f t="shared" si="269"/>
        <v>1722.5688425013561</v>
      </c>
      <c r="AL386">
        <f t="shared" si="270"/>
        <v>2.9353080269935936</v>
      </c>
      <c r="AM386" t="str">
        <f t="shared" si="252"/>
        <v>1+485,020821786376i</v>
      </c>
      <c r="AN386">
        <f t="shared" si="271"/>
        <v>485.02185266885817</v>
      </c>
      <c r="AO386">
        <f t="shared" si="272"/>
        <v>1.5687345625610247</v>
      </c>
      <c r="AP386" t="str">
        <f t="shared" si="253"/>
        <v>1+340,669386730907i</v>
      </c>
      <c r="AQ386">
        <f t="shared" si="273"/>
        <v>340.67085442639831</v>
      </c>
      <c r="AR386">
        <f t="shared" si="274"/>
        <v>1.5678609379199961</v>
      </c>
      <c r="AS386" s="42" t="str">
        <f t="shared" si="275"/>
        <v>-1,32589526305896+6,49786964355243i</v>
      </c>
      <c r="AT386">
        <f t="shared" si="276"/>
        <v>16.432582679708045</v>
      </c>
      <c r="AU386" s="44">
        <f t="shared" si="277"/>
        <v>101.53292269968105</v>
      </c>
      <c r="AV386" s="42" t="str">
        <f t="shared" si="254"/>
        <v>0,260288010479326-0,195423378274685i</v>
      </c>
      <c r="AW386" s="20">
        <f t="shared" si="278"/>
        <v>-9.7493943626252708</v>
      </c>
      <c r="AX386" s="44">
        <f t="shared" si="279"/>
        <v>-36.899100759153463</v>
      </c>
    </row>
    <row r="387" spans="14:50" x14ac:dyDescent="0.3">
      <c r="N387" s="8">
        <v>69</v>
      </c>
      <c r="O387" s="35">
        <f t="shared" si="280"/>
        <v>48977.881936844598</v>
      </c>
      <c r="P387" s="34" t="str">
        <f t="shared" si="245"/>
        <v>324,571428571429</v>
      </c>
      <c r="Q387" s="4" t="str">
        <f t="shared" si="246"/>
        <v>1+7033,99104371104i</v>
      </c>
      <c r="R387" s="4">
        <f t="shared" si="255"/>
        <v>7033.9911147944395</v>
      </c>
      <c r="S387" s="4">
        <f t="shared" si="256"/>
        <v>1.5706541599955577</v>
      </c>
      <c r="T387" s="4" t="str">
        <f t="shared" si="247"/>
        <v>1+0,0615474216324716i</v>
      </c>
      <c r="U387" s="4">
        <f t="shared" si="257"/>
        <v>1.0018922522455223</v>
      </c>
      <c r="V387" s="4">
        <f t="shared" si="258"/>
        <v>6.1469882168169544E-2</v>
      </c>
      <c r="W387" t="str">
        <f t="shared" si="248"/>
        <v>1-0,534265812781872i</v>
      </c>
      <c r="X387" s="4">
        <f t="shared" si="259"/>
        <v>1.133772445734802</v>
      </c>
      <c r="Y387" s="4">
        <f t="shared" si="260"/>
        <v>-0.49068302395375391</v>
      </c>
      <c r="Z387" t="str">
        <f t="shared" si="249"/>
        <v>0,990404668323922+0,458079507879176i</v>
      </c>
      <c r="AA387" s="4">
        <f t="shared" si="261"/>
        <v>1.0912095319308046</v>
      </c>
      <c r="AB387" s="4">
        <f t="shared" si="262"/>
        <v>0.43321459849370214</v>
      </c>
      <c r="AC387" s="48" t="str">
        <f t="shared" si="263"/>
        <v>-0,0364736151343272-0,0312557904705556i</v>
      </c>
      <c r="AD387" s="20">
        <f t="shared" si="264"/>
        <v>-26.369055262480817</v>
      </c>
      <c r="AE387" s="44">
        <f t="shared" si="265"/>
        <v>-139.40532409541879</v>
      </c>
      <c r="AF387" t="str">
        <f t="shared" si="250"/>
        <v>-20791,6666666667</v>
      </c>
      <c r="AG387" t="str">
        <f t="shared" si="266"/>
        <v>307737,108162358i</v>
      </c>
      <c r="AH387">
        <f t="shared" si="267"/>
        <v>307737.108162358</v>
      </c>
      <c r="AI387">
        <f t="shared" si="268"/>
        <v>1.5707963267948966</v>
      </c>
      <c r="AJ387" t="str">
        <f t="shared" si="251"/>
        <v>-1765,5562171963+361,043022301134i</v>
      </c>
      <c r="AK387">
        <f t="shared" si="269"/>
        <v>1802.0934548554483</v>
      </c>
      <c r="AL387">
        <f t="shared" si="270"/>
        <v>2.9398811282156774</v>
      </c>
      <c r="AM387" t="str">
        <f t="shared" si="252"/>
        <v>1+496,318408044251i</v>
      </c>
      <c r="AN387">
        <f t="shared" si="271"/>
        <v>496.31941546103116</v>
      </c>
      <c r="AO387">
        <f t="shared" si="272"/>
        <v>1.5687814939162286</v>
      </c>
      <c r="AP387" t="str">
        <f t="shared" si="253"/>
        <v>1+348,604596126319i</v>
      </c>
      <c r="AQ387">
        <f t="shared" si="273"/>
        <v>348.60603041312118</v>
      </c>
      <c r="AR387">
        <f t="shared" si="274"/>
        <v>1.5679277551575477</v>
      </c>
      <c r="AS387" s="42" t="str">
        <f t="shared" si="275"/>
        <v>-1,26855006818021+6,36151903743116i</v>
      </c>
      <c r="AT387">
        <f t="shared" si="276"/>
        <v>16.24056572836356</v>
      </c>
      <c r="AU387" s="44">
        <f t="shared" si="277"/>
        <v>101.27742061466</v>
      </c>
      <c r="AV387" s="42" t="str">
        <f t="shared" si="254"/>
        <v>0,245102913073828-0,19237806190851i</v>
      </c>
      <c r="AW387" s="20">
        <f t="shared" si="278"/>
        <v>-10.128489534117268</v>
      </c>
      <c r="AX387" s="44">
        <f t="shared" si="279"/>
        <v>-38.12790348075881</v>
      </c>
    </row>
    <row r="388" spans="14:50" x14ac:dyDescent="0.3">
      <c r="N388" s="8">
        <v>70</v>
      </c>
      <c r="O388" s="35">
        <f t="shared" si="280"/>
        <v>50118.723362727294</v>
      </c>
      <c r="P388" s="34" t="str">
        <f t="shared" si="245"/>
        <v>324,571428571429</v>
      </c>
      <c r="Q388" s="4" t="str">
        <f t="shared" si="246"/>
        <v>1+7197,83374279511i</v>
      </c>
      <c r="R388" s="4">
        <f t="shared" si="255"/>
        <v>7197.8338122604546</v>
      </c>
      <c r="S388" s="4">
        <f t="shared" si="256"/>
        <v>1.5706573961069563</v>
      </c>
      <c r="T388" s="4" t="str">
        <f t="shared" si="247"/>
        <v>1+0,0629810452494572i</v>
      </c>
      <c r="U388" s="4">
        <f t="shared" si="257"/>
        <v>1.0019813431699784</v>
      </c>
      <c r="V388" s="4">
        <f t="shared" si="258"/>
        <v>6.2897969087323674E-2</v>
      </c>
      <c r="W388" t="str">
        <f t="shared" si="248"/>
        <v>1-0,546710462234872i</v>
      </c>
      <c r="X388" s="4">
        <f t="shared" si="259"/>
        <v>1.1396895759447252</v>
      </c>
      <c r="Y388" s="4">
        <f t="shared" si="260"/>
        <v>-0.50031414647426065</v>
      </c>
      <c r="Z388" t="str">
        <f t="shared" si="249"/>
        <v>0,989952454273962+0,468749550320178i</v>
      </c>
      <c r="AA388" s="4">
        <f t="shared" si="261"/>
        <v>1.0953227846842273</v>
      </c>
      <c r="AB388" s="4">
        <f t="shared" si="262"/>
        <v>0.44222958796168049</v>
      </c>
      <c r="AC388" s="48" t="str">
        <f t="shared" si="263"/>
        <v>-0,0362195193345559-0,0299718798563589i</v>
      </c>
      <c r="AD388" s="20">
        <f t="shared" si="264"/>
        <v>-26.555748778074712</v>
      </c>
      <c r="AE388" s="44">
        <f t="shared" si="265"/>
        <v>-140.39202967896722</v>
      </c>
      <c r="AF388" t="str">
        <f t="shared" si="250"/>
        <v>-20791,6666666667</v>
      </c>
      <c r="AG388" t="str">
        <f t="shared" si="266"/>
        <v>314905,226247286i</v>
      </c>
      <c r="AH388">
        <f t="shared" si="267"/>
        <v>314905.22624728602</v>
      </c>
      <c r="AI388">
        <f t="shared" si="268"/>
        <v>1.5707963267948966</v>
      </c>
      <c r="AJ388" t="str">
        <f t="shared" si="251"/>
        <v>-1848,81144676306+369,452794632615i</v>
      </c>
      <c r="AK388">
        <f t="shared" si="269"/>
        <v>1885.3644563171251</v>
      </c>
      <c r="AL388">
        <f t="shared" si="270"/>
        <v>2.9443580623748895</v>
      </c>
      <c r="AM388" t="str">
        <f t="shared" si="252"/>
        <v>1+507,879148891623i</v>
      </c>
      <c r="AN388">
        <f t="shared" si="271"/>
        <v>507.88013337684248</v>
      </c>
      <c r="AO388">
        <f t="shared" si="272"/>
        <v>1.56882735699194</v>
      </c>
      <c r="AP388" t="str">
        <f t="shared" si="253"/>
        <v>1+356,724640292926i</v>
      </c>
      <c r="AQ388">
        <f t="shared" si="273"/>
        <v>356.72604193150443</v>
      </c>
      <c r="AR388">
        <f t="shared" si="274"/>
        <v>1.5679930514738349</v>
      </c>
      <c r="AS388" s="42" t="str">
        <f t="shared" si="275"/>
        <v>-1,21358848176634+6,22753951296351i</v>
      </c>
      <c r="AT388">
        <f t="shared" si="276"/>
        <v>16.04820320656798</v>
      </c>
      <c r="AU388" s="44">
        <f t="shared" si="277"/>
        <v>101.02728014619393</v>
      </c>
      <c r="AV388" s="42" t="str">
        <f t="shared" si="254"/>
        <v>0,2306066575628-0,189184959625931i</v>
      </c>
      <c r="AW388" s="20">
        <f t="shared" si="278"/>
        <v>-10.507545571506745</v>
      </c>
      <c r="AX388" s="44">
        <f t="shared" si="279"/>
        <v>-39.364749532773338</v>
      </c>
    </row>
    <row r="389" spans="14:50" x14ac:dyDescent="0.3">
      <c r="N389" s="8">
        <v>71</v>
      </c>
      <c r="O389" s="35">
        <f t="shared" si="280"/>
        <v>51286.138399136544</v>
      </c>
      <c r="P389" s="34" t="str">
        <f t="shared" si="245"/>
        <v>324,571428571429</v>
      </c>
      <c r="Q389" s="4" t="str">
        <f t="shared" si="246"/>
        <v>1+7365,4928286042i</v>
      </c>
      <c r="R389" s="4">
        <f t="shared" si="255"/>
        <v>7365.4928964883211</v>
      </c>
      <c r="S389" s="4">
        <f t="shared" si="256"/>
        <v>1.5706605585554692</v>
      </c>
      <c r="T389" s="4" t="str">
        <f t="shared" si="247"/>
        <v>1+0,0644480622502868i</v>
      </c>
      <c r="U389" s="4">
        <f t="shared" si="257"/>
        <v>1.0020746243308514</v>
      </c>
      <c r="V389" s="4">
        <f t="shared" si="258"/>
        <v>6.4359054489350295E-2</v>
      </c>
      <c r="W389" t="str">
        <f t="shared" si="248"/>
        <v>1-0,559444984811517i</v>
      </c>
      <c r="X389" s="4">
        <f t="shared" si="259"/>
        <v>1.1458528225870714</v>
      </c>
      <c r="Y389" s="4">
        <f t="shared" si="260"/>
        <v>-0.51006570734030998</v>
      </c>
      <c r="Z389" t="str">
        <f t="shared" si="249"/>
        <v>0,989478928032418+0,479668129977394i</v>
      </c>
      <c r="AA389" s="4">
        <f t="shared" si="261"/>
        <v>1.099613597558794</v>
      </c>
      <c r="AB389" s="4">
        <f t="shared" si="262"/>
        <v>0.45138825838401342</v>
      </c>
      <c r="AC389" s="48" t="str">
        <f t="shared" si="263"/>
        <v>-0,0359574642201174-0,028712715013932i</v>
      </c>
      <c r="AD389" s="20">
        <f t="shared" si="264"/>
        <v>-26.742054522107431</v>
      </c>
      <c r="AE389" s="44">
        <f t="shared" si="265"/>
        <v>-141.3919732893161</v>
      </c>
      <c r="AF389" t="str">
        <f t="shared" si="250"/>
        <v>-20791,6666666667</v>
      </c>
      <c r="AG389" t="str">
        <f t="shared" si="266"/>
        <v>322240,311251434i</v>
      </c>
      <c r="AH389">
        <f t="shared" si="267"/>
        <v>322240.31125143397</v>
      </c>
      <c r="AI389">
        <f t="shared" si="268"/>
        <v>1.5707963267948966</v>
      </c>
      <c r="AJ389" t="str">
        <f t="shared" si="251"/>
        <v>-1935,99037441694+378,058455726096i</v>
      </c>
      <c r="AK389">
        <f t="shared" si="269"/>
        <v>1972.5584720816373</v>
      </c>
      <c r="AL389">
        <f t="shared" si="270"/>
        <v>2.9487405153365227</v>
      </c>
      <c r="AM389" t="str">
        <f t="shared" si="252"/>
        <v>1+519,709173986312i</v>
      </c>
      <c r="AN389">
        <f t="shared" si="271"/>
        <v>519.7101360619539</v>
      </c>
      <c r="AO389">
        <f t="shared" si="272"/>
        <v>1.5688721761045965</v>
      </c>
      <c r="AP389" t="str">
        <f t="shared" si="253"/>
        <v>1+365,033824585624i</v>
      </c>
      <c r="AQ389">
        <f t="shared" si="273"/>
        <v>365.03519431913429</v>
      </c>
      <c r="AR389">
        <f t="shared" si="274"/>
        <v>1.5680568614876003</v>
      </c>
      <c r="AS389" s="42" t="str">
        <f t="shared" si="275"/>
        <v>-1,16091963568364+6,0959219539976i</v>
      </c>
      <c r="AT389">
        <f t="shared" si="276"/>
        <v>15.855509503960846</v>
      </c>
      <c r="AU389" s="44">
        <f t="shared" si="277"/>
        <v>100.7824080780539</v>
      </c>
      <c r="AV389" s="42" t="str">
        <f t="shared" si="254"/>
        <v>0,216774196074831-0,185860740896035i</v>
      </c>
      <c r="AW389" s="20">
        <f t="shared" si="278"/>
        <v>-10.886545018146576</v>
      </c>
      <c r="AX389" s="44">
        <f t="shared" si="279"/>
        <v>-40.609565211262222</v>
      </c>
    </row>
    <row r="390" spans="14:50" x14ac:dyDescent="0.3">
      <c r="N390" s="8">
        <v>72</v>
      </c>
      <c r="O390" s="35">
        <f t="shared" si="280"/>
        <v>52480.746024977314</v>
      </c>
      <c r="P390" s="34" t="str">
        <f t="shared" si="245"/>
        <v>324,571428571429</v>
      </c>
      <c r="Q390" s="4" t="str">
        <f t="shared" si="246"/>
        <v>1+7537,05719620482i</v>
      </c>
      <c r="R390" s="4">
        <f t="shared" si="255"/>
        <v>7537.057262543708</v>
      </c>
      <c r="S390" s="4">
        <f t="shared" si="256"/>
        <v>1.5706636490178678</v>
      </c>
      <c r="T390" s="4" t="str">
        <f t="shared" si="247"/>
        <v>1+0,0659492504667922i</v>
      </c>
      <c r="U390" s="4">
        <f t="shared" si="257"/>
        <v>1.0021722923914489</v>
      </c>
      <c r="V390" s="4">
        <f t="shared" si="258"/>
        <v>6.5853888094343491E-2</v>
      </c>
      <c r="W390" t="str">
        <f t="shared" si="248"/>
        <v>1-0,572476132524238i</v>
      </c>
      <c r="X390" s="4">
        <f t="shared" si="259"/>
        <v>1.152271201718549</v>
      </c>
      <c r="Y390" s="4">
        <f t="shared" si="260"/>
        <v>-0.51993545778853134</v>
      </c>
      <c r="Z390" t="str">
        <f t="shared" si="249"/>
        <v>0,988983085186647+0,490841036026281i</v>
      </c>
      <c r="AA390" s="4">
        <f t="shared" si="261"/>
        <v>1.1040889753242948</v>
      </c>
      <c r="AB390" s="4">
        <f t="shared" si="262"/>
        <v>0.46069031374046937</v>
      </c>
      <c r="AC390" s="48" t="str">
        <f t="shared" si="263"/>
        <v>-0,0356873634585434-0,0274780421800586i</v>
      </c>
      <c r="AD390" s="20">
        <f t="shared" si="264"/>
        <v>-26.927970037531392</v>
      </c>
      <c r="AE390" s="44">
        <f t="shared" si="265"/>
        <v>-142.40496626138022</v>
      </c>
      <c r="AF390" t="str">
        <f t="shared" si="250"/>
        <v>-20791,6666666667</v>
      </c>
      <c r="AG390" t="str">
        <f t="shared" si="266"/>
        <v>329746,252333961i</v>
      </c>
      <c r="AH390">
        <f t="shared" si="267"/>
        <v>329746.25233396102</v>
      </c>
      <c r="AI390">
        <f t="shared" si="268"/>
        <v>1.5707963267948966</v>
      </c>
      <c r="AJ390" t="str">
        <f t="shared" si="251"/>
        <v>-2027,27791835177+386,864568416997i</v>
      </c>
      <c r="AK390">
        <f t="shared" si="269"/>
        <v>2063.8604488998658</v>
      </c>
      <c r="AL390">
        <f t="shared" si="270"/>
        <v>2.9530301654580229</v>
      </c>
      <c r="AM390" t="str">
        <f t="shared" si="252"/>
        <v>1+531,814755764212i</v>
      </c>
      <c r="AN390">
        <f t="shared" si="271"/>
        <v>531.81569594037796</v>
      </c>
      <c r="AO390">
        <f t="shared" si="272"/>
        <v>1.5689159750171644</v>
      </c>
      <c r="AP390" t="str">
        <f t="shared" si="253"/>
        <v>1+373,536554643911i</v>
      </c>
      <c r="AQ390">
        <f t="shared" si="273"/>
        <v>373.53789319859305</v>
      </c>
      <c r="AR390">
        <f t="shared" si="274"/>
        <v>1.568119219029678</v>
      </c>
      <c r="AS390" s="42" t="str">
        <f t="shared" si="275"/>
        <v>-1,11045542467406+5,96665487149907i</v>
      </c>
      <c r="AT390">
        <f t="shared" si="276"/>
        <v>15.66249845942826</v>
      </c>
      <c r="AU390" s="44">
        <f t="shared" si="277"/>
        <v>100.54271154732339</v>
      </c>
      <c r="AV390" s="42" t="str">
        <f t="shared" si="254"/>
        <v>0,203581220577758-0,182421040032607i</v>
      </c>
      <c r="AW390" s="20">
        <f t="shared" si="278"/>
        <v>-11.265471578103135</v>
      </c>
      <c r="AX390" s="44">
        <f t="shared" si="279"/>
        <v>-41.862254714056782</v>
      </c>
    </row>
    <row r="391" spans="14:50" x14ac:dyDescent="0.3">
      <c r="N391" s="8">
        <v>73</v>
      </c>
      <c r="O391" s="35">
        <f t="shared" si="280"/>
        <v>53703.179637025423</v>
      </c>
      <c r="P391" s="34" t="str">
        <f t="shared" si="245"/>
        <v>324,571428571429</v>
      </c>
      <c r="Q391" s="4" t="str">
        <f t="shared" si="246"/>
        <v>1+7712,61781129563i</v>
      </c>
      <c r="R391" s="4">
        <f t="shared" si="255"/>
        <v>7712.617876124461</v>
      </c>
      <c r="S391" s="4">
        <f t="shared" si="256"/>
        <v>1.570666669132756</v>
      </c>
      <c r="T391" s="4" t="str">
        <f t="shared" si="247"/>
        <v>1+0,0674854058488368i</v>
      </c>
      <c r="U391" s="4">
        <f t="shared" si="257"/>
        <v>1.0022745532051496</v>
      </c>
      <c r="V391" s="4">
        <f t="shared" si="258"/>
        <v>6.738323574584007E-2</v>
      </c>
      <c r="W391" t="str">
        <f t="shared" si="248"/>
        <v>1-0,585810814660042i</v>
      </c>
      <c r="X391" s="4">
        <f t="shared" si="259"/>
        <v>1.1589539725859099</v>
      </c>
      <c r="Y391" s="4">
        <f t="shared" si="260"/>
        <v>-0.52992093876511637</v>
      </c>
      <c r="Z391" t="str">
        <f t="shared" si="249"/>
        <v>0,988463873987493+0,502274192489519i</v>
      </c>
      <c r="AA391" s="4">
        <f t="shared" si="261"/>
        <v>1.108756147500144</v>
      </c>
      <c r="AB391" s="4">
        <f t="shared" si="262"/>
        <v>0.47013529564798201</v>
      </c>
      <c r="AC391" s="48" t="str">
        <f t="shared" si="263"/>
        <v>-0,035409142833252-0,0262676311132126i</v>
      </c>
      <c r="AD391" s="20">
        <f t="shared" si="264"/>
        <v>-27.113493515531353</v>
      </c>
      <c r="AE391" s="44">
        <f t="shared" si="265"/>
        <v>-143.4307976526224</v>
      </c>
      <c r="AF391" t="str">
        <f t="shared" si="250"/>
        <v>-20791,6666666667</v>
      </c>
      <c r="AG391" t="str">
        <f t="shared" si="266"/>
        <v>337427,029244184i</v>
      </c>
      <c r="AH391">
        <f t="shared" si="267"/>
        <v>337427.02924418403</v>
      </c>
      <c r="AI391">
        <f t="shared" si="268"/>
        <v>1.5707963267948966</v>
      </c>
      <c r="AJ391" t="str">
        <f t="shared" si="251"/>
        <v>-2122,8677116874+395,875801822832i</v>
      </c>
      <c r="AK391">
        <f t="shared" si="269"/>
        <v>2159.4640473491954</v>
      </c>
      <c r="AL391">
        <f t="shared" si="270"/>
        <v>2.957228681977865</v>
      </c>
      <c r="AM391" t="str">
        <f t="shared" si="252"/>
        <v>1+544,20231276502i</v>
      </c>
      <c r="AN391">
        <f t="shared" si="271"/>
        <v>544.20323154020014</v>
      </c>
      <c r="AO391">
        <f t="shared" si="272"/>
        <v>1.5689587769517344</v>
      </c>
      <c r="AP391" t="str">
        <f t="shared" si="253"/>
        <v>1+382,237338727812i</v>
      </c>
      <c r="AQ391">
        <f t="shared" si="273"/>
        <v>382.23864681337506</v>
      </c>
      <c r="AR391">
        <f t="shared" si="274"/>
        <v>1.5681801571609217</v>
      </c>
      <c r="AS391" s="42" t="str">
        <f t="shared" si="275"/>
        <v>-1,06211048455576+5,83972458852811i</v>
      </c>
      <c r="AT391">
        <f t="shared" si="276"/>
        <v>15.46918337804267</v>
      </c>
      <c r="AU391" s="44">
        <f t="shared" si="277"/>
        <v>100.30809813845808</v>
      </c>
      <c r="AV391" s="42" t="str">
        <f t="shared" si="254"/>
        <v>0,191004153146543-0,178880515652259i</v>
      </c>
      <c r="AW391" s="20">
        <f t="shared" si="278"/>
        <v>-11.644310137488699</v>
      </c>
      <c r="AX391" s="44">
        <f t="shared" si="279"/>
        <v>-43.12269951416426</v>
      </c>
    </row>
    <row r="392" spans="14:50" x14ac:dyDescent="0.3">
      <c r="N392" s="8">
        <v>74</v>
      </c>
      <c r="O392" s="35">
        <f t="shared" si="280"/>
        <v>54954.087385762505</v>
      </c>
      <c r="P392" s="34" t="str">
        <f t="shared" si="245"/>
        <v>324,571428571429</v>
      </c>
      <c r="Q392" s="4" t="str">
        <f t="shared" si="246"/>
        <v>1+7892,26775843854i</v>
      </c>
      <c r="R392" s="4">
        <f t="shared" si="255"/>
        <v>7892.2678217916864</v>
      </c>
      <c r="S392" s="4">
        <f t="shared" si="256"/>
        <v>1.5706696205014388</v>
      </c>
      <c r="T392" s="4" t="str">
        <f t="shared" si="247"/>
        <v>1+0,0690573428863372i</v>
      </c>
      <c r="U392" s="4">
        <f t="shared" si="257"/>
        <v>1.0023816222410111</v>
      </c>
      <c r="V392" s="4">
        <f t="shared" si="258"/>
        <v>6.8947879692121114E-2</v>
      </c>
      <c r="W392" t="str">
        <f t="shared" si="248"/>
        <v>1-0,599456101443899i</v>
      </c>
      <c r="X392" s="4">
        <f t="shared" si="259"/>
        <v>1.1659106387533815</v>
      </c>
      <c r="Y392" s="4">
        <f t="shared" si="260"/>
        <v>-0.54001947889579094</v>
      </c>
      <c r="Z392" t="str">
        <f t="shared" si="249"/>
        <v>0,987920193118392+0,513973661377999i</v>
      </c>
      <c r="AA392" s="4">
        <f t="shared" si="261"/>
        <v>1.1136225718623824</v>
      </c>
      <c r="AB392" s="4">
        <f t="shared" si="262"/>
        <v>0.47972257728408324</v>
      </c>
      <c r="AC392" s="48" t="str">
        <f t="shared" si="263"/>
        <v>-0,0351227412488998-0,0250812743870083i</v>
      </c>
      <c r="AD392" s="20">
        <f t="shared" si="264"/>
        <v>-27.298623832406591</v>
      </c>
      <c r="AE392" s="44">
        <f t="shared" si="265"/>
        <v>-144.46923376251203</v>
      </c>
      <c r="AF392" t="str">
        <f t="shared" si="250"/>
        <v>-20791,6666666667</v>
      </c>
      <c r="AG392" t="str">
        <f t="shared" si="266"/>
        <v>345286,714431686i</v>
      </c>
      <c r="AH392">
        <f t="shared" si="267"/>
        <v>345286.71443168598</v>
      </c>
      <c r="AI392">
        <f t="shared" si="268"/>
        <v>1.5707963267948966</v>
      </c>
      <c r="AJ392" t="str">
        <f t="shared" si="251"/>
        <v>-2222,96251319142+405,096933818828i</v>
      </c>
      <c r="AK392">
        <f t="shared" si="269"/>
        <v>2259.5720525895454</v>
      </c>
      <c r="AL392">
        <f t="shared" si="270"/>
        <v>2.9613377235322265</v>
      </c>
      <c r="AM392" t="str">
        <f t="shared" si="252"/>
        <v>1+556,878413035423i</v>
      </c>
      <c r="AN392">
        <f t="shared" si="271"/>
        <v>556.87931089676078</v>
      </c>
      <c r="AO392">
        <f t="shared" si="272"/>
        <v>1.5690006046018308</v>
      </c>
      <c r="AP392" t="str">
        <f t="shared" si="253"/>
        <v>1+391,140790108214i</v>
      </c>
      <c r="AQ392">
        <f t="shared" si="273"/>
        <v>391.14206841821289</v>
      </c>
      <c r="AR392">
        <f t="shared" si="274"/>
        <v>1.5682397081897235</v>
      </c>
      <c r="AS392" s="42" t="str">
        <f t="shared" si="275"/>
        <v>-1,01580216406606+5,71511541623516i</v>
      </c>
      <c r="AT392">
        <f t="shared" si="276"/>
        <v>15.275577047848877</v>
      </c>
      <c r="AU392" s="44">
        <f t="shared" si="277"/>
        <v>100.07847596998268</v>
      </c>
      <c r="AV392" s="42" t="str">
        <f t="shared" si="254"/>
        <v>0,17902013447658-0,175252907172168i</v>
      </c>
      <c r="AW392" s="20">
        <f t="shared" si="278"/>
        <v>-12.023046784557714</v>
      </c>
      <c r="AX392" s="44">
        <f t="shared" si="279"/>
        <v>-44.390757792529321</v>
      </c>
    </row>
    <row r="393" spans="14:50" x14ac:dyDescent="0.3">
      <c r="N393" s="8">
        <v>75</v>
      </c>
      <c r="O393" s="35">
        <f t="shared" si="280"/>
        <v>56234.132519034953</v>
      </c>
      <c r="P393" s="34" t="str">
        <f t="shared" si="245"/>
        <v>324,571428571429</v>
      </c>
      <c r="Q393" s="4" t="str">
        <f t="shared" si="246"/>
        <v>1+8076,10229041349i</v>
      </c>
      <c r="R393" s="4">
        <f t="shared" si="255"/>
        <v>8076.1023523245422</v>
      </c>
      <c r="S393" s="4">
        <f t="shared" si="256"/>
        <v>1.5706725046887704</v>
      </c>
      <c r="T393" s="4" t="str">
        <f t="shared" si="247"/>
        <v>1+0,070665895041118i</v>
      </c>
      <c r="U393" s="4">
        <f t="shared" si="257"/>
        <v>1.0024937250287218</v>
      </c>
      <c r="V393" s="4">
        <f t="shared" si="258"/>
        <v>7.0548618867516039E-2</v>
      </c>
      <c r="W393" t="str">
        <f t="shared" si="248"/>
        <v>1-0,613419227787483i</v>
      </c>
      <c r="X393" s="4">
        <f t="shared" si="259"/>
        <v>1.1731509489487668</v>
      </c>
      <c r="Y393" s="4">
        <f t="shared" si="260"/>
        <v>-0.55022819319503524</v>
      </c>
      <c r="Z393" t="str">
        <f t="shared" si="249"/>
        <v>0,987350889359326+0,525945645904987i</v>
      </c>
      <c r="AA393" s="4">
        <f t="shared" si="261"/>
        <v>1.1186959377619399</v>
      </c>
      <c r="AB393" s="4">
        <f t="shared" si="262"/>
        <v>0.48945135757939645</v>
      </c>
      <c r="AC393" s="48" t="str">
        <f t="shared" si="263"/>
        <v>-0,0348281117378284-0,0239187866020904i</v>
      </c>
      <c r="AD393" s="20">
        <f t="shared" si="264"/>
        <v>-27.483360584651347</v>
      </c>
      <c r="AE393" s="44">
        <f t="shared" si="265"/>
        <v>-145.52001770975514</v>
      </c>
      <c r="AF393" t="str">
        <f t="shared" si="250"/>
        <v>-20791,6666666667</v>
      </c>
      <c r="AG393" t="str">
        <f t="shared" si="266"/>
        <v>353329,47520559i</v>
      </c>
      <c r="AH393">
        <f t="shared" si="267"/>
        <v>353329.47520559002</v>
      </c>
      <c r="AI393">
        <f t="shared" si="268"/>
        <v>1.5707963267948966</v>
      </c>
      <c r="AJ393" t="str">
        <f t="shared" si="251"/>
        <v>-2327,77463735776+414,532853571227i</v>
      </c>
      <c r="AK393">
        <f t="shared" si="269"/>
        <v>2364.3968044759231</v>
      </c>
      <c r="AL393">
        <f t="shared" si="270"/>
        <v>2.9653589367931614</v>
      </c>
      <c r="AM393" t="str">
        <f t="shared" si="252"/>
        <v>1+569,849777611575i</v>
      </c>
      <c r="AN393">
        <f t="shared" si="271"/>
        <v>569.85065503512533</v>
      </c>
      <c r="AO393">
        <f t="shared" si="272"/>
        <v>1.5690414801444417</v>
      </c>
      <c r="AP393" t="str">
        <f t="shared" si="253"/>
        <v>1+400,251629512892i</v>
      </c>
      <c r="AQ393">
        <f t="shared" si="273"/>
        <v>400.25287872509466</v>
      </c>
      <c r="AR393">
        <f t="shared" si="274"/>
        <v>1.5682979036891365</v>
      </c>
      <c r="AS393" s="42" t="str">
        <f t="shared" si="275"/>
        <v>-0,97145049108467+5,59280982103697i</v>
      </c>
      <c r="AT393">
        <f t="shared" si="276"/>
        <v>15.0816917564592</v>
      </c>
      <c r="AU393" s="44">
        <f t="shared" si="277"/>
        <v>99.85375377418903</v>
      </c>
      <c r="AV393" s="42" t="str">
        <f t="shared" si="254"/>
        <v>0,167607010866724-0,171551088384749i</v>
      </c>
      <c r="AW393" s="20">
        <f t="shared" si="278"/>
        <v>-12.401668828192157</v>
      </c>
      <c r="AX393" s="44">
        <f t="shared" si="279"/>
        <v>-45.666263935566015</v>
      </c>
    </row>
    <row r="394" spans="14:50" x14ac:dyDescent="0.3">
      <c r="N394" s="8">
        <v>76</v>
      </c>
      <c r="O394" s="35">
        <f t="shared" si="280"/>
        <v>57543.993733715732</v>
      </c>
      <c r="P394" s="34" t="str">
        <f t="shared" si="245"/>
        <v>324,571428571429</v>
      </c>
      <c r="Q394" s="4" t="str">
        <f t="shared" si="246"/>
        <v>1+8264,21887872267i</v>
      </c>
      <c r="R394" s="4">
        <f t="shared" si="255"/>
        <v>8264.2189392244545</v>
      </c>
      <c r="S394" s="4">
        <f t="shared" si="256"/>
        <v>1.5706753232239852</v>
      </c>
      <c r="T394" s="4" t="str">
        <f t="shared" si="247"/>
        <v>1+0,0723119151888234i</v>
      </c>
      <c r="U394" s="4">
        <f t="shared" si="257"/>
        <v>1.0026110976237375</v>
      </c>
      <c r="V394" s="4">
        <f t="shared" si="258"/>
        <v>7.218626917325742E-2</v>
      </c>
      <c r="W394" t="str">
        <f t="shared" si="248"/>
        <v>1-0,627707597125203i</v>
      </c>
      <c r="X394" s="4">
        <f t="shared" si="259"/>
        <v>1.1806848976287856</v>
      </c>
      <c r="Y394" s="4">
        <f t="shared" si="260"/>
        <v>-0.5605439825633084</v>
      </c>
      <c r="Z394" t="str">
        <f t="shared" si="249"/>
        <v>0,986754755140696+0,538196493775149i</v>
      </c>
      <c r="AA394" s="4">
        <f t="shared" si="261"/>
        <v>1.1239841692411148</v>
      </c>
      <c r="AB394" s="4">
        <f t="shared" si="262"/>
        <v>0.49932065573021067</v>
      </c>
      <c r="AC394" s="48" t="str">
        <f t="shared" si="263"/>
        <v>-0,0345252224600135-0,0227800035129614i</v>
      </c>
      <c r="AD394" s="20">
        <f t="shared" si="264"/>
        <v>-27.667704121803567</v>
      </c>
      <c r="AE394" s="44">
        <f t="shared" si="265"/>
        <v>-146.58286907303605</v>
      </c>
      <c r="AF394" t="str">
        <f t="shared" si="250"/>
        <v>-20791,6666666667</v>
      </c>
      <c r="AG394" t="str">
        <f t="shared" si="266"/>
        <v>361559,575944117i</v>
      </c>
      <c r="AH394">
        <f t="shared" si="267"/>
        <v>361559.57594411698</v>
      </c>
      <c r="AI394">
        <f t="shared" si="268"/>
        <v>1.5707963267948966</v>
      </c>
      <c r="AJ394" t="str">
        <f t="shared" si="251"/>
        <v>-2437,52640475419+424,188564129581i</v>
      </c>
      <c r="AK394">
        <f t="shared" si="269"/>
        <v>2474.1606479394591</v>
      </c>
      <c r="AL394">
        <f t="shared" si="270"/>
        <v>2.9692939552220787</v>
      </c>
      <c r="AM394" t="str">
        <f t="shared" si="252"/>
        <v>1+583,123284082671i</v>
      </c>
      <c r="AN394">
        <f t="shared" si="271"/>
        <v>583.12414153365273</v>
      </c>
      <c r="AO394">
        <f t="shared" si="272"/>
        <v>1.5690814252517742</v>
      </c>
      <c r="AP394" t="str">
        <f t="shared" si="253"/>
        <v>1+409,574687629496i</v>
      </c>
      <c r="AQ394">
        <f t="shared" si="273"/>
        <v>409.57590840624312</v>
      </c>
      <c r="AR394">
        <f t="shared" si="274"/>
        <v>1.5683547745136077</v>
      </c>
      <c r="AS394" s="42" t="str">
        <f t="shared" si="275"/>
        <v>-0,928978133923164+5,47278858316374i</v>
      </c>
      <c r="AT394">
        <f t="shared" si="276"/>
        <v>14.887539307424863</v>
      </c>
      <c r="AU394" s="44">
        <f t="shared" si="277"/>
        <v>99.633840970187848</v>
      </c>
      <c r="AV394" s="42" t="str">
        <f t="shared" si="254"/>
        <v>0,15674331988435-0,167787118156116i</v>
      </c>
      <c r="AW394" s="20">
        <f t="shared" si="278"/>
        <v>-12.780164814378722</v>
      </c>
      <c r="AX394" s="44">
        <f t="shared" si="279"/>
        <v>-46.949028102848267</v>
      </c>
    </row>
    <row r="395" spans="14:50" x14ac:dyDescent="0.3">
      <c r="N395" s="8">
        <v>77</v>
      </c>
      <c r="O395" s="35">
        <f t="shared" si="280"/>
        <v>58884.365535558936</v>
      </c>
      <c r="P395" s="34" t="str">
        <f t="shared" si="245"/>
        <v>324,571428571429</v>
      </c>
      <c r="Q395" s="4" t="str">
        <f t="shared" si="246"/>
        <v>1+8456,71726527122i</v>
      </c>
      <c r="R395" s="4">
        <f t="shared" si="255"/>
        <v>8456.7173243958168</v>
      </c>
      <c r="S395" s="4">
        <f t="shared" si="256"/>
        <v>1.5706780776015075</v>
      </c>
      <c r="T395" s="4" t="str">
        <f t="shared" si="247"/>
        <v>1+0,0739962760711232i</v>
      </c>
      <c r="U395" s="4">
        <f t="shared" si="257"/>
        <v>1.0027339870934833</v>
      </c>
      <c r="V395" s="4">
        <f t="shared" si="258"/>
        <v>7.3861663757404342E-2</v>
      </c>
      <c r="W395" t="str">
        <f t="shared" si="248"/>
        <v>1-0,642328785339611i</v>
      </c>
      <c r="X395" s="4">
        <f t="shared" si="259"/>
        <v>1.1885227252669004</v>
      </c>
      <c r="Y395" s="4">
        <f t="shared" si="260"/>
        <v>-0.57096353411768808</v>
      </c>
      <c r="Z395" t="str">
        <f t="shared" si="249"/>
        <v>0,986130525981899+0,550732700550182i</v>
      </c>
      <c r="AA395" s="4">
        <f t="shared" si="261"/>
        <v>1.1294954279361353</v>
      </c>
      <c r="AB395" s="4">
        <f t="shared" si="262"/>
        <v>0.50932930608392801</v>
      </c>
      <c r="AC395" s="48" t="str">
        <f t="shared" si="263"/>
        <v>-0,0342140576882784-0,0216647810668615i</v>
      </c>
      <c r="AD395" s="20">
        <f t="shared" si="264"/>
        <v>-27.85165557661934</v>
      </c>
      <c r="AE395" s="44">
        <f t="shared" si="265"/>
        <v>-147.65748360092758</v>
      </c>
      <c r="AF395" t="str">
        <f t="shared" si="250"/>
        <v>-20791,6666666667</v>
      </c>
      <c r="AG395" t="str">
        <f t="shared" si="266"/>
        <v>369981,380355616i</v>
      </c>
      <c r="AH395">
        <f t="shared" si="267"/>
        <v>369981.38035561598</v>
      </c>
      <c r="AI395">
        <f t="shared" si="268"/>
        <v>1.5707963267948966</v>
      </c>
      <c r="AJ395" t="str">
        <f t="shared" si="251"/>
        <v>-2552,45061359403+434,069185079435i</v>
      </c>
      <c r="AK395">
        <f t="shared" si="269"/>
        <v>2589.0964045921628</v>
      </c>
      <c r="AL395">
        <f t="shared" si="270"/>
        <v>2.9731443979324963</v>
      </c>
      <c r="AM395" t="str">
        <f t="shared" si="252"/>
        <v>1+596,705970237537i</v>
      </c>
      <c r="AN395">
        <f t="shared" si="271"/>
        <v>596.70680817057928</v>
      </c>
      <c r="AO395">
        <f t="shared" si="272"/>
        <v>1.5691204611027427</v>
      </c>
      <c r="AP395" t="str">
        <f t="shared" si="253"/>
        <v>1+419,114907666842i</v>
      </c>
      <c r="AQ395">
        <f t="shared" si="273"/>
        <v>419.1161006553977</v>
      </c>
      <c r="AR395">
        <f t="shared" si="274"/>
        <v>1.5684103508153282</v>
      </c>
      <c r="AS395" s="42" t="str">
        <f t="shared" si="275"/>
        <v>-0,888310358317541+5,35503094679287i</v>
      </c>
      <c r="AT395">
        <f t="shared" si="276"/>
        <v>14.693131036356249</v>
      </c>
      <c r="AU395" s="44">
        <f t="shared" si="277"/>
        <v>99.418647730663764</v>
      </c>
      <c r="AV395" s="42" t="str">
        <f t="shared" si="254"/>
        <v>0,146408274913107-0,163972288303713i</v>
      </c>
      <c r="AW395" s="20">
        <f t="shared" si="278"/>
        <v>-13.158524540263084</v>
      </c>
      <c r="AX395" s="44">
        <f t="shared" si="279"/>
        <v>-48.238835870263941</v>
      </c>
    </row>
    <row r="396" spans="14:50" x14ac:dyDescent="0.3">
      <c r="N396" s="8">
        <v>78</v>
      </c>
      <c r="O396" s="35">
        <f t="shared" si="280"/>
        <v>60255.95860743591</v>
      </c>
      <c r="P396" s="34" t="str">
        <f t="shared" si="245"/>
        <v>324,571428571429</v>
      </c>
      <c r="Q396" s="4" t="str">
        <f t="shared" si="246"/>
        <v>1+8653,69951525173i</v>
      </c>
      <c r="R396" s="4">
        <f t="shared" si="255"/>
        <v>8653.6995730304861</v>
      </c>
      <c r="S396" s="4">
        <f t="shared" si="256"/>
        <v>1.5706807692817444</v>
      </c>
      <c r="T396" s="4" t="str">
        <f t="shared" si="247"/>
        <v>1+0,0757198707584526i</v>
      </c>
      <c r="U396" s="4">
        <f t="shared" si="257"/>
        <v>1.0028626520255288</v>
      </c>
      <c r="V396" s="4">
        <f t="shared" si="258"/>
        <v>7.5575653293306053E-2</v>
      </c>
      <c r="W396" t="str">
        <f t="shared" si="248"/>
        <v>1-0,657290544778234i</v>
      </c>
      <c r="X396" s="4">
        <f t="shared" si="259"/>
        <v>1.1966749183695913</v>
      </c>
      <c r="Y396" s="4">
        <f t="shared" si="260"/>
        <v>-0.58148332239708778</v>
      </c>
      <c r="Z396" t="str">
        <f t="shared" si="249"/>
        <v>0,985476877809196+0,563560913092858i</v>
      </c>
      <c r="AA396" s="4">
        <f t="shared" si="261"/>
        <v>1.1352381157548477</v>
      </c>
      <c r="AB396" s="4">
        <f t="shared" si="262"/>
        <v>0.51947595345153519</v>
      </c>
      <c r="AC396" s="48" t="str">
        <f t="shared" si="263"/>
        <v>-0,0338946187699198-0,0205729943525489i</v>
      </c>
      <c r="AD396" s="20">
        <f t="shared" si="264"/>
        <v>-28.035216892122683</v>
      </c>
      <c r="AE396" s="44">
        <f t="shared" si="265"/>
        <v>-148.74353299646035</v>
      </c>
      <c r="AF396" t="str">
        <f t="shared" si="250"/>
        <v>-20791,6666666667</v>
      </c>
      <c r="AG396" t="str">
        <f t="shared" si="266"/>
        <v>378599,353792263i</v>
      </c>
      <c r="AH396">
        <f t="shared" si="267"/>
        <v>378599.35379226302</v>
      </c>
      <c r="AI396">
        <f t="shared" si="268"/>
        <v>1.5707963267948966</v>
      </c>
      <c r="AJ396" t="str">
        <f t="shared" si="251"/>
        <v>-2672,7910335324+444,179955256805i</v>
      </c>
      <c r="AK396">
        <f t="shared" si="269"/>
        <v>2709.4478665556808</v>
      </c>
      <c r="AL396">
        <f t="shared" si="270"/>
        <v>2.976911868656186</v>
      </c>
      <c r="AM396" t="str">
        <f t="shared" si="252"/>
        <v>1+610,605037796161i</v>
      </c>
      <c r="AN396">
        <f t="shared" si="271"/>
        <v>610.60585665554447</v>
      </c>
      <c r="AO396">
        <f t="shared" si="272"/>
        <v>1.569158608394196</v>
      </c>
      <c r="AP396" t="str">
        <f t="shared" si="253"/>
        <v>1+428,877347975876i</v>
      </c>
      <c r="AQ396">
        <f t="shared" si="273"/>
        <v>428.87851380877152</v>
      </c>
      <c r="AR396">
        <f t="shared" si="274"/>
        <v>1.5684646620602147</v>
      </c>
      <c r="AS396" s="42" t="str">
        <f t="shared" si="275"/>
        <v>-0,849374980712126+5,23951476200358i</v>
      </c>
      <c r="AT396">
        <f t="shared" si="276"/>
        <v>14.498477826766665</v>
      </c>
      <c r="AU396" s="44">
        <f t="shared" si="277"/>
        <v>99.208085042669495</v>
      </c>
      <c r="AV396" s="42" t="str">
        <f t="shared" si="254"/>
        <v>0,136581748772742-0,160117168716092i</v>
      </c>
      <c r="AW396" s="20">
        <f t="shared" si="278"/>
        <v>-13.536739065356</v>
      </c>
      <c r="AX396" s="44">
        <f t="shared" si="279"/>
        <v>-49.535447953790886</v>
      </c>
    </row>
    <row r="397" spans="14:50" x14ac:dyDescent="0.3">
      <c r="N397" s="8">
        <v>79</v>
      </c>
      <c r="O397" s="35">
        <f t="shared" si="280"/>
        <v>61659.500186148245</v>
      </c>
      <c r="P397" s="34" t="str">
        <f t="shared" si="245"/>
        <v>324,571428571429</v>
      </c>
      <c r="Q397" s="4" t="str">
        <f t="shared" si="246"/>
        <v>1+8855,27007126043i</v>
      </c>
      <c r="R397" s="4">
        <f t="shared" si="255"/>
        <v>8855.2701277239812</v>
      </c>
      <c r="S397" s="4">
        <f t="shared" si="256"/>
        <v>1.5706833996918605</v>
      </c>
      <c r="T397" s="4" t="str">
        <f t="shared" si="247"/>
        <v>1+0,0774836131235288i</v>
      </c>
      <c r="U397" s="4">
        <f t="shared" si="257"/>
        <v>1.0029973630586855</v>
      </c>
      <c r="V397" s="4">
        <f t="shared" si="258"/>
        <v>7.7329106256030303E-2</v>
      </c>
      <c r="W397" t="str">
        <f t="shared" si="248"/>
        <v>1-0,672600808363965i</v>
      </c>
      <c r="X397" s="4">
        <f t="shared" si="259"/>
        <v>1.2051522092299625</v>
      </c>
      <c r="Y397" s="4">
        <f t="shared" si="260"/>
        <v>-0.59209961147830836</v>
      </c>
      <c r="Z397" t="str">
        <f t="shared" si="249"/>
        <v>0,984792424147177+0,576687933091263i</v>
      </c>
      <c r="AA397" s="4">
        <f t="shared" si="261"/>
        <v>1.1412208773198755</v>
      </c>
      <c r="AB397" s="4">
        <f t="shared" si="262"/>
        <v>0.52975904890211556</v>
      </c>
      <c r="AC397" s="48" t="str">
        <f t="shared" si="263"/>
        <v>-0,0335669250553466-0,0195045364576612i</v>
      </c>
      <c r="AD397" s="20">
        <f t="shared" si="264"/>
        <v>-28.218390845076375</v>
      </c>
      <c r="AE397" s="44">
        <f t="shared" si="265"/>
        <v>-149.8406647816127</v>
      </c>
      <c r="AF397" t="str">
        <f t="shared" si="250"/>
        <v>-20791,6666666667</v>
      </c>
      <c r="AG397" t="str">
        <f t="shared" si="266"/>
        <v>387418,065617644i</v>
      </c>
      <c r="AH397">
        <f t="shared" si="267"/>
        <v>387418.065617644</v>
      </c>
      <c r="AI397">
        <f t="shared" si="268"/>
        <v>1.5707963267948966</v>
      </c>
      <c r="AJ397" t="str">
        <f t="shared" si="251"/>
        <v>-2798,80292273429+454,526235525866i</v>
      </c>
      <c r="AK397">
        <f t="shared" si="269"/>
        <v>2835.4703135612826</v>
      </c>
      <c r="AL397">
        <f t="shared" si="270"/>
        <v>2.9805979548070103</v>
      </c>
      <c r="AM397" t="str">
        <f t="shared" si="252"/>
        <v>1+624,827856228136i</v>
      </c>
      <c r="AN397">
        <f t="shared" si="271"/>
        <v>624.82865644802837</v>
      </c>
      <c r="AO397">
        <f t="shared" si="272"/>
        <v>1.5691958873518885</v>
      </c>
      <c r="AP397" t="str">
        <f t="shared" si="253"/>
        <v>1+438,867184731667i</v>
      </c>
      <c r="AQ397">
        <f t="shared" si="273"/>
        <v>438.86832402703567</v>
      </c>
      <c r="AR397">
        <f t="shared" si="274"/>
        <v>1.5685177370435264</v>
      </c>
      <c r="AS397" s="42" t="str">
        <f t="shared" si="275"/>
        <v>-0,812102318377622+5,12621661880283i</v>
      </c>
      <c r="AT397">
        <f t="shared" si="276"/>
        <v>14.303590125618616</v>
      </c>
      <c r="AU397" s="44">
        <f t="shared" si="277"/>
        <v>99.002064762787498</v>
      </c>
      <c r="AV397" s="42" t="str">
        <f t="shared" si="254"/>
        <v>0,127244256589563-0,156231649784679i</v>
      </c>
      <c r="AW397" s="20">
        <f t="shared" si="278"/>
        <v>-13.914800719457785</v>
      </c>
      <c r="AX397" s="44">
        <f t="shared" si="279"/>
        <v>-50.83860001882524</v>
      </c>
    </row>
    <row r="398" spans="14:50" x14ac:dyDescent="0.3">
      <c r="N398" s="8">
        <v>80</v>
      </c>
      <c r="O398" s="35">
        <f t="shared" si="280"/>
        <v>63095.734448019342</v>
      </c>
      <c r="P398" s="34" t="str">
        <f t="shared" si="245"/>
        <v>324,571428571429</v>
      </c>
      <c r="Q398" s="4" t="str">
        <f t="shared" si="246"/>
        <v>1+9061,53580867429i</v>
      </c>
      <c r="R398" s="4">
        <f t="shared" si="255"/>
        <v>9061.5358638525759</v>
      </c>
      <c r="S398" s="4">
        <f t="shared" si="256"/>
        <v>1.5706859702265339</v>
      </c>
      <c r="T398" s="4" t="str">
        <f t="shared" si="247"/>
        <v>1+0,0792884383259i</v>
      </c>
      <c r="U398" s="4">
        <f t="shared" si="257"/>
        <v>1.0031384034380102</v>
      </c>
      <c r="V398" s="4">
        <f t="shared" si="258"/>
        <v>7.9122909196139846E-2</v>
      </c>
      <c r="W398" t="str">
        <f t="shared" si="248"/>
        <v>1-0,688267693801215i</v>
      </c>
      <c r="X398" s="4">
        <f t="shared" si="259"/>
        <v>1.2139655754305569</v>
      </c>
      <c r="Y398" s="4">
        <f t="shared" si="260"/>
        <v>-0.60280845803350913</v>
      </c>
      <c r="Z398" t="str">
        <f t="shared" si="249"/>
        <v>0,98407571317786+0,590120720665162i</v>
      </c>
      <c r="AA398" s="4">
        <f t="shared" si="261"/>
        <v>1.1474526021692069</v>
      </c>
      <c r="AB398" s="4">
        <f t="shared" si="262"/>
        <v>0.54017684609492034</v>
      </c>
      <c r="AC398" s="48" t="str">
        <f t="shared" si="263"/>
        <v>-0,0332310147838499-0,0184593172342617i</v>
      </c>
      <c r="AD398" s="20">
        <f t="shared" si="264"/>
        <v>-28.401181065424133</v>
      </c>
      <c r="AE398" s="44">
        <f t="shared" si="265"/>
        <v>-150.94850224669142</v>
      </c>
      <c r="AF398" t="str">
        <f t="shared" si="250"/>
        <v>-20791,6666666667</v>
      </c>
      <c r="AG398" t="str">
        <f t="shared" si="266"/>
        <v>396442,1916295i</v>
      </c>
      <c r="AH398">
        <f t="shared" si="267"/>
        <v>396442.19162950001</v>
      </c>
      <c r="AI398">
        <f t="shared" si="268"/>
        <v>1.5707963267948966</v>
      </c>
      <c r="AJ398" t="str">
        <f t="shared" si="251"/>
        <v>-2930,75356931141+465,11351162137i</v>
      </c>
      <c r="AK398">
        <f t="shared" si="269"/>
        <v>2967.4310544180016</v>
      </c>
      <c r="AL398">
        <f t="shared" si="270"/>
        <v>2.9842042266369169</v>
      </c>
      <c r="AM398" t="str">
        <f t="shared" si="252"/>
        <v>1+639,381966660057i</v>
      </c>
      <c r="AN398">
        <f t="shared" si="271"/>
        <v>639.38274866474319</v>
      </c>
      <c r="AO398">
        <f t="shared" si="272"/>
        <v>1.5692323177412024</v>
      </c>
      <c r="AP398" t="str">
        <f t="shared" si="253"/>
        <v>1+449,089714677898i</v>
      </c>
      <c r="AQ398">
        <f t="shared" si="273"/>
        <v>449.09082803980289</v>
      </c>
      <c r="AR398">
        <f t="shared" si="274"/>
        <v>1.5685696039051245</v>
      </c>
      <c r="AS398" s="42" t="str">
        <f t="shared" si="275"/>
        <v>-0,776425136862237+5,01511197348526i</v>
      </c>
      <c r="AT398">
        <f t="shared" si="276"/>
        <v>14.108477958554825</v>
      </c>
      <c r="AU398" s="44">
        <f t="shared" si="277"/>
        <v>98.800499666976776</v>
      </c>
      <c r="AV398" s="42" t="str">
        <f t="shared" si="254"/>
        <v>0,11837693808553-0,152324982223556i</v>
      </c>
      <c r="AW398" s="20">
        <f t="shared" si="278"/>
        <v>-14.292703106869322</v>
      </c>
      <c r="AX398" s="44">
        <f t="shared" si="279"/>
        <v>-52.148002579714678</v>
      </c>
    </row>
    <row r="399" spans="14:50" x14ac:dyDescent="0.3">
      <c r="N399" s="8">
        <v>81</v>
      </c>
      <c r="O399" s="35">
        <f t="shared" si="280"/>
        <v>64565.422903465682</v>
      </c>
      <c r="P399" s="34" t="str">
        <f t="shared" si="245"/>
        <v>324,571428571429</v>
      </c>
      <c r="Q399" s="4" t="str">
        <f t="shared" si="246"/>
        <v>1+9272,60609231753i</v>
      </c>
      <c r="R399" s="4">
        <f t="shared" si="255"/>
        <v>9272.6061462398011</v>
      </c>
      <c r="S399" s="4">
        <f t="shared" si="256"/>
        <v>1.5706884822486959</v>
      </c>
      <c r="T399" s="4" t="str">
        <f t="shared" si="247"/>
        <v>1+0,0811353033077784i</v>
      </c>
      <c r="U399" s="4">
        <f t="shared" si="257"/>
        <v>1.0032860695947319</v>
      </c>
      <c r="V399" s="4">
        <f t="shared" si="258"/>
        <v>8.095796701013927E-2</v>
      </c>
      <c r="W399" t="str">
        <f t="shared" si="248"/>
        <v>1-0,704299507880021i</v>
      </c>
      <c r="X399" s="4">
        <f t="shared" si="259"/>
        <v>1.2231262391102726</v>
      </c>
      <c r="Y399" s="4">
        <f t="shared" si="260"/>
        <v>-0.61360571535324693</v>
      </c>
      <c r="Z399" t="str">
        <f t="shared" si="249"/>
        <v>0,983325224661187+0,603866398056329i</v>
      </c>
      <c r="AA399" s="4">
        <f t="shared" si="261"/>
        <v>1.1539424267078919</v>
      </c>
      <c r="AB399" s="4">
        <f t="shared" si="262"/>
        <v>0.55072739820426586</v>
      </c>
      <c r="AC399" s="48" t="str">
        <f t="shared" si="263"/>
        <v>-0,0328869459162359-0,0174372619732088i</v>
      </c>
      <c r="AD399" s="20">
        <f t="shared" si="264"/>
        <v>-28.583592051262393</v>
      </c>
      <c r="AE399" s="44">
        <f t="shared" si="265"/>
        <v>-152.06664448919076</v>
      </c>
      <c r="AF399" t="str">
        <f t="shared" si="250"/>
        <v>-20791,6666666667</v>
      </c>
      <c r="AG399" t="str">
        <f t="shared" si="266"/>
        <v>405676,516538892i</v>
      </c>
      <c r="AH399">
        <f t="shared" si="267"/>
        <v>405676.516538892</v>
      </c>
      <c r="AI399">
        <f t="shared" si="268"/>
        <v>1.5707963267948966</v>
      </c>
      <c r="AJ399" t="str">
        <f t="shared" si="251"/>
        <v>-3068,92285827612+475,947397057242i</v>
      </c>
      <c r="AK399">
        <f t="shared" si="269"/>
        <v>3105.6099939971914</v>
      </c>
      <c r="AL399">
        <f t="shared" si="270"/>
        <v>2.9877322364787702</v>
      </c>
      <c r="AM399" t="str">
        <f t="shared" si="252"/>
        <v>1+654,275085873925i</v>
      </c>
      <c r="AN399">
        <f t="shared" si="271"/>
        <v>654.27585007803248</v>
      </c>
      <c r="AO399">
        <f t="shared" si="272"/>
        <v>1.5692679188776255</v>
      </c>
      <c r="AP399" t="str">
        <f t="shared" si="253"/>
        <v>1+459,550357935257i</v>
      </c>
      <c r="AQ399">
        <f t="shared" si="273"/>
        <v>459.55144595401157</v>
      </c>
      <c r="AR399">
        <f t="shared" si="274"/>
        <v>1.5686202901443891</v>
      </c>
      <c r="AS399" s="42" t="str">
        <f t="shared" si="275"/>
        <v>-0,742278595233152+4,90617526759848i</v>
      </c>
      <c r="AT399">
        <f t="shared" si="276"/>
        <v>13.913150944798605</v>
      </c>
      <c r="AU399" s="44">
        <f t="shared" si="277"/>
        <v>98.603303495410145</v>
      </c>
      <c r="AV399" s="42" t="str">
        <f t="shared" si="254"/>
        <v>0,109961539443805-0,1484058143589i</v>
      </c>
      <c r="AW399" s="20">
        <f t="shared" si="278"/>
        <v>-14.670441106463763</v>
      </c>
      <c r="AX399" s="44">
        <f t="shared" si="279"/>
        <v>-53.463340993780648</v>
      </c>
    </row>
    <row r="400" spans="14:50" x14ac:dyDescent="0.3">
      <c r="N400" s="8">
        <v>82</v>
      </c>
      <c r="O400" s="35">
        <f t="shared" si="280"/>
        <v>66069.344800759733</v>
      </c>
      <c r="P400" s="34" t="str">
        <f t="shared" si="245"/>
        <v>324,571428571429</v>
      </c>
      <c r="Q400" s="4" t="str">
        <f t="shared" si="246"/>
        <v>1+9488,59283444837i</v>
      </c>
      <c r="R400" s="4">
        <f t="shared" si="255"/>
        <v>9488.5928871432225</v>
      </c>
      <c r="S400" s="4">
        <f t="shared" si="256"/>
        <v>1.570690937090254</v>
      </c>
      <c r="T400" s="4" t="str">
        <f t="shared" si="247"/>
        <v>1+0,0830251873014232i</v>
      </c>
      <c r="U400" s="4">
        <f t="shared" si="257"/>
        <v>1.0034406717521651</v>
      </c>
      <c r="V400" s="4">
        <f t="shared" si="258"/>
        <v>8.2835203206868033E-2</v>
      </c>
      <c r="W400" t="str">
        <f t="shared" si="248"/>
        <v>1-0,72070475088041i</v>
      </c>
      <c r="X400" s="4">
        <f t="shared" si="259"/>
        <v>1.23264566601339</v>
      </c>
      <c r="Y400" s="4">
        <f t="shared" si="260"/>
        <v>-0.62448703835220676</v>
      </c>
      <c r="Z400" t="str">
        <f t="shared" si="249"/>
        <v>0,982539366710393+0,617932253404863i</v>
      </c>
      <c r="AA400" s="4">
        <f t="shared" si="261"/>
        <v>1.1606997359066091</v>
      </c>
      <c r="AB400" s="4">
        <f t="shared" si="262"/>
        <v>0.56140855549188384</v>
      </c>
      <c r="AC400" s="48" t="str">
        <f t="shared" si="263"/>
        <v>-0,0325347969037665-0,0164383099890888i</v>
      </c>
      <c r="AD400" s="20">
        <f t="shared" si="264"/>
        <v>-28.765629178917958</v>
      </c>
      <c r="AE400" s="44">
        <f t="shared" si="265"/>
        <v>-153.19466654628465</v>
      </c>
      <c r="AF400" t="str">
        <f t="shared" si="250"/>
        <v>-20791,6666666667</v>
      </c>
      <c r="AG400" t="str">
        <f t="shared" si="266"/>
        <v>415125,936507116i</v>
      </c>
      <c r="AH400">
        <f t="shared" si="267"/>
        <v>415125.93650711601</v>
      </c>
      <c r="AI400">
        <f t="shared" si="268"/>
        <v>1.5707963267948966</v>
      </c>
      <c r="AJ400" t="str">
        <f t="shared" si="251"/>
        <v>-3213,60386521494+487,033636102942i</v>
      </c>
      <c r="AK400">
        <f t="shared" si="269"/>
        <v>3250.3002269359754</v>
      </c>
      <c r="AL400">
        <f t="shared" si="270"/>
        <v>2.9911835180708541</v>
      </c>
      <c r="AM400" t="str">
        <f t="shared" si="252"/>
        <v>1+669,515110398676i</v>
      </c>
      <c r="AN400">
        <f t="shared" si="271"/>
        <v>669.51585720739376</v>
      </c>
      <c r="AO400">
        <f t="shared" si="272"/>
        <v>1.56930270963699</v>
      </c>
      <c r="AP400" t="str">
        <f t="shared" si="253"/>
        <v>1+470,254660875261i</v>
      </c>
      <c r="AQ400">
        <f t="shared" si="273"/>
        <v>470.2557241277417</v>
      </c>
      <c r="AR400">
        <f t="shared" si="274"/>
        <v>1.5686698226347926</v>
      </c>
      <c r="AS400" s="42" t="str">
        <f t="shared" si="275"/>
        <v>-0,709600189526544+4,79938003979194i</v>
      </c>
      <c r="AT400">
        <f t="shared" si="276"/>
        <v>13.717618311711977</v>
      </c>
      <c r="AU400" s="44">
        <f t="shared" si="277"/>
        <v>98.410390992599119</v>
      </c>
      <c r="AV400" s="42" t="str">
        <f t="shared" si="254"/>
        <v>0,101980394898666-0,144482226974868i</v>
      </c>
      <c r="AW400" s="20">
        <f t="shared" si="278"/>
        <v>-15.048010867205967</v>
      </c>
      <c r="AX400" s="44">
        <f t="shared" si="279"/>
        <v>-54.784275553685418</v>
      </c>
    </row>
    <row r="401" spans="14:50" x14ac:dyDescent="0.3">
      <c r="N401" s="8">
        <v>83</v>
      </c>
      <c r="O401" s="35">
        <f t="shared" si="280"/>
        <v>67608.297539198305</v>
      </c>
      <c r="P401" s="34" t="str">
        <f t="shared" si="245"/>
        <v>324,571428571429</v>
      </c>
      <c r="Q401" s="4" t="str">
        <f t="shared" si="246"/>
        <v>1+9709,61055409639i</v>
      </c>
      <c r="R401" s="4">
        <f t="shared" si="255"/>
        <v>9709.6106055917626</v>
      </c>
      <c r="S401" s="4">
        <f t="shared" si="256"/>
        <v>1.570693336052797</v>
      </c>
      <c r="T401" s="4" t="str">
        <f t="shared" si="247"/>
        <v>1+0,0849590923483434i</v>
      </c>
      <c r="U401" s="4">
        <f t="shared" si="257"/>
        <v>1.0036025345587039</v>
      </c>
      <c r="V401" s="4">
        <f t="shared" si="258"/>
        <v>8.4755560169055374E-2</v>
      </c>
      <c r="W401" t="str">
        <f t="shared" si="248"/>
        <v>1-0,73749212107937i</v>
      </c>
      <c r="X401" s="4">
        <f t="shared" si="259"/>
        <v>1.242535564341781</v>
      </c>
      <c r="Y401" s="4">
        <f t="shared" si="260"/>
        <v>-0.63544788956706399</v>
      </c>
      <c r="Z401" t="str">
        <f t="shared" si="249"/>
        <v>0,981716472415405+0,632325744613451i</v>
      </c>
      <c r="AA401" s="4">
        <f t="shared" si="261"/>
        <v>1.1677341647449995</v>
      </c>
      <c r="AB401" s="4">
        <f t="shared" si="262"/>
        <v>0.57221796357987442</v>
      </c>
      <c r="AC401" s="48" t="str">
        <f t="shared" si="263"/>
        <v>-0,0321746673826872-0,0154624131186459i</v>
      </c>
      <c r="AD401" s="20">
        <f t="shared" si="264"/>
        <v>-28.947298707731409</v>
      </c>
      <c r="AE401" s="44">
        <f t="shared" si="265"/>
        <v>-154.33211962458026</v>
      </c>
      <c r="AF401" t="str">
        <f t="shared" si="250"/>
        <v>-20791,6666666667</v>
      </c>
      <c r="AG401" t="str">
        <f t="shared" si="266"/>
        <v>424795,461741717i</v>
      </c>
      <c r="AH401">
        <f t="shared" si="267"/>
        <v>424795.46174171701</v>
      </c>
      <c r="AI401">
        <f t="shared" si="268"/>
        <v>1.5707963267948966</v>
      </c>
      <c r="AJ401" t="str">
        <f t="shared" si="251"/>
        <v>-3365,10347794134+498,378106829155i</v>
      </c>
      <c r="AK401">
        <f t="shared" si="269"/>
        <v>3401.808659319262</v>
      </c>
      <c r="AL401">
        <f t="shared" si="270"/>
        <v>2.9945595859581431</v>
      </c>
      <c r="AM401" t="str">
        <f t="shared" si="252"/>
        <v>1+685,110120697041i</v>
      </c>
      <c r="AN401">
        <f t="shared" si="271"/>
        <v>685.11085050633528</v>
      </c>
      <c r="AO401">
        <f t="shared" si="272"/>
        <v>1.5693367084654803</v>
      </c>
      <c r="AP401" t="str">
        <f t="shared" si="253"/>
        <v>1+481,208299061017i</v>
      </c>
      <c r="AQ401">
        <f t="shared" si="273"/>
        <v>481.20933811096927</v>
      </c>
      <c r="AR401">
        <f t="shared" si="274"/>
        <v>1.5687182276381444</v>
      </c>
      <c r="AS401" s="42" t="str">
        <f t="shared" si="275"/>
        <v>-0,678329694786791+4,69469903083039i</v>
      </c>
      <c r="AT401">
        <f t="shared" si="276"/>
        <v>13.521888909000829</v>
      </c>
      <c r="AU401" s="44">
        <f t="shared" si="277"/>
        <v>98.221677943088054</v>
      </c>
      <c r="AV401" s="42" t="str">
        <f t="shared" si="254"/>
        <v>0,0944164081879707-0,140561765807353i</v>
      </c>
      <c r="AW401" s="20">
        <f t="shared" si="278"/>
        <v>-15.425409798730596</v>
      </c>
      <c r="AX401" s="44">
        <f t="shared" si="279"/>
        <v>-56.110441681492134</v>
      </c>
    </row>
    <row r="402" spans="14:50" x14ac:dyDescent="0.3">
      <c r="N402" s="8">
        <v>84</v>
      </c>
      <c r="O402" s="35">
        <f t="shared" si="280"/>
        <v>69183.097091893651</v>
      </c>
      <c r="P402" s="34" t="str">
        <f t="shared" si="245"/>
        <v>324,571428571429</v>
      </c>
      <c r="Q402" s="4" t="str">
        <f t="shared" si="246"/>
        <v>1+9935,77643778206i</v>
      </c>
      <c r="R402" s="4">
        <f t="shared" si="255"/>
        <v>9935.7764881052535</v>
      </c>
      <c r="S402" s="4">
        <f t="shared" si="256"/>
        <v>1.570695680408287</v>
      </c>
      <c r="T402" s="4" t="str">
        <f t="shared" si="247"/>
        <v>1+0,086938043830593i</v>
      </c>
      <c r="U402" s="4">
        <f t="shared" si="257"/>
        <v>1.0037719977490358</v>
      </c>
      <c r="V402" s="4">
        <f t="shared" si="258"/>
        <v>8.6719999409187204E-2</v>
      </c>
      <c r="W402" t="str">
        <f t="shared" si="248"/>
        <v>1-0,754670519362787i</v>
      </c>
      <c r="X402" s="4">
        <f t="shared" si="259"/>
        <v>1.252807883434367</v>
      </c>
      <c r="Y402" s="4">
        <f t="shared" si="260"/>
        <v>-0.64648354614767467</v>
      </c>
      <c r="Z402" t="str">
        <f t="shared" si="249"/>
        <v>0,980854796307094+0,647054503301652i</v>
      </c>
      <c r="AA402" s="4">
        <f t="shared" si="261"/>
        <v>1.1750555994001213</v>
      </c>
      <c r="AB402" s="4">
        <f t="shared" si="262"/>
        <v>0.58315306247537657</v>
      </c>
      <c r="AC402" s="48" t="str">
        <f t="shared" si="263"/>
        <v>-0,0318066787836003-0,0145095341368943i</v>
      </c>
      <c r="AD402" s="20">
        <f t="shared" si="264"/>
        <v>-29.128607779176754</v>
      </c>
      <c r="AE402" s="44">
        <f t="shared" si="265"/>
        <v>-155.47853143018116</v>
      </c>
      <c r="AF402" t="str">
        <f t="shared" si="250"/>
        <v>-20791,6666666667</v>
      </c>
      <c r="AG402" t="str">
        <f t="shared" si="266"/>
        <v>434690,219152965i</v>
      </c>
      <c r="AH402">
        <f t="shared" si="267"/>
        <v>434690.219152965</v>
      </c>
      <c r="AI402">
        <f t="shared" si="268"/>
        <v>1.5707963267948966</v>
      </c>
      <c r="AJ402" t="str">
        <f t="shared" si="251"/>
        <v>-3523,74304744578+509,986824224422i</v>
      </c>
      <c r="AK402">
        <f t="shared" si="269"/>
        <v>3560.4566596582781</v>
      </c>
      <c r="AL402">
        <f t="shared" si="270"/>
        <v>2.9978619349655546</v>
      </c>
      <c r="AM402" t="str">
        <f t="shared" si="252"/>
        <v>1+701,068385449901i</v>
      </c>
      <c r="AN402">
        <f t="shared" si="271"/>
        <v>701.06909864672468</v>
      </c>
      <c r="AO402">
        <f t="shared" si="272"/>
        <v>1.5693699333894104</v>
      </c>
      <c r="AP402" t="str">
        <f t="shared" si="253"/>
        <v>1+492,417080256479i</v>
      </c>
      <c r="AQ402">
        <f t="shared" si="273"/>
        <v>492.41809565481617</v>
      </c>
      <c r="AR402">
        <f t="shared" si="274"/>
        <v>1.56876553081851</v>
      </c>
      <c r="AS402" s="42" t="str">
        <f t="shared" si="275"/>
        <v>-0,648409106041105+4,59210428205553i</v>
      </c>
      <c r="AT402">
        <f t="shared" si="276"/>
        <v>13.325971222560334</v>
      </c>
      <c r="AU402" s="44">
        <f t="shared" si="277"/>
        <v>98.037081202992525</v>
      </c>
      <c r="AV402" s="42" t="str">
        <f t="shared" si="254"/>
        <v>0,0872530339968741-0,136651471781359i</v>
      </c>
      <c r="AW402" s="20">
        <f t="shared" si="278"/>
        <v>-15.802636556616429</v>
      </c>
      <c r="AX402" s="44">
        <f t="shared" si="279"/>
        <v>-57.441450227188597</v>
      </c>
    </row>
    <row r="403" spans="14:50" x14ac:dyDescent="0.3">
      <c r="N403" s="8">
        <v>85</v>
      </c>
      <c r="O403" s="35">
        <f t="shared" si="280"/>
        <v>70794.578438413781</v>
      </c>
      <c r="P403" s="34" t="str">
        <f t="shared" ref="P403:P466" si="281">COMPLEX(Adc,0)</f>
        <v>324,571428571429</v>
      </c>
      <c r="Q403" s="4" t="str">
        <f t="shared" ref="Q403:Q466" si="282">IMSUM(COMPLEX(1,0),IMDIV(COMPLEX(0,2*PI()*O403),COMPLEX(wp_lf,0)))</f>
        <v>1+10167,2104016506i</v>
      </c>
      <c r="R403" s="4">
        <f t="shared" si="255"/>
        <v>10167.210450828296</v>
      </c>
      <c r="S403" s="4">
        <f t="shared" si="256"/>
        <v>1.570697971399732</v>
      </c>
      <c r="T403" s="4" t="str">
        <f t="shared" ref="T403:T466" si="283">IMSUM(COMPLEX(1,0),IMDIV(COMPLEX(0,2*PI()*O403),COMPLEX(wz_esr,0)))</f>
        <v>1+0,0889630910144428i</v>
      </c>
      <c r="U403" s="4">
        <f t="shared" si="257"/>
        <v>1.0039494168347547</v>
      </c>
      <c r="V403" s="4">
        <f t="shared" si="258"/>
        <v>8.8729501818774537E-2</v>
      </c>
      <c r="W403" t="str">
        <f t="shared" ref="W403:W466" si="284">IMSUB(COMPLEX(1,0),IMDIV(COMPLEX(0,2*PI()*O403),COMPLEX(wz_rhp,0)))</f>
        <v>1-0,772249053944816i</v>
      </c>
      <c r="X403" s="4">
        <f t="shared" si="259"/>
        <v>1.2634748123008481</v>
      </c>
      <c r="Y403" s="4">
        <f t="shared" si="260"/>
        <v>-0.65758910783417035</v>
      </c>
      <c r="Z403" t="str">
        <f t="shared" ref="Z403:Z466" si="285">IMSUM(COMPLEX(1,0),IMDIV(COMPLEX(0,2*PI()*O403),COMPLEX(Q*(wsl/2),0)),IMDIV(IMPOWER(COMPLEX(0,2*PI()*O403),2),IMPOWER(COMPLEX(wsl/2,0),2)))</f>
        <v>0,979952510654909+0,662126338852285i</v>
      </c>
      <c r="AA403" s="4">
        <f t="shared" si="261"/>
        <v>1.1826741781829813</v>
      </c>
      <c r="AB403" s="4">
        <f t="shared" si="262"/>
        <v>0.59421108639520304</v>
      </c>
      <c r="AC403" s="48" t="str">
        <f t="shared" si="263"/>
        <v>-0,0314309748450609-0,0135796450963964i</v>
      </c>
      <c r="AD403" s="20">
        <f t="shared" si="264"/>
        <v>-29.30956440998736</v>
      </c>
      <c r="AE403" s="44">
        <f t="shared" si="265"/>
        <v>-156.63340660145039</v>
      </c>
      <c r="AF403" t="str">
        <f t="shared" ref="AF403:AF466" si="286">COMPLEX(Adc_ea_iso,0)</f>
        <v>-20791,6666666667</v>
      </c>
      <c r="AG403" t="str">
        <f t="shared" si="266"/>
        <v>444815,455072214i</v>
      </c>
      <c r="AH403">
        <f t="shared" si="267"/>
        <v>444815.45507221401</v>
      </c>
      <c r="AI403">
        <f t="shared" si="268"/>
        <v>1.5707963267948966</v>
      </c>
      <c r="AJ403" t="str">
        <f t="shared" ref="AJ403:AJ466" si="287">IMSUM(IMPRODUCT(COMPLEX(wpA_ea_iso,0),IMPOWER(COMPLEX(0,2*PI()*O403),2)),COMPLEX(0,wpB_ea_iso*2*PI()*O403),COMPLEX(1,0))</f>
        <v>-3689,85906952439+521,865943384369i</v>
      </c>
      <c r="AK403">
        <f t="shared" si="269"/>
        <v>3726.5807405470041</v>
      </c>
      <c r="AL403">
        <f t="shared" si="270"/>
        <v>3.0010920397386807</v>
      </c>
      <c r="AM403" t="str">
        <f t="shared" ref="AM403:AM466" si="288">IMSUM(COMPLEX(1,0),IMDIV(COMPLEX(0,2*PI()*O403),COMPLEX(wz1_ea_iso,0)))</f>
        <v>1+717,398365940466i</v>
      </c>
      <c r="AN403">
        <f t="shared" si="271"/>
        <v>717.39906290296381</v>
      </c>
      <c r="AO403">
        <f t="shared" si="272"/>
        <v>1.5694024020247817</v>
      </c>
      <c r="AP403" t="str">
        <f t="shared" ref="AP403:AP466" si="289">IMSUM(COMPLEX(1,0),IMDIV(COMPLEX(0,2*PI()*O403),COMPLEX(wz2_ea_iso,0)))</f>
        <v>1+503,886947505804i</v>
      </c>
      <c r="AQ403">
        <f t="shared" si="273"/>
        <v>503.88793979089934</v>
      </c>
      <c r="AR403">
        <f t="shared" si="274"/>
        <v>1.5688117572558149</v>
      </c>
      <c r="AS403" s="42" t="str">
        <f t="shared" si="275"/>
        <v>-0,619782578522487+4,49156722757821i</v>
      </c>
      <c r="AT403">
        <f t="shared" si="276"/>
        <v>13.129873387954285</v>
      </c>
      <c r="AU403" s="44">
        <f t="shared" si="277"/>
        <v>97.856518727640079</v>
      </c>
      <c r="AV403" s="42" t="str">
        <f t="shared" ref="AV403:AV466" si="290">IMPRODUCT(AC403,AS403)</f>
        <v>0,0804742595120645-0,132757909091646i</v>
      </c>
      <c r="AW403" s="20">
        <f t="shared" si="278"/>
        <v>-16.179691022033069</v>
      </c>
      <c r="AX403" s="44">
        <f t="shared" si="279"/>
        <v>-58.776887873810331</v>
      </c>
    </row>
    <row r="404" spans="14:50" x14ac:dyDescent="0.3">
      <c r="N404" s="8">
        <v>86</v>
      </c>
      <c r="O404" s="35">
        <f t="shared" si="280"/>
        <v>72443.596007499116</v>
      </c>
      <c r="P404" s="34" t="str">
        <f t="shared" si="281"/>
        <v>324,571428571429</v>
      </c>
      <c r="Q404" s="4" t="str">
        <f t="shared" si="282"/>
        <v>1+10404,0351550531i</v>
      </c>
      <c r="R404" s="4">
        <f t="shared" ref="R404:R467" si="291">IMABS(Q404)</f>
        <v>10404.035203111376</v>
      </c>
      <c r="S404" s="4">
        <f t="shared" ref="S404:S467" si="292">IMARGUMENT(Q404)</f>
        <v>1.5707002102418461</v>
      </c>
      <c r="T404" s="4" t="str">
        <f t="shared" si="283"/>
        <v>1+0,0910353076067144i</v>
      </c>
      <c r="U404" s="4">
        <f t="shared" ref="U404:U467" si="293">IMABS(T404)</f>
        <v>1.0041351638255924</v>
      </c>
      <c r="V404" s="4">
        <f t="shared" ref="V404:V467" si="294">IMARGUMENT(T404)</f>
        <v>9.078506791003868E-2</v>
      </c>
      <c r="W404" t="str">
        <f t="shared" si="284"/>
        <v>1-0,790237045197174i</v>
      </c>
      <c r="X404" s="4">
        <f t="shared" ref="X404:X467" si="295">IMABS(W404)</f>
        <v>1.2745487780394913</v>
      </c>
      <c r="Y404" s="4">
        <f t="shared" ref="Y404:Y467" si="296">IMARGUMENT(W404)</f>
        <v>-0.66875950590350786</v>
      </c>
      <c r="Z404" t="str">
        <f t="shared" si="285"/>
        <v>0,979007701590009+0,677549242552056i</v>
      </c>
      <c r="AA404" s="4">
        <f t="shared" ref="AA404:AA467" si="297">IMABS(Z404)</f>
        <v>1.1906002922288474</v>
      </c>
      <c r="AB404" s="4">
        <f t="shared" ref="AB404:AB467" si="298">IMARGUMENT(Z404)</f>
        <v>0.60538906443515839</v>
      </c>
      <c r="AC404" s="48" t="str">
        <f t="shared" ref="AC404:AC467" si="299">(IMDIV(IMPRODUCT(P404,T404,W404),IMPRODUCT(Q404,Z404)))</f>
        <v>-0,0310477220210635-0,012672725596521i</v>
      </c>
      <c r="AD404" s="20">
        <f t="shared" ref="AD404:AD467" si="300">20*LOG(IMABS(AC404))</f>
        <v>-29.490177479003719</v>
      </c>
      <c r="AE404" s="44">
        <f t="shared" ref="AE404:AE467" si="301">(180/PI())*IMARGUMENT(AC404)</f>
        <v>-157.79622724614853</v>
      </c>
      <c r="AF404" t="str">
        <f t="shared" si="286"/>
        <v>-20791,6666666667</v>
      </c>
      <c r="AG404" t="str">
        <f t="shared" ref="AG404:AG467" si="302">COMPLEX(0,1*2*PI()*O404)</f>
        <v>455176,538033572i</v>
      </c>
      <c r="AH404">
        <f t="shared" ref="AH404:AH467" si="303">IMABS(AG404)</f>
        <v>455176.53803357203</v>
      </c>
      <c r="AI404">
        <f t="shared" ref="AI404:AI467" si="304">IMARGUMENT(AG404)</f>
        <v>1.5707963267948966</v>
      </c>
      <c r="AJ404" t="str">
        <f t="shared" si="287"/>
        <v>-3863,80389853158+534,021762775211i</v>
      </c>
      <c r="AK404">
        <f t="shared" ref="AK404:AK467" si="305">IMABS(AJ404)</f>
        <v>3900.5332724417799</v>
      </c>
      <c r="AL404">
        <f t="shared" ref="AL404:AL467" si="306">IMARGUMENT(AJ404)</f>
        <v>3.0042513543476321</v>
      </c>
      <c r="AM404" t="str">
        <f t="shared" si="288"/>
        <v>1+734,108720540544i</v>
      </c>
      <c r="AN404">
        <f t="shared" ref="AN404:AN467" si="307">IMABS(AM404)</f>
        <v>734.10940163825353</v>
      </c>
      <c r="AO404">
        <f t="shared" ref="AO404:AO467" si="308">IMARGUMENT(AM404)</f>
        <v>1.5694341315866196</v>
      </c>
      <c r="AP404" t="str">
        <f t="shared" si="289"/>
        <v>1+515,62398228443i</v>
      </c>
      <c r="AQ404">
        <f t="shared" ref="AQ404:AQ467" si="309">IMABS(AP404)</f>
        <v>515.62495198240174</v>
      </c>
      <c r="AR404">
        <f t="shared" ref="AR404:AR467" si="310">IMARGUMENT(AP404)</f>
        <v>1.568856931459137</v>
      </c>
      <c r="AS404" s="42" t="str">
        <f t="shared" ref="AS404:AS467" si="311">IMDIV(IMPRODUCT(AF404,AM404,AP404),IMPRODUCT(AG404,AJ404))</f>
        <v>-0,592396367423881+4,39305878048241i</v>
      </c>
      <c r="AT404">
        <f t="shared" ref="AT404:AT467" si="312">20*LOG(IMABS(AS404))</f>
        <v>12.933603203525443</v>
      </c>
      <c r="AU404" s="44">
        <f t="shared" ref="AU404:AU467" si="313">(180/PI())*IMARGUMENT(AS404)</f>
        <v>97.679909595565519</v>
      </c>
      <c r="AV404" s="42" t="str">
        <f t="shared" si="290"/>
        <v>0,0740645861965052-0,128887191229871i</v>
      </c>
      <c r="AW404" s="20">
        <f t="shared" ref="AW404:AW467" si="314">20*LOG(IMABS(AV404))</f>
        <v>-16.556574275478301</v>
      </c>
      <c r="AX404" s="44">
        <f t="shared" ref="AX404:AX467" si="315">(180/PI())*IMARGUMENT(AV404)</f>
        <v>-60.116317650582907</v>
      </c>
    </row>
    <row r="405" spans="14:50" x14ac:dyDescent="0.3">
      <c r="N405" s="8">
        <v>87</v>
      </c>
      <c r="O405" s="35">
        <f t="shared" si="280"/>
        <v>74131.024130091857</v>
      </c>
      <c r="P405" s="34" t="str">
        <f t="shared" si="281"/>
        <v>324,571428571429</v>
      </c>
      <c r="Q405" s="4" t="str">
        <f t="shared" si="282"/>
        <v>1+10646,3762656084i</v>
      </c>
      <c r="R405" s="4">
        <f t="shared" si="291"/>
        <v>10646.376312572736</v>
      </c>
      <c r="S405" s="4">
        <f t="shared" si="292"/>
        <v>1.5707023981216925</v>
      </c>
      <c r="T405" s="4" t="str">
        <f t="shared" si="283"/>
        <v>1+0,0931557923240738i</v>
      </c>
      <c r="U405" s="4">
        <f t="shared" si="293"/>
        <v>1.0043296279825293</v>
      </c>
      <c r="V405" s="4">
        <f t="shared" si="294"/>
        <v>9.2887718048958595E-2</v>
      </c>
      <c r="W405" t="str">
        <f t="shared" si="284"/>
        <v>1-0,808644030590918i</v>
      </c>
      <c r="X405" s="4">
        <f t="shared" si="295"/>
        <v>1.2860424441713911</v>
      </c>
      <c r="Y405" s="4">
        <f t="shared" si="296"/>
        <v>-0.67998951305982069</v>
      </c>
      <c r="Z405" t="str">
        <f t="shared" si="285"/>
        <v>0,978018365045695+0,693331391828653i</v>
      </c>
      <c r="AA405" s="4">
        <f t="shared" si="297"/>
        <v>1.1988445859500352</v>
      </c>
      <c r="AB405" s="4">
        <f t="shared" si="298"/>
        <v>0.61668382212443706</v>
      </c>
      <c r="AC405" s="48" t="str">
        <f t="shared" si="299"/>
        <v>-0,0306571097725446-0,011788760990829i</v>
      </c>
      <c r="AD405" s="20">
        <f t="shared" si="300"/>
        <v>-29.670456707512621</v>
      </c>
      <c r="AE405" s="44">
        <f t="shared" si="301"/>
        <v>-158.96645358385405</v>
      </c>
      <c r="AF405" t="str">
        <f t="shared" si="286"/>
        <v>-20791,6666666667</v>
      </c>
      <c r="AG405" t="str">
        <f t="shared" si="302"/>
        <v>465778,961620369i</v>
      </c>
      <c r="AH405">
        <f t="shared" si="303"/>
        <v>465778.96162036899</v>
      </c>
      <c r="AI405">
        <f t="shared" si="304"/>
        <v>1.5707963267948966</v>
      </c>
      <c r="AJ405" t="str">
        <f t="shared" si="287"/>
        <v>-4045,94649477084+546,460727573287i</v>
      </c>
      <c r="AK405">
        <f t="shared" si="305"/>
        <v>4082.683231078352</v>
      </c>
      <c r="AL405">
        <f t="shared" si="306"/>
        <v>3.0073413119498591</v>
      </c>
      <c r="AM405" t="str">
        <f t="shared" si="288"/>
        <v>1+751,208309301331i</v>
      </c>
      <c r="AN405">
        <f t="shared" si="307"/>
        <v>751.20897489537776</v>
      </c>
      <c r="AO405">
        <f t="shared" si="308"/>
        <v>1.5694651388981029</v>
      </c>
      <c r="AP405" t="str">
        <f t="shared" si="289"/>
        <v>1+527,634407723554i</v>
      </c>
      <c r="AQ405">
        <f t="shared" si="309"/>
        <v>527.6353553485452</v>
      </c>
      <c r="AR405">
        <f t="shared" si="310"/>
        <v>1.568901077379699</v>
      </c>
      <c r="AS405" s="42" t="str">
        <f t="shared" si="311"/>
        <v>-0,566198767437257+4,29654941331801i</v>
      </c>
      <c r="AT405">
        <f t="shared" si="312"/>
        <v>12.737168143133857</v>
      </c>
      <c r="AU405" s="44">
        <f t="shared" si="313"/>
        <v>97.507174029096504</v>
      </c>
      <c r="AV405" s="42" t="str">
        <f t="shared" si="290"/>
        <v>0,068009011885296-0,125045005064633i</v>
      </c>
      <c r="AW405" s="20">
        <f t="shared" si="314"/>
        <v>-16.933288564378742</v>
      </c>
      <c r="AX405" s="44">
        <f t="shared" si="315"/>
        <v>-61.459279554757643</v>
      </c>
    </row>
    <row r="406" spans="14:50" x14ac:dyDescent="0.3">
      <c r="N406" s="8">
        <v>88</v>
      </c>
      <c r="O406" s="35">
        <f t="shared" si="280"/>
        <v>75857.757502918481</v>
      </c>
      <c r="P406" s="34" t="str">
        <f t="shared" si="281"/>
        <v>324,571428571429</v>
      </c>
      <c r="Q406" s="4" t="str">
        <f t="shared" si="282"/>
        <v>1+10894,3622257812i</v>
      </c>
      <c r="R406" s="4">
        <f t="shared" si="291"/>
        <v>10894.362271676497</v>
      </c>
      <c r="S406" s="4">
        <f t="shared" si="292"/>
        <v>1.5707045361993146</v>
      </c>
      <c r="T406" s="4" t="str">
        <f t="shared" si="283"/>
        <v>1+0,0953256694755858i</v>
      </c>
      <c r="U406" s="4">
        <f t="shared" si="293"/>
        <v>1.0045332166040946</v>
      </c>
      <c r="V406" s="4">
        <f t="shared" si="294"/>
        <v>9.503849267854507E-2</v>
      </c>
      <c r="W406" t="str">
        <f t="shared" si="284"/>
        <v>1-0,827479769753349i</v>
      </c>
      <c r="X406" s="4">
        <f t="shared" si="295"/>
        <v>1.2979687089260108</v>
      </c>
      <c r="Y406" s="4">
        <f t="shared" si="296"/>
        <v>-0.6912737542336117</v>
      </c>
      <c r="Z406" t="str">
        <f t="shared" si="285"/>
        <v>0,976982402506514+0,709481154586521i</v>
      </c>
      <c r="AA406" s="4">
        <f t="shared" si="297"/>
        <v>1.2074179572628623</v>
      </c>
      <c r="AB406" s="4">
        <f t="shared" si="298"/>
        <v>0.62809198390039833</v>
      </c>
      <c r="AC406" s="48" t="str">
        <f t="shared" si="299"/>
        <v>-0,0302593507336677-0,0109277405420572i</v>
      </c>
      <c r="AD406" s="20">
        <f t="shared" si="300"/>
        <v>-29.850412632906504</v>
      </c>
      <c r="AE406" s="44">
        <f t="shared" si="301"/>
        <v>-160.14352469374992</v>
      </c>
      <c r="AF406" t="str">
        <f t="shared" si="286"/>
        <v>-20791,6666666667</v>
      </c>
      <c r="AG406" t="str">
        <f t="shared" si="302"/>
        <v>476628,347377929i</v>
      </c>
      <c r="AH406">
        <f t="shared" si="303"/>
        <v>476628.34737792902</v>
      </c>
      <c r="AI406">
        <f t="shared" si="304"/>
        <v>1.5707963267948966</v>
      </c>
      <c r="AJ406" t="str">
        <f t="shared" si="287"/>
        <v>-4236,67320710906+559,189433082388i</v>
      </c>
      <c r="AK406">
        <f t="shared" si="305"/>
        <v>4273.4169801116732</v>
      </c>
      <c r="AL406">
        <f t="shared" si="306"/>
        <v>3.0103633245080035</v>
      </c>
      <c r="AM406" t="str">
        <f t="shared" si="288"/>
        <v>1+768,706198651123i</v>
      </c>
      <c r="AN406">
        <f t="shared" si="307"/>
        <v>768.70684909441241</v>
      </c>
      <c r="AO406">
        <f t="shared" si="308"/>
        <v>1.5694954403994794</v>
      </c>
      <c r="AP406" t="str">
        <f t="shared" si="289"/>
        <v>1+539,924591909718i</v>
      </c>
      <c r="AQ406">
        <f t="shared" si="309"/>
        <v>539.92551796416831</v>
      </c>
      <c r="AR406">
        <f t="shared" si="310"/>
        <v>1.5689442184235636</v>
      </c>
      <c r="AS406" s="42" t="str">
        <f t="shared" si="311"/>
        <v>-0,541140052305259+4,20200923315568i</v>
      </c>
      <c r="AT406">
        <f t="shared" si="312"/>
        <v>12.540575368523417</v>
      </c>
      <c r="AU406" s="44">
        <f t="shared" si="313"/>
        <v>97.33823341175831</v>
      </c>
      <c r="AV406" s="42" t="str">
        <f t="shared" si="290"/>
        <v>0,0622930132939941-0,121236633083661i</v>
      </c>
      <c r="AW406" s="20">
        <f t="shared" si="314"/>
        <v>-17.309837264383066</v>
      </c>
      <c r="AX406" s="44">
        <f t="shared" si="315"/>
        <v>-62.8052912819917</v>
      </c>
    </row>
    <row r="407" spans="14:50" x14ac:dyDescent="0.3">
      <c r="N407" s="8">
        <v>89</v>
      </c>
      <c r="O407" s="35">
        <f t="shared" si="280"/>
        <v>77624.711662869129</v>
      </c>
      <c r="P407" s="34" t="str">
        <f t="shared" si="281"/>
        <v>324,571428571429</v>
      </c>
      <c r="Q407" s="4" t="str">
        <f t="shared" si="282"/>
        <v>1+11148,1245210101i</v>
      </c>
      <c r="R407" s="4">
        <f t="shared" si="291"/>
        <v>11148.124565860693</v>
      </c>
      <c r="S407" s="4">
        <f t="shared" si="292"/>
        <v>1.5707066256083488</v>
      </c>
      <c r="T407" s="4" t="str">
        <f t="shared" si="283"/>
        <v>1+0,0975460895588382i</v>
      </c>
      <c r="U407" s="4">
        <f t="shared" si="293"/>
        <v>1.0047463558471963</v>
      </c>
      <c r="V407" s="4">
        <f t="shared" si="294"/>
        <v>9.7238452531123773E-2</v>
      </c>
      <c r="W407" t="str">
        <f t="shared" si="284"/>
        <v>1-0,846754249642693i</v>
      </c>
      <c r="X407" s="4">
        <f t="shared" si="295"/>
        <v>1.3103407035149142</v>
      </c>
      <c r="Y407" s="4">
        <f t="shared" si="296"/>
        <v>-0.70260671824553322</v>
      </c>
      <c r="Z407" t="str">
        <f t="shared" si="285"/>
        <v>0,975897616557026+0,726007093643644i</v>
      </c>
      <c r="AA407" s="4">
        <f t="shared" si="297"/>
        <v>1.2163315576036722</v>
      </c>
      <c r="AB407" s="4">
        <f t="shared" si="298"/>
        <v>0.63960997653323215</v>
      </c>
      <c r="AC407" s="48" t="str">
        <f t="shared" si="299"/>
        <v>-0,0298546807444822-0,0100896555354518i</v>
      </c>
      <c r="AD407" s="20">
        <f t="shared" si="300"/>
        <v>-30.030056575557062</v>
      </c>
      <c r="AE407" s="44">
        <f t="shared" si="301"/>
        <v>-161.32685936699923</v>
      </c>
      <c r="AF407" t="str">
        <f t="shared" si="286"/>
        <v>-20791,6666666667</v>
      </c>
      <c r="AG407" t="str">
        <f t="shared" si="302"/>
        <v>487730,447794191i</v>
      </c>
      <c r="AH407">
        <f t="shared" si="303"/>
        <v>487730.44779419102</v>
      </c>
      <c r="AI407">
        <f t="shared" si="304"/>
        <v>1.5707963267948966</v>
      </c>
      <c r="AJ407" t="str">
        <f t="shared" si="287"/>
        <v>-4436,38859247429+572,214628230654i</v>
      </c>
      <c r="AK407">
        <f t="shared" si="305"/>
        <v>4473.1390906383804</v>
      </c>
      <c r="AL407">
        <f t="shared" si="306"/>
        <v>3.0133187825590269</v>
      </c>
      <c r="AM407" t="str">
        <f t="shared" si="288"/>
        <v>1+786,611666202471i</v>
      </c>
      <c r="AN407">
        <f t="shared" si="307"/>
        <v>786.61230183987584</v>
      </c>
      <c r="AO407">
        <f t="shared" si="308"/>
        <v>1.5695250521567838</v>
      </c>
      <c r="AP407" t="str">
        <f t="shared" si="289"/>
        <v>1+552,501051261259i</v>
      </c>
      <c r="AQ407">
        <f t="shared" si="309"/>
        <v>552.50195623617151</v>
      </c>
      <c r="AR407">
        <f t="shared" si="310"/>
        <v>1.5689863774640407</v>
      </c>
      <c r="AS407" s="42" t="str">
        <f t="shared" si="311"/>
        <v>-0,517172414587981+4,10940805147096i</v>
      </c>
      <c r="AT407">
        <f t="shared" si="312"/>
        <v>12.343831741316716</v>
      </c>
      <c r="AU407" s="44">
        <f t="shared" si="313"/>
        <v>97.173010302711859</v>
      </c>
      <c r="AV407" s="42" t="str">
        <f t="shared" si="290"/>
        <v>0,0569025290213313-0,11746697390984i</v>
      </c>
      <c r="AW407" s="20">
        <f t="shared" si="314"/>
        <v>-17.686224834240324</v>
      </c>
      <c r="AX407" s="44">
        <f t="shared" si="315"/>
        <v>-64.153849064287485</v>
      </c>
    </row>
    <row r="408" spans="14:50" x14ac:dyDescent="0.3">
      <c r="N408" s="8">
        <v>90</v>
      </c>
      <c r="O408" s="35">
        <f t="shared" si="280"/>
        <v>79432.823472428237</v>
      </c>
      <c r="P408" s="34" t="str">
        <f t="shared" si="281"/>
        <v>324,571428571429</v>
      </c>
      <c r="Q408" s="4" t="str">
        <f t="shared" si="282"/>
        <v>1+11407,7976994229i</v>
      </c>
      <c r="R408" s="4">
        <f t="shared" si="291"/>
        <v>11407.797743252568</v>
      </c>
      <c r="S408" s="4">
        <f t="shared" si="292"/>
        <v>1.5707086674566275</v>
      </c>
      <c r="T408" s="4" t="str">
        <f t="shared" si="283"/>
        <v>1+0,0998182298699502i</v>
      </c>
      <c r="U408" s="4">
        <f t="shared" si="293"/>
        <v>1.004969491583884</v>
      </c>
      <c r="V408" s="4">
        <f t="shared" si="294"/>
        <v>9.9488678828319591E-2</v>
      </c>
      <c r="W408" t="str">
        <f t="shared" si="284"/>
        <v>1-0,866477689843318i</v>
      </c>
      <c r="X408" s="4">
        <f t="shared" si="295"/>
        <v>1.3231717904324491</v>
      </c>
      <c r="Y408" s="4">
        <f t="shared" si="296"/>
        <v>-0.7139827702814493</v>
      </c>
      <c r="Z408" t="str">
        <f t="shared" si="285"/>
        <v>0,974761706220792+0,74291797127166i</v>
      </c>
      <c r="AA408" s="4">
        <f t="shared" si="297"/>
        <v>1.2255967917520298</v>
      </c>
      <c r="AB408" s="4">
        <f t="shared" si="298"/>
        <v>0.65123403352346643</v>
      </c>
      <c r="AC408" s="48" t="str">
        <f t="shared" si="299"/>
        <v>-0,0294433587425503-0,00927449736241001i</v>
      </c>
      <c r="AD408" s="20">
        <f t="shared" si="300"/>
        <v>-30.209400598869482</v>
      </c>
      <c r="AE408" s="44">
        <f t="shared" si="301"/>
        <v>-162.51585706204835</v>
      </c>
      <c r="AF408" t="str">
        <f t="shared" si="286"/>
        <v>-20791,6666666667</v>
      </c>
      <c r="AG408" t="str">
        <f t="shared" si="302"/>
        <v>499091,149349751i</v>
      </c>
      <c r="AH408">
        <f t="shared" si="303"/>
        <v>499091.14934975101</v>
      </c>
      <c r="AI408">
        <f t="shared" si="304"/>
        <v>1.5707963267948966</v>
      </c>
      <c r="AJ408" t="str">
        <f t="shared" si="287"/>
        <v>-4645,51627397524+585,543219148966i</v>
      </c>
      <c r="AK408">
        <f t="shared" si="305"/>
        <v>4682.2731993402667</v>
      </c>
      <c r="AL408">
        <f t="shared" si="306"/>
        <v>3.0162090550310294</v>
      </c>
      <c r="AM408" t="str">
        <f t="shared" si="288"/>
        <v>1+804,934205671278i</v>
      </c>
      <c r="AN408">
        <f t="shared" si="307"/>
        <v>804.93482683982018</v>
      </c>
      <c r="AO408">
        <f t="shared" si="308"/>
        <v>1.5695539898703539</v>
      </c>
      <c r="AP408" t="str">
        <f t="shared" si="289"/>
        <v>1+565,370453983398i</v>
      </c>
      <c r="AQ408">
        <f t="shared" si="309"/>
        <v>565.37133835859902</v>
      </c>
      <c r="AR408">
        <f t="shared" si="310"/>
        <v>1.5690275768538116</v>
      </c>
      <c r="AS408" s="42" t="str">
        <f t="shared" si="311"/>
        <v>-0,494249905824972+4,01871544911869i</v>
      </c>
      <c r="AT408">
        <f t="shared" si="312"/>
        <v>12.146943834640485</v>
      </c>
      <c r="AU408" s="44">
        <f t="shared" si="313"/>
        <v>97.011428448432</v>
      </c>
      <c r="AV408" s="42" t="str">
        <f t="shared" si="290"/>
        <v>0,051823943118804-0,113740561204686i</v>
      </c>
      <c r="AW408" s="20">
        <f t="shared" si="314"/>
        <v>-18.062456764228976</v>
      </c>
      <c r="AX408" s="44">
        <f t="shared" si="315"/>
        <v>-65.504428613616426</v>
      </c>
    </row>
    <row r="409" spans="14:50" x14ac:dyDescent="0.3">
      <c r="N409" s="8">
        <v>91</v>
      </c>
      <c r="O409" s="35">
        <f t="shared" si="280"/>
        <v>81283.051616410012</v>
      </c>
      <c r="P409" s="34" t="str">
        <f t="shared" si="281"/>
        <v>324,571428571429</v>
      </c>
      <c r="Q409" s="4" t="str">
        <f t="shared" si="282"/>
        <v>1+11673,5194431759i</v>
      </c>
      <c r="R409" s="4">
        <f t="shared" si="291"/>
        <v>11673.519486007883</v>
      </c>
      <c r="S409" s="4">
        <f t="shared" si="292"/>
        <v>1.570710662826766</v>
      </c>
      <c r="T409" s="4" t="str">
        <f t="shared" si="283"/>
        <v>1+0,102143295127789i</v>
      </c>
      <c r="U409" s="4">
        <f t="shared" si="293"/>
        <v>1.0052030902954698</v>
      </c>
      <c r="V409" s="4">
        <f t="shared" si="294"/>
        <v>0.10179027346734411</v>
      </c>
      <c r="W409" t="str">
        <f t="shared" si="284"/>
        <v>1-0,886660547984283i</v>
      </c>
      <c r="X409" s="4">
        <f t="shared" si="295"/>
        <v>1.3364755618236306</v>
      </c>
      <c r="Y409" s="4">
        <f t="shared" si="296"/>
        <v>-0.72539616511671678</v>
      </c>
      <c r="Z409" t="str">
        <f t="shared" si="285"/>
        <v>0,973572262079696+0,760222753841724i</v>
      </c>
      <c r="AA409" s="4">
        <f t="shared" si="297"/>
        <v>1.2352253174824708</v>
      </c>
      <c r="AB409" s="4">
        <f t="shared" si="298"/>
        <v>0.66296020048811599</v>
      </c>
      <c r="AC409" s="48" t="str">
        <f t="shared" si="299"/>
        <v>-0,0290256665073277-0,00848225558750648i</v>
      </c>
      <c r="AD409" s="20">
        <f t="shared" si="300"/>
        <v>-30.38845746255689</v>
      </c>
      <c r="AE409" s="44">
        <f t="shared" si="301"/>
        <v>-163.70989896028726</v>
      </c>
      <c r="AF409" t="str">
        <f t="shared" si="286"/>
        <v>-20791,6666666667</v>
      </c>
      <c r="AG409" t="str">
        <f t="shared" si="302"/>
        <v>510716,475638947i</v>
      </c>
      <c r="AH409">
        <f t="shared" si="303"/>
        <v>510716.47563894698</v>
      </c>
      <c r="AI409">
        <f t="shared" si="304"/>
        <v>1.5707963267948966</v>
      </c>
      <c r="AJ409" t="str">
        <f t="shared" si="287"/>
        <v>-4864,49983946256+599,182272832651i</v>
      </c>
      <c r="AK409">
        <f t="shared" si="305"/>
        <v>4901.2629070687653</v>
      </c>
      <c r="AL409">
        <f t="shared" si="306"/>
        <v>3.0190354891043905</v>
      </c>
      <c r="AM409" t="str">
        <f t="shared" si="288"/>
        <v>1+823,683531910493i</v>
      </c>
      <c r="AN409">
        <f t="shared" si="307"/>
        <v>823.68413893952345</v>
      </c>
      <c r="AO409">
        <f t="shared" si="308"/>
        <v>1.5695822688831544</v>
      </c>
      <c r="AP409" t="str">
        <f t="shared" si="289"/>
        <v>1+578,539623603799i</v>
      </c>
      <c r="AQ409">
        <f t="shared" si="309"/>
        <v>578.54048784819315</v>
      </c>
      <c r="AR409">
        <f t="shared" si="310"/>
        <v>1.5690678384367787</v>
      </c>
      <c r="AS409" s="42" t="str">
        <f t="shared" si="311"/>
        <v>-0,472328377251158+3,92990083665163i</v>
      </c>
      <c r="AT409">
        <f t="shared" si="312"/>
        <v>11.949917944384259</v>
      </c>
      <c r="AU409" s="44">
        <f t="shared" si="313"/>
        <v>96.853412791819252</v>
      </c>
      <c r="AV409" s="42" t="str">
        <f t="shared" si="290"/>
        <v>0,0470440692900741-0,110061581074442i</v>
      </c>
      <c r="AW409" s="20">
        <f t="shared" si="314"/>
        <v>-18.438539518172618</v>
      </c>
      <c r="AX409" s="44">
        <f t="shared" si="315"/>
        <v>-66.856486168468038</v>
      </c>
    </row>
    <row r="410" spans="14:50" x14ac:dyDescent="0.3">
      <c r="N410" s="8">
        <v>92</v>
      </c>
      <c r="O410" s="35">
        <f t="shared" si="280"/>
        <v>83176.377110267174</v>
      </c>
      <c r="P410" s="34" t="str">
        <f t="shared" si="281"/>
        <v>324,571428571429</v>
      </c>
      <c r="Q410" s="4" t="str">
        <f t="shared" si="282"/>
        <v>1+11945,4306414551i</v>
      </c>
      <c r="R410" s="4">
        <f t="shared" si="291"/>
        <v>11945.430683312108</v>
      </c>
      <c r="S410" s="4">
        <f t="shared" si="292"/>
        <v>1.5707126127767352</v>
      </c>
      <c r="T410" s="4" t="str">
        <f t="shared" si="283"/>
        <v>1+0,104522518112732i</v>
      </c>
      <c r="U410" s="4">
        <f t="shared" si="293"/>
        <v>1.0054476400054984</v>
      </c>
      <c r="V410" s="4">
        <f t="shared" si="294"/>
        <v>0.10414435919209586</v>
      </c>
      <c r="W410" t="str">
        <f t="shared" si="284"/>
        <v>1-0,90731352528413i</v>
      </c>
      <c r="X410" s="4">
        <f t="shared" si="295"/>
        <v>1.3502658379606276</v>
      </c>
      <c r="Y410" s="4">
        <f t="shared" si="296"/>
        <v>-0.73684106101939162</v>
      </c>
      <c r="Z410" t="str">
        <f t="shared" si="285"/>
        <v>0,972326761163242+0,777930616578613i</v>
      </c>
      <c r="AA410" s="4">
        <f t="shared" si="297"/>
        <v>1.2452290450694525</v>
      </c>
      <c r="AB410" s="4">
        <f t="shared" si="298"/>
        <v>0.67478434154349631</v>
      </c>
      <c r="AC410" s="48" t="str">
        <f t="shared" si="299"/>
        <v>-0,028601908252433-0,00771291601297131i</v>
      </c>
      <c r="AD410" s="20">
        <f t="shared" si="300"/>
        <v>-30.567240569254658</v>
      </c>
      <c r="AE410" s="44">
        <f t="shared" si="301"/>
        <v>-164.90834911858093</v>
      </c>
      <c r="AF410" t="str">
        <f t="shared" si="286"/>
        <v>-20791,6666666667</v>
      </c>
      <c r="AG410" t="str">
        <f t="shared" si="302"/>
        <v>522612,590563659i</v>
      </c>
      <c r="AH410">
        <f t="shared" si="303"/>
        <v>522612.59056365897</v>
      </c>
      <c r="AI410">
        <f t="shared" si="304"/>
        <v>1.5707963267948966</v>
      </c>
      <c r="AJ410" t="str">
        <f t="shared" si="287"/>
        <v>-5093,80378243833+613,139020888507i</v>
      </c>
      <c r="AK410">
        <f t="shared" si="305"/>
        <v>5130.572719776922</v>
      </c>
      <c r="AL410">
        <f t="shared" si="306"/>
        <v>3.021799410114014</v>
      </c>
      <c r="AM410" t="str">
        <f t="shared" si="288"/>
        <v>1+842,869586061069i</v>
      </c>
      <c r="AN410">
        <f t="shared" si="307"/>
        <v>842.87017927244153</v>
      </c>
      <c r="AO410">
        <f t="shared" si="308"/>
        <v>1.5696099041889111</v>
      </c>
      <c r="AP410" t="str">
        <f t="shared" si="289"/>
        <v>1+592,015542590513i</v>
      </c>
      <c r="AQ410">
        <f t="shared" si="309"/>
        <v>592.0163871623314</v>
      </c>
      <c r="AR410">
        <f t="shared" si="310"/>
        <v>1.5691071835596433</v>
      </c>
      <c r="AS410" s="42" t="str">
        <f t="shared" si="311"/>
        <v>-0,451365421206179+3,84293351022976i</v>
      </c>
      <c r="AT410">
        <f t="shared" si="312"/>
        <v>11.75276010009641</v>
      </c>
      <c r="AU410" s="44">
        <f t="shared" si="313"/>
        <v>96.698889478930269</v>
      </c>
      <c r="AV410" s="42" t="str">
        <f t="shared" si="290"/>
        <v>0,0425501357734951-0,106433888094869i</v>
      </c>
      <c r="AW410" s="20">
        <f t="shared" si="314"/>
        <v>-18.814480469158262</v>
      </c>
      <c r="AX410" s="44">
        <f t="shared" si="315"/>
        <v>-68.209459639650618</v>
      </c>
    </row>
    <row r="411" spans="14:50" x14ac:dyDescent="0.3">
      <c r="N411" s="8">
        <v>93</v>
      </c>
      <c r="O411" s="35">
        <f t="shared" si="280"/>
        <v>85113.803820237721</v>
      </c>
      <c r="P411" s="34" t="str">
        <f t="shared" si="281"/>
        <v>324,571428571429</v>
      </c>
      <c r="Q411" s="4" t="str">
        <f t="shared" si="282"/>
        <v>1+12223,6754651768i</v>
      </c>
      <c r="R411" s="4">
        <f t="shared" si="291"/>
        <v>12223.675506081028</v>
      </c>
      <c r="S411" s="4">
        <f t="shared" si="292"/>
        <v>1.570714518340425</v>
      </c>
      <c r="T411" s="4" t="str">
        <f t="shared" si="283"/>
        <v>1+0,106957160320297i</v>
      </c>
      <c r="U411" s="4">
        <f t="shared" si="293"/>
        <v>1.0057036512530826</v>
      </c>
      <c r="V411" s="4">
        <f t="shared" si="294"/>
        <v>0.10655207974745674</v>
      </c>
      <c r="W411" t="str">
        <f t="shared" si="284"/>
        <v>1-0,928447572224797i</v>
      </c>
      <c r="X411" s="4">
        <f t="shared" si="295"/>
        <v>1.3645566658699519</v>
      </c>
      <c r="Y411" s="4">
        <f t="shared" si="296"/>
        <v>-0.74831153425437724</v>
      </c>
      <c r="Z411" t="str">
        <f t="shared" si="285"/>
        <v>0,971022561597+0,79605094842554i</v>
      </c>
      <c r="AA411" s="4">
        <f t="shared" si="297"/>
        <v>1.2556201366733497</v>
      </c>
      <c r="AB411" s="4">
        <f t="shared" si="298"/>
        <v>0.68670214668436014</v>
      </c>
      <c r="AC411" s="48" t="str">
        <f t="shared" si="299"/>
        <v>-0,028172410062468-0,00696645875552796i</v>
      </c>
      <c r="AD411" s="20">
        <f t="shared" si="300"/>
        <v>-30.745763904669854</v>
      </c>
      <c r="AE411" s="44">
        <f t="shared" si="301"/>
        <v>-166.11055571428216</v>
      </c>
      <c r="AF411" t="str">
        <f t="shared" si="286"/>
        <v>-20791,6666666667</v>
      </c>
      <c r="AG411" t="str">
        <f t="shared" si="302"/>
        <v>534785,801601483i</v>
      </c>
      <c r="AH411">
        <f t="shared" si="303"/>
        <v>534785.80160148302</v>
      </c>
      <c r="AI411">
        <f t="shared" si="304"/>
        <v>1.5707963267948966</v>
      </c>
      <c r="AJ411" t="str">
        <f t="shared" si="287"/>
        <v>-5333,91448730887+627,420863369092i</v>
      </c>
      <c r="AK411">
        <f t="shared" si="305"/>
        <v>5370.6890337939185</v>
      </c>
      <c r="AL411">
        <f t="shared" si="306"/>
        <v>3.0245021214896304</v>
      </c>
      <c r="AM411" t="str">
        <f t="shared" si="288"/>
        <v>1+862,502540822871i</v>
      </c>
      <c r="AN411">
        <f t="shared" si="307"/>
        <v>862.50312053111338</v>
      </c>
      <c r="AO411">
        <f t="shared" si="308"/>
        <v>1.5696369104400603</v>
      </c>
      <c r="AP411" t="str">
        <f t="shared" si="289"/>
        <v>1+605,80535605416i</v>
      </c>
      <c r="AQ411">
        <f t="shared" si="309"/>
        <v>605.80618140120328</v>
      </c>
      <c r="AR411">
        <f t="shared" si="310"/>
        <v>1.5691456330832234</v>
      </c>
      <c r="AS411" s="42" t="str">
        <f t="shared" si="311"/>
        <v>-0,431320313358712+3,75778270335851i</v>
      </c>
      <c r="AT411">
        <f t="shared" si="312"/>
        <v>11.55547607552186</v>
      </c>
      <c r="AU411" s="44">
        <f t="shared" si="313"/>
        <v>96.54778586350217</v>
      </c>
      <c r="AV411" s="42" t="str">
        <f t="shared" si="290"/>
        <v>0,0383297709513973-0,102861020071231i</v>
      </c>
      <c r="AW411" s="20">
        <f t="shared" si="314"/>
        <v>-19.190287829147962</v>
      </c>
      <c r="AX411" s="44">
        <f t="shared" si="315"/>
        <v>-69.562769850780029</v>
      </c>
    </row>
    <row r="412" spans="14:50" x14ac:dyDescent="0.3">
      <c r="N412" s="8">
        <v>94</v>
      </c>
      <c r="O412" s="35">
        <f t="shared" si="280"/>
        <v>87096.358995608127</v>
      </c>
      <c r="P412" s="34" t="str">
        <f t="shared" si="281"/>
        <v>324,571428571429</v>
      </c>
      <c r="Q412" s="4" t="str">
        <f t="shared" si="282"/>
        <v>1+12508,4014434296i</v>
      </c>
      <c r="R412" s="4">
        <f t="shared" si="291"/>
        <v>12508.401483402735</v>
      </c>
      <c r="S412" s="4">
        <f t="shared" si="292"/>
        <v>1.5707163805281901</v>
      </c>
      <c r="T412" s="4" t="str">
        <f t="shared" si="283"/>
        <v>1+0,109448512630009i</v>
      </c>
      <c r="U412" s="4">
        <f t="shared" si="293"/>
        <v>1.0059716581081801</v>
      </c>
      <c r="V412" s="4">
        <f t="shared" si="294"/>
        <v>0.1090146000150978</v>
      </c>
      <c r="W412" t="str">
        <f t="shared" si="284"/>
        <v>1-0,950073894357715i</v>
      </c>
      <c r="X412" s="4">
        <f t="shared" si="295"/>
        <v>1.3793623181528611</v>
      </c>
      <c r="Y412" s="4">
        <f t="shared" si="296"/>
        <v>-0.7598015941037225</v>
      </c>
      <c r="Z412" t="str">
        <f t="shared" si="285"/>
        <v>0,969656896998833+0,814593357022304i</v>
      </c>
      <c r="AA412" s="4">
        <f t="shared" si="297"/>
        <v>1.2664110056384823</v>
      </c>
      <c r="AB412" s="4">
        <f t="shared" si="298"/>
        <v>0.69870914015036389</v>
      </c>
      <c r="AC412" s="48" t="str">
        <f t="shared" si="299"/>
        <v>-0,0277375191726822-0,00624285635115862i</v>
      </c>
      <c r="AD412" s="20">
        <f t="shared" si="300"/>
        <v>-30.924041971547254</v>
      </c>
      <c r="AE412" s="44">
        <f t="shared" si="301"/>
        <v>-167.31585237744395</v>
      </c>
      <c r="AF412" t="str">
        <f t="shared" si="286"/>
        <v>-20791,6666666667</v>
      </c>
      <c r="AG412" t="str">
        <f t="shared" si="302"/>
        <v>547242,563150044i</v>
      </c>
      <c r="AH412">
        <f t="shared" si="303"/>
        <v>547242.56315004395</v>
      </c>
      <c r="AI412">
        <f t="shared" si="304"/>
        <v>1.5707963267948966</v>
      </c>
      <c r="AJ412" t="str">
        <f t="shared" si="287"/>
        <v>-5585,34126107146+642,035372696332i</v>
      </c>
      <c r="AK412">
        <f t="shared" si="305"/>
        <v>5622.121167532825</v>
      </c>
      <c r="AL412">
        <f t="shared" si="306"/>
        <v>3.0271449047313053</v>
      </c>
      <c r="AM412" t="str">
        <f t="shared" si="288"/>
        <v>1+882,59280584839i</v>
      </c>
      <c r="AN412">
        <f t="shared" si="307"/>
        <v>882.59337236087038</v>
      </c>
      <c r="AO412">
        <f t="shared" si="308"/>
        <v>1.569663301955516</v>
      </c>
      <c r="AP412" t="str">
        <f t="shared" si="289"/>
        <v>1+619,91637553637i</v>
      </c>
      <c r="AQ412">
        <f t="shared" si="309"/>
        <v>619.9171820962456</v>
      </c>
      <c r="AR412">
        <f t="shared" si="310"/>
        <v>1.5691832073935097</v>
      </c>
      <c r="AS412" s="42" t="str">
        <f t="shared" si="311"/>
        <v>-0,412153955850876+3,67441763468619i</v>
      </c>
      <c r="AT412">
        <f t="shared" si="312"/>
        <v>11.358071398787313</v>
      </c>
      <c r="AU412" s="44">
        <f t="shared" si="313"/>
        <v>96.400030509434401</v>
      </c>
      <c r="AV412" s="42" t="str">
        <f t="shared" si="290"/>
        <v>0,0343709897200204-0,099346211649611i</v>
      </c>
      <c r="AW412" s="20">
        <f t="shared" si="314"/>
        <v>-19.565970572759941</v>
      </c>
      <c r="AX412" s="44">
        <f t="shared" si="315"/>
        <v>-70.915821868009544</v>
      </c>
    </row>
    <row r="413" spans="14:50" x14ac:dyDescent="0.3">
      <c r="N413" s="8">
        <v>95</v>
      </c>
      <c r="O413" s="35">
        <f t="shared" si="280"/>
        <v>89125.093813374609</v>
      </c>
      <c r="P413" s="34" t="str">
        <f t="shared" si="281"/>
        <v>324,571428571429</v>
      </c>
      <c r="Q413" s="4" t="str">
        <f t="shared" si="282"/>
        <v>1+12799,759541696i</v>
      </c>
      <c r="R413" s="4">
        <f t="shared" si="291"/>
        <v>12799.759580759232</v>
      </c>
      <c r="S413" s="4">
        <f t="shared" si="292"/>
        <v>1.570718200327387</v>
      </c>
      <c r="T413" s="4" t="str">
        <f t="shared" si="283"/>
        <v>1+0,11199789598984i</v>
      </c>
      <c r="U413" s="4">
        <f t="shared" si="293"/>
        <v>1.0062522192304229</v>
      </c>
      <c r="V413" s="4">
        <f t="shared" si="294"/>
        <v>0.11153310612895212</v>
      </c>
      <c r="W413" t="str">
        <f t="shared" si="284"/>
        <v>1-0,972203958245135i</v>
      </c>
      <c r="X413" s="4">
        <f t="shared" si="295"/>
        <v>1.3946972920413621</v>
      </c>
      <c r="Y413" s="4">
        <f t="shared" si="296"/>
        <v>-0.77130519831224154</v>
      </c>
      <c r="Z413" t="str">
        <f t="shared" si="285"/>
        <v>0,968226870611029+0,833567673799378i</v>
      </c>
      <c r="AA413" s="4">
        <f t="shared" si="297"/>
        <v>1.2776143157371604</v>
      </c>
      <c r="AB413" s="4">
        <f t="shared" si="298"/>
        <v>0.71080068976175093</v>
      </c>
      <c r="AC413" s="48" t="str">
        <f t="shared" si="299"/>
        <v>-0,0272976030915706-0,00554207190383142i</v>
      </c>
      <c r="AD413" s="20">
        <f t="shared" si="300"/>
        <v>-31.102089717804276</v>
      </c>
      <c r="AE413" s="44">
        <f t="shared" si="301"/>
        <v>-168.52355960409821</v>
      </c>
      <c r="AF413" t="str">
        <f t="shared" si="286"/>
        <v>-20791,6666666667</v>
      </c>
      <c r="AG413" t="str">
        <f t="shared" si="302"/>
        <v>559989,479949198i</v>
      </c>
      <c r="AH413">
        <f t="shared" si="303"/>
        <v>559989.47994919796</v>
      </c>
      <c r="AI413">
        <f t="shared" si="304"/>
        <v>1.5707963267948966</v>
      </c>
      <c r="AJ413" t="str">
        <f t="shared" si="287"/>
        <v>-5848,61741362258+656,990297676519i</v>
      </c>
      <c r="AK413">
        <f t="shared" si="305"/>
        <v>5885.402441819112</v>
      </c>
      <c r="AL413">
        <f t="shared" si="306"/>
        <v>3.0297290194174127</v>
      </c>
      <c r="AM413" t="str">
        <f t="shared" si="288"/>
        <v>1+903,151033262066i</v>
      </c>
      <c r="AN413">
        <f t="shared" si="307"/>
        <v>903.15158687915584</v>
      </c>
      <c r="AO413">
        <f t="shared" si="308"/>
        <v>1.5696890927282618</v>
      </c>
      <c r="AP413" t="str">
        <f t="shared" si="289"/>
        <v>1+634,356082886451i</v>
      </c>
      <c r="AQ413">
        <f t="shared" si="309"/>
        <v>634.35687108680543</v>
      </c>
      <c r="AR413">
        <f t="shared" si="310"/>
        <v>1.5692199264124749</v>
      </c>
      <c r="AS413" s="42" t="str">
        <f t="shared" si="311"/>
        <v>-0,393828821453049+3,59280755208194i</v>
      </c>
      <c r="AT413">
        <f t="shared" si="312"/>
        <v>11.160551362239314</v>
      </c>
      <c r="AU413" s="44">
        <f t="shared" si="313"/>
        <v>96.255553191385943</v>
      </c>
      <c r="AV413" s="42" t="str">
        <f t="shared" si="290"/>
        <v>0,030662180644313-0,0958924068948362i</v>
      </c>
      <c r="AW413" s="20">
        <f t="shared" si="314"/>
        <v>-19.941538355564958</v>
      </c>
      <c r="AX413" s="44">
        <f t="shared" si="315"/>
        <v>-72.268006412712296</v>
      </c>
    </row>
    <row r="414" spans="14:50" x14ac:dyDescent="0.3">
      <c r="N414" s="8">
        <v>96</v>
      </c>
      <c r="O414" s="35">
        <f t="shared" si="280"/>
        <v>91201.083935591028</v>
      </c>
      <c r="P414" s="34" t="str">
        <f t="shared" si="281"/>
        <v>324,571428571429</v>
      </c>
      <c r="Q414" s="4" t="str">
        <f t="shared" si="282"/>
        <v>1+13097,9042418962i</v>
      </c>
      <c r="R414" s="4">
        <f t="shared" si="291"/>
        <v>13097.904280070245</v>
      </c>
      <c r="S414" s="4">
        <f t="shared" si="292"/>
        <v>1.5707199787028974</v>
      </c>
      <c r="T414" s="4" t="str">
        <f t="shared" si="283"/>
        <v>1+0,114606662116592i</v>
      </c>
      <c r="U414" s="4">
        <f t="shared" si="293"/>
        <v>1.0065459189731518</v>
      </c>
      <c r="V414" s="4">
        <f t="shared" si="294"/>
        <v>0.11410880556841804</v>
      </c>
      <c r="W414" t="str">
        <f t="shared" si="284"/>
        <v>1-0,994849497539858i</v>
      </c>
      <c r="X414" s="4">
        <f t="shared" si="295"/>
        <v>1.4105763087317567</v>
      </c>
      <c r="Y414" s="4">
        <f t="shared" si="296"/>
        <v>-0.78281626886266542</v>
      </c>
      <c r="Z414" t="str">
        <f t="shared" si="285"/>
        <v>0,966729449155893+0,852983959190673i</v>
      </c>
      <c r="AA414" s="4">
        <f t="shared" si="297"/>
        <v>1.2892429803965781</v>
      </c>
      <c r="AB414" s="4">
        <f t="shared" si="298"/>
        <v>0.72297201719693438</v>
      </c>
      <c r="AC414" s="48" t="str">
        <f t="shared" si="299"/>
        <v>-0,0268530485683305-0,00486405729445772i</v>
      </c>
      <c r="AD414" s="20">
        <f t="shared" si="300"/>
        <v>-31.279922459269827</v>
      </c>
      <c r="AE414" s="44">
        <f t="shared" si="301"/>
        <v>-169.73298624365844</v>
      </c>
      <c r="AF414" t="str">
        <f t="shared" si="286"/>
        <v>-20791,6666666667</v>
      </c>
      <c r="AG414" t="str">
        <f t="shared" si="302"/>
        <v>573033,310582958i</v>
      </c>
      <c r="AH414">
        <f t="shared" si="303"/>
        <v>573033.31058295805</v>
      </c>
      <c r="AI414">
        <f t="shared" si="304"/>
        <v>1.5707963267948966</v>
      </c>
      <c r="AJ414" t="str">
        <f t="shared" si="287"/>
        <v>-6124,30138897988+672,293567608828i</v>
      </c>
      <c r="AK414">
        <f t="shared" si="305"/>
        <v>6161.0913111322334</v>
      </c>
      <c r="AL414">
        <f t="shared" si="306"/>
        <v>3.0322557032425466</v>
      </c>
      <c r="AM414" t="str">
        <f t="shared" si="288"/>
        <v>1+924,188123308194i</v>
      </c>
      <c r="AN414">
        <f t="shared" si="307"/>
        <v>924.18866432342793</v>
      </c>
      <c r="AO414">
        <f t="shared" si="308"/>
        <v>1.5697142964327695</v>
      </c>
      <c r="AP414" t="str">
        <f t="shared" si="289"/>
        <v>1+649,132134228375i</v>
      </c>
      <c r="AQ414">
        <f t="shared" si="309"/>
        <v>649.13290448712041</v>
      </c>
      <c r="AR414">
        <f t="shared" si="310"/>
        <v>1.569255809608632</v>
      </c>
      <c r="AS414" s="42" t="str">
        <f t="shared" si="311"/>
        <v>-0,376308898805528+3,51292177320718i</v>
      </c>
      <c r="AT414">
        <f t="shared" si="312"/>
        <v>10.962921031941741</v>
      </c>
      <c r="AU414" s="44">
        <f t="shared" si="313"/>
        <v>96.114284893633425</v>
      </c>
      <c r="AV414" s="42" t="str">
        <f t="shared" si="290"/>
        <v>0,0271920939121475-0,0925022709484737i</v>
      </c>
      <c r="AW414" s="20">
        <f t="shared" si="314"/>
        <v>-20.317001427328091</v>
      </c>
      <c r="AX414" s="44">
        <f t="shared" si="315"/>
        <v>-73.618701350025049</v>
      </c>
    </row>
    <row r="415" spans="14:50" x14ac:dyDescent="0.3">
      <c r="N415" s="8">
        <v>97</v>
      </c>
      <c r="O415" s="35">
        <f t="shared" si="280"/>
        <v>93325.430079699145</v>
      </c>
      <c r="P415" s="34" t="str">
        <f t="shared" si="281"/>
        <v>324,571428571429</v>
      </c>
      <c r="Q415" s="4" t="str">
        <f t="shared" si="282"/>
        <v>1+13402,9936242967i</v>
      </c>
      <c r="R415" s="4">
        <f t="shared" si="291"/>
        <v>13402.993661601797</v>
      </c>
      <c r="S415" s="4">
        <f t="shared" si="292"/>
        <v>1.5707217165976395</v>
      </c>
      <c r="T415" s="4" t="str">
        <f t="shared" si="283"/>
        <v>1+0,117276194212596i</v>
      </c>
      <c r="U415" s="4">
        <f t="shared" si="293"/>
        <v>1.0068533685343612</v>
      </c>
      <c r="V415" s="4">
        <f t="shared" si="294"/>
        <v>0.11674292722722361</v>
      </c>
      <c r="W415" t="str">
        <f t="shared" si="284"/>
        <v>1-1,01802251920657i</v>
      </c>
      <c r="X415" s="4">
        <f t="shared" si="295"/>
        <v>1.4270143130367301</v>
      </c>
      <c r="Y415" s="4">
        <f t="shared" si="296"/>
        <v>-0.79432870798060717</v>
      </c>
      <c r="Z415" t="str">
        <f t="shared" si="285"/>
        <v>0,965161456401757+0,872852507967709i</v>
      </c>
      <c r="AA415" s="4">
        <f t="shared" si="297"/>
        <v>1.3013101619479808</v>
      </c>
      <c r="AB415" s="4">
        <f t="shared" si="298"/>
        <v>0.73521820917530889</v>
      </c>
      <c r="AC415" s="48" t="str">
        <f t="shared" si="299"/>
        <v>-0,0264042604090365-0,00420875146635739i</v>
      </c>
      <c r="AD415" s="20">
        <f t="shared" si="300"/>
        <v>-31.457555797529224</v>
      </c>
      <c r="AE415" s="44">
        <f t="shared" si="301"/>
        <v>-170.94343105274601</v>
      </c>
      <c r="AF415" t="str">
        <f t="shared" si="286"/>
        <v>-20791,6666666667</v>
      </c>
      <c r="AG415" t="str">
        <f t="shared" si="302"/>
        <v>586380,971062982i</v>
      </c>
      <c r="AH415">
        <f t="shared" si="303"/>
        <v>586380.97106298199</v>
      </c>
      <c r="AI415">
        <f t="shared" si="304"/>
        <v>1.5707963267948966</v>
      </c>
      <c r="AJ415" t="str">
        <f t="shared" si="287"/>
        <v>-6412,97794981666+687,953296489541i</v>
      </c>
      <c r="AK415">
        <f t="shared" si="305"/>
        <v>6449.7725481590069</v>
      </c>
      <c r="AL415">
        <f t="shared" si="306"/>
        <v>3.0347261720829293</v>
      </c>
      <c r="AM415" t="str">
        <f t="shared" si="288"/>
        <v>1+945,715230130377i</v>
      </c>
      <c r="AN415">
        <f t="shared" si="307"/>
        <v>945.71575883060757</v>
      </c>
      <c r="AO415">
        <f t="shared" si="308"/>
        <v>1.5697389264322488</v>
      </c>
      <c r="AP415" t="str">
        <f t="shared" si="289"/>
        <v>1+664,252364020146i</v>
      </c>
      <c r="AQ415">
        <f t="shared" si="309"/>
        <v>664.25311674568184</v>
      </c>
      <c r="AR415">
        <f t="shared" si="310"/>
        <v>1.5692908760073569</v>
      </c>
      <c r="AS415" s="42" t="str">
        <f t="shared" si="311"/>
        <v>-0,359559638811275+3,43472972278529i</v>
      </c>
      <c r="AT415">
        <f t="shared" si="312"/>
        <v>10.765185256840761</v>
      </c>
      <c r="AU415" s="44">
        <f t="shared" si="313"/>
        <v>95.976157807330168</v>
      </c>
      <c r="AV415" s="42" t="str">
        <f t="shared" si="290"/>
        <v>0,0239498300930659-0,0891782008779907i</v>
      </c>
      <c r="AW415" s="20">
        <f t="shared" si="314"/>
        <v>-20.692370540688461</v>
      </c>
      <c r="AX415" s="44">
        <f t="shared" si="315"/>
        <v>-74.967273245415853</v>
      </c>
    </row>
    <row r="416" spans="14:50" x14ac:dyDescent="0.3">
      <c r="N416" s="8">
        <v>98</v>
      </c>
      <c r="O416" s="35">
        <f t="shared" si="280"/>
        <v>95499.258602143804</v>
      </c>
      <c r="P416" s="34" t="str">
        <f t="shared" si="281"/>
        <v>324,571428571429</v>
      </c>
      <c r="Q416" s="4" t="str">
        <f t="shared" si="282"/>
        <v>1+13715,1894513265i</v>
      </c>
      <c r="R416" s="4">
        <f t="shared" si="291"/>
        <v>13715.189487782431</v>
      </c>
      <c r="S416" s="4">
        <f t="shared" si="292"/>
        <v>1.570723414933068</v>
      </c>
      <c r="T416" s="4" t="str">
        <f t="shared" si="283"/>
        <v>1+0,120007907699107i</v>
      </c>
      <c r="U416" s="4">
        <f t="shared" si="293"/>
        <v>1.0071752071562907</v>
      </c>
      <c r="V416" s="4">
        <f t="shared" si="294"/>
        <v>0.11943672145574931</v>
      </c>
      <c r="W416" t="str">
        <f t="shared" si="284"/>
        <v>1-1,04173530988808i</v>
      </c>
      <c r="X416" s="4">
        <f t="shared" si="295"/>
        <v>1.4440264733956973</v>
      </c>
      <c r="Y416" s="4">
        <f t="shared" si="296"/>
        <v>-0.80583641426689345</v>
      </c>
      <c r="Z416" t="str">
        <f t="shared" si="285"/>
        <v>0,963519566425763+0,893183854698039i</v>
      </c>
      <c r="AA416" s="4">
        <f t="shared" si="297"/>
        <v>1.313829270939926</v>
      </c>
      <c r="AB416" s="4">
        <f t="shared" si="298"/>
        <v>0.7475342294993923</v>
      </c>
      <c r="AC416" s="48" t="str">
        <f t="shared" si="299"/>
        <v>-0,0259516601473327-0,00357607880325251i</v>
      </c>
      <c r="AD416" s="20">
        <f t="shared" si="300"/>
        <v>-31.635005533445074</v>
      </c>
      <c r="AE416" s="44">
        <f t="shared" si="301"/>
        <v>-172.15418430707467</v>
      </c>
      <c r="AF416" t="str">
        <f t="shared" si="286"/>
        <v>-20791,6666666667</v>
      </c>
      <c r="AG416" t="str">
        <f t="shared" si="302"/>
        <v>600039,538495534i</v>
      </c>
      <c r="AH416">
        <f t="shared" si="303"/>
        <v>600039.53849553398</v>
      </c>
      <c r="AI416">
        <f t="shared" si="304"/>
        <v>1.5707963267948966</v>
      </c>
      <c r="AJ416" t="str">
        <f t="shared" si="287"/>
        <v>-6715,25941782201+703,977787314193i</v>
      </c>
      <c r="AK416">
        <f t="shared" si="305"/>
        <v>6752.0584841719919</v>
      </c>
      <c r="AL416">
        <f t="shared" si="306"/>
        <v>3.0371416200870724</v>
      </c>
      <c r="AM416" t="str">
        <f t="shared" si="288"/>
        <v>1+967,743767685596i</v>
      </c>
      <c r="AN416">
        <f t="shared" si="307"/>
        <v>967.74428435114658</v>
      </c>
      <c r="AO416">
        <f t="shared" si="308"/>
        <v>1.5697629957857318</v>
      </c>
      <c r="AP416" t="str">
        <f t="shared" si="289"/>
        <v>1+679,724789207741i</v>
      </c>
      <c r="AQ416">
        <f t="shared" si="309"/>
        <v>679.72552479917056</v>
      </c>
      <c r="AR416">
        <f t="shared" si="310"/>
        <v>1.5693251442009735</v>
      </c>
      <c r="AS416" s="42" t="str">
        <f t="shared" si="311"/>
        <v>-0,343547902232368+3,358200966764i</v>
      </c>
      <c r="AT416">
        <f t="shared" si="312"/>
        <v>10.567348677601998</v>
      </c>
      <c r="AU416" s="44">
        <f t="shared" si="313"/>
        <v>95.841105326295406</v>
      </c>
      <c r="AV416" s="42" t="str">
        <f t="shared" si="290"/>
        <v>0,0209248296973703-0,0859223358248284i</v>
      </c>
      <c r="AW416" s="20">
        <f t="shared" si="314"/>
        <v>-21.067656855843083</v>
      </c>
      <c r="AX416" s="44">
        <f t="shared" si="315"/>
        <v>-76.313078980779295</v>
      </c>
    </row>
    <row r="417" spans="14:50" x14ac:dyDescent="0.3">
      <c r="N417" s="8">
        <v>99</v>
      </c>
      <c r="O417" s="35">
        <f t="shared" si="280"/>
        <v>97723.722095581266</v>
      </c>
      <c r="P417" s="34" t="str">
        <f t="shared" si="281"/>
        <v>324,571428571429</v>
      </c>
      <c r="Q417" s="4" t="str">
        <f t="shared" si="282"/>
        <v>1+14034,6572533453i</v>
      </c>
      <c r="R417" s="4">
        <f t="shared" si="291"/>
        <v>14034.65728897139</v>
      </c>
      <c r="S417" s="4">
        <f t="shared" si="292"/>
        <v>1.5707250746096628</v>
      </c>
      <c r="T417" s="4" t="str">
        <f t="shared" si="283"/>
        <v>1+0,122803250966771i</v>
      </c>
      <c r="U417" s="4">
        <f t="shared" si="293"/>
        <v>1.0075121033754422</v>
      </c>
      <c r="V417" s="4">
        <f t="shared" si="294"/>
        <v>0.12219146007445465</v>
      </c>
      <c r="W417" t="str">
        <f t="shared" si="284"/>
        <v>1-1,06600044241989i</v>
      </c>
      <c r="X417" s="4">
        <f t="shared" si="295"/>
        <v>1.4616281822814587</v>
      </c>
      <c r="Y417" s="4">
        <f t="shared" si="296"/>
        <v>-0.81733329885331796</v>
      </c>
      <c r="Z417" t="str">
        <f t="shared" si="285"/>
        <v>0,961800296559142+0,913988779330813i</v>
      </c>
      <c r="AA417" s="4">
        <f t="shared" si="297"/>
        <v>1.3268139655595592</v>
      </c>
      <c r="AB417" s="4">
        <f t="shared" si="298"/>
        <v>0.75991493190134352</v>
      </c>
      <c r="AC417" s="48" t="str">
        <f t="shared" si="299"/>
        <v>-0,0254956845773757-0,00296594761531142i</v>
      </c>
      <c r="AD417" s="20">
        <f t="shared" si="300"/>
        <v>-31.812287576982389</v>
      </c>
      <c r="AE417" s="44">
        <f t="shared" si="301"/>
        <v>-173.3645294624157</v>
      </c>
      <c r="AF417" t="str">
        <f t="shared" si="286"/>
        <v>-20791,6666666667</v>
      </c>
      <c r="AG417" t="str">
        <f t="shared" si="302"/>
        <v>614016,254833857i</v>
      </c>
      <c r="AH417">
        <f t="shared" si="303"/>
        <v>614016.25483385695</v>
      </c>
      <c r="AI417">
        <f t="shared" si="304"/>
        <v>1.5707963267948966</v>
      </c>
      <c r="AJ417" t="str">
        <f t="shared" si="287"/>
        <v>-7031,78697251713+720,375536479924i</v>
      </c>
      <c r="AK417">
        <f t="shared" si="305"/>
        <v>7068.5903078633983</v>
      </c>
      <c r="AL417">
        <f t="shared" si="306"/>
        <v>3.0395032197895411</v>
      </c>
      <c r="AM417" t="str">
        <f t="shared" si="288"/>
        <v>1+990,285415796044i</v>
      </c>
      <c r="AN417">
        <f t="shared" si="307"/>
        <v>990.28592070085699</v>
      </c>
      <c r="AO417">
        <f t="shared" si="308"/>
        <v>1.5697865172549965</v>
      </c>
      <c r="AP417" t="str">
        <f t="shared" si="289"/>
        <v>1+695,557613475793i</v>
      </c>
      <c r="AQ417">
        <f t="shared" si="309"/>
        <v>695.55833232313489</v>
      </c>
      <c r="AR417">
        <f t="shared" si="310"/>
        <v>1.5693586323586093</v>
      </c>
      <c r="AS417" s="42" t="str">
        <f t="shared" si="311"/>
        <v>-0,328241908532925+3,28330524355875i</v>
      </c>
      <c r="AT417">
        <f t="shared" si="312"/>
        <v>10.369415735130696</v>
      </c>
      <c r="AU417" s="44">
        <f t="shared" si="313"/>
        <v>95.709062041457614</v>
      </c>
      <c r="AV417" s="42" t="str">
        <f t="shared" si="290"/>
        <v>0,0181068635225038-0,0827365665551591i</v>
      </c>
      <c r="AW417" s="20">
        <f t="shared" si="314"/>
        <v>-21.442871841851691</v>
      </c>
      <c r="AX417" s="44">
        <f t="shared" si="315"/>
        <v>-77.655467420958104</v>
      </c>
    </row>
    <row r="418" spans="14:50" x14ac:dyDescent="0.3">
      <c r="N418" s="8">
        <v>100</v>
      </c>
      <c r="O418" s="35">
        <f t="shared" si="280"/>
        <v>100000</v>
      </c>
      <c r="P418" s="34" t="str">
        <f t="shared" si="281"/>
        <v>324,571428571429</v>
      </c>
      <c r="Q418" s="4" t="str">
        <f t="shared" si="282"/>
        <v>1+14361,5664164105i</v>
      </c>
      <c r="R418" s="4">
        <f t="shared" si="291"/>
        <v>14361.566451225643</v>
      </c>
      <c r="S418" s="4">
        <f t="shared" si="292"/>
        <v>1.5707266965074065</v>
      </c>
      <c r="T418" s="4" t="str">
        <f t="shared" si="283"/>
        <v>1+0,125663706143592i</v>
      </c>
      <c r="U418" s="4">
        <f t="shared" si="293"/>
        <v>1.0078647563248468</v>
      </c>
      <c r="V418" s="4">
        <f t="shared" si="294"/>
        <v>0.12500843635595246</v>
      </c>
      <c r="W418" t="str">
        <f t="shared" si="284"/>
        <v>1-1,09083078249646i</v>
      </c>
      <c r="X418" s="4">
        <f t="shared" si="295"/>
        <v>1.4798350570390741</v>
      </c>
      <c r="Y418" s="4">
        <f t="shared" si="296"/>
        <v>-0.82881330147751775</v>
      </c>
      <c r="Z418" t="str">
        <f t="shared" si="285"/>
        <v>0,96+0,935278312912461i</v>
      </c>
      <c r="AA418" s="4">
        <f t="shared" si="297"/>
        <v>1.340278151207569</v>
      </c>
      <c r="AB418" s="4">
        <f t="shared" si="298"/>
        <v>0.77235507363026257</v>
      </c>
      <c r="AC418" s="48" t="str">
        <f t="shared" si="299"/>
        <v>-0,0250367841586476-0,00237824874799479i</v>
      </c>
      <c r="AD418" s="20">
        <f t="shared" si="300"/>
        <v>-31.989417854017361</v>
      </c>
      <c r="AE418" s="44">
        <f t="shared" si="301"/>
        <v>-174.57374485517039</v>
      </c>
      <c r="AF418" t="str">
        <f t="shared" si="286"/>
        <v>-20791,6666666667</v>
      </c>
      <c r="AG418" t="str">
        <f t="shared" si="302"/>
        <v>628318,530717959i</v>
      </c>
      <c r="AH418">
        <f t="shared" si="303"/>
        <v>628318.53071795905</v>
      </c>
      <c r="AI418">
        <f t="shared" si="304"/>
        <v>1.5707963267948966</v>
      </c>
      <c r="AJ418" t="str">
        <f t="shared" si="287"/>
        <v>-7363,23201128314+737,155238290394i</v>
      </c>
      <c r="AK418">
        <f t="shared" si="305"/>
        <v>7400.0394253898221</v>
      </c>
      <c r="AL418">
        <f t="shared" si="306"/>
        <v>3.0418121222458248</v>
      </c>
      <c r="AM418" t="str">
        <f t="shared" si="288"/>
        <v>1+1013,35212634192i</v>
      </c>
      <c r="AN418">
        <f t="shared" si="307"/>
        <v>1013.3526197537019</v>
      </c>
      <c r="AO418">
        <f t="shared" si="308"/>
        <v>1.5698095033113333</v>
      </c>
      <c r="AP418" t="str">
        <f t="shared" si="289"/>
        <v>1+711,759231597304i</v>
      </c>
      <c r="AQ418">
        <f t="shared" si="309"/>
        <v>711.75993408169916</v>
      </c>
      <c r="AR418">
        <f t="shared" si="310"/>
        <v>1.5693913582358281</v>
      </c>
      <c r="AS418" s="42" t="str">
        <f t="shared" si="311"/>
        <v>-0,313611186001655+3,2100124925541i</v>
      </c>
      <c r="AT418">
        <f t="shared" si="312"/>
        <v>10.171390678779472</v>
      </c>
      <c r="AU418" s="44">
        <f t="shared" si="313"/>
        <v>95.579963734066411</v>
      </c>
      <c r="AV418" s="42" t="str">
        <f t="shared" si="290"/>
        <v>0,0154860237651253-0,0796225445121738i</v>
      </c>
      <c r="AW418" s="20">
        <f t="shared" si="314"/>
        <v>-21.818027175237887</v>
      </c>
      <c r="AX418" s="44">
        <f t="shared" si="315"/>
        <v>-78.993781121104021</v>
      </c>
    </row>
    <row r="419" spans="14:50" x14ac:dyDescent="0.3">
      <c r="N419" s="8">
        <v>1</v>
      </c>
      <c r="O419" s="35">
        <f>10^(5+(N419/100))</f>
        <v>102329.29922807543</v>
      </c>
      <c r="P419" s="34" t="str">
        <f t="shared" si="281"/>
        <v>324,571428571429</v>
      </c>
      <c r="Q419" s="4" t="str">
        <f t="shared" si="282"/>
        <v>1+14696,0902720875i</v>
      </c>
      <c r="R419" s="4">
        <f t="shared" si="291"/>
        <v>14696.090306110153</v>
      </c>
      <c r="S419" s="4">
        <f t="shared" si="292"/>
        <v>1.5707282814862504</v>
      </c>
      <c r="T419" s="4" t="str">
        <f t="shared" si="283"/>
        <v>1+0,128590789880765i</v>
      </c>
      <c r="U419" s="4">
        <f t="shared" si="293"/>
        <v>1.0082338970904317</v>
      </c>
      <c r="V419" s="4">
        <f t="shared" si="294"/>
        <v>0.12788896497305269</v>
      </c>
      <c r="W419" t="str">
        <f t="shared" si="284"/>
        <v>1-1,11623949549276i</v>
      </c>
      <c r="X419" s="4">
        <f t="shared" si="295"/>
        <v>1.498662941190557</v>
      </c>
      <c r="Y419" s="4">
        <f t="shared" si="296"/>
        <v>-0.84027040637371797</v>
      </c>
      <c r="Z419" t="str">
        <f t="shared" si="285"/>
        <v>0,958114858077964+0,957063743435487i</v>
      </c>
      <c r="AA419" s="4">
        <f t="shared" si="297"/>
        <v>1.3542359802739348</v>
      </c>
      <c r="AB419" s="4">
        <f t="shared" si="298"/>
        <v>0.78484932970846077</v>
      </c>
      <c r="AC419" s="48" t="str">
        <f t="shared" si="299"/>
        <v>-0,0245754213040624-0,0018128543274394i</v>
      </c>
      <c r="AD419" s="20">
        <f t="shared" si="300"/>
        <v>-32.166412210848968</v>
      </c>
      <c r="AE419" s="44">
        <f t="shared" si="301"/>
        <v>-175.78110543266953</v>
      </c>
      <c r="AF419" t="str">
        <f t="shared" si="286"/>
        <v>-20791,6666666667</v>
      </c>
      <c r="AG419" t="str">
        <f t="shared" si="302"/>
        <v>642953,949403827i</v>
      </c>
      <c r="AH419">
        <f t="shared" si="303"/>
        <v>642953.94940382696</v>
      </c>
      <c r="AI419">
        <f t="shared" si="304"/>
        <v>1.5707963267948966</v>
      </c>
      <c r="AJ419" t="str">
        <f t="shared" si="287"/>
        <v>-7710,29757348486+754,325789565609i</v>
      </c>
      <c r="AK419">
        <f t="shared" si="305"/>
        <v>7747.1088845123559</v>
      </c>
      <c r="AL419">
        <f t="shared" si="306"/>
        <v>3.04406945718643</v>
      </c>
      <c r="AM419" t="str">
        <f t="shared" si="288"/>
        <v>1+1036,95612959849i</v>
      </c>
      <c r="AN419">
        <f t="shared" si="307"/>
        <v>1036.9566117788536</v>
      </c>
      <c r="AO419">
        <f t="shared" si="308"/>
        <v>1.5698319661421563</v>
      </c>
      <c r="AP419" t="str">
        <f t="shared" si="289"/>
        <v>1+728,338233884655i</v>
      </c>
      <c r="AQ419">
        <f t="shared" si="309"/>
        <v>728.33892037856822</v>
      </c>
      <c r="AR419">
        <f t="shared" si="310"/>
        <v>1.5694233391840426</v>
      </c>
      <c r="AS419" s="42" t="str">
        <f t="shared" si="311"/>
        <v>-0,299626523179153+3,1382928800342i</v>
      </c>
      <c r="AT419">
        <f t="shared" si="312"/>
        <v>9.9732775742542028</v>
      </c>
      <c r="AU419" s="44">
        <f t="shared" si="313"/>
        <v>95.453747367781915</v>
      </c>
      <c r="AV419" s="42" t="str">
        <f t="shared" si="290"/>
        <v>0,0130527158693414-0,0765816904632189i</v>
      </c>
      <c r="AW419" s="20">
        <f t="shared" si="314"/>
        <v>-22.193134636594763</v>
      </c>
      <c r="AX419" s="44">
        <f t="shared" si="315"/>
        <v>-80.327358064887605</v>
      </c>
    </row>
    <row r="420" spans="14:50" x14ac:dyDescent="0.3">
      <c r="N420" s="8">
        <v>2</v>
      </c>
      <c r="O420" s="35">
        <f t="shared" ref="O420:O483" si="316">10^(5+(N420/100))</f>
        <v>104712.85480508996</v>
      </c>
      <c r="P420" s="34" t="str">
        <f t="shared" si="281"/>
        <v>324,571428571429</v>
      </c>
      <c r="Q420" s="4" t="str">
        <f t="shared" si="282"/>
        <v>1+15038,4061893525i</v>
      </c>
      <c r="R420" s="4">
        <f t="shared" si="291"/>
        <v>15038.406222600703</v>
      </c>
      <c r="S420" s="4">
        <f t="shared" si="292"/>
        <v>1.5707298303865715</v>
      </c>
      <c r="T420" s="4" t="str">
        <f t="shared" si="283"/>
        <v>1+0,131586054156834i</v>
      </c>
      <c r="U420" s="4">
        <f t="shared" si="293"/>
        <v>1.008620290123377</v>
      </c>
      <c r="V420" s="4">
        <f t="shared" si="294"/>
        <v>0.13083438191002375</v>
      </c>
      <c r="W420" t="str">
        <f t="shared" si="284"/>
        <v>1-1,14224005344474i</v>
      </c>
      <c r="X420" s="4">
        <f t="shared" si="295"/>
        <v>1.51812790623631</v>
      </c>
      <c r="Y420" s="4">
        <f t="shared" si="296"/>
        <v>-0.85169865787826915</v>
      </c>
      <c r="Z420" t="str">
        <f t="shared" si="285"/>
        <v>0,956140872154272+0,97935662182352i</v>
      </c>
      <c r="AA420" s="4">
        <f t="shared" si="297"/>
        <v>1.3687018521626646</v>
      </c>
      <c r="AB420" s="4">
        <f t="shared" si="298"/>
        <v>0.79739230777742987</v>
      </c>
      <c r="AC420" s="48" t="str">
        <f t="shared" si="299"/>
        <v>-0,0241120685644639-0,00126961665484996i</v>
      </c>
      <c r="AD420" s="20">
        <f t="shared" si="300"/>
        <v>-32.343286317163702</v>
      </c>
      <c r="AE420" s="44">
        <f t="shared" si="301"/>
        <v>-176.98588450302805</v>
      </c>
      <c r="AF420" t="str">
        <f t="shared" si="286"/>
        <v>-20791,6666666667</v>
      </c>
      <c r="AG420" t="str">
        <f t="shared" si="302"/>
        <v>657930,270784171i</v>
      </c>
      <c r="AH420">
        <f t="shared" si="303"/>
        <v>657930.27078417095</v>
      </c>
      <c r="AI420">
        <f t="shared" si="304"/>
        <v>1.5707963267948966</v>
      </c>
      <c r="AJ420" t="str">
        <f t="shared" si="287"/>
        <v>-8073,71983171164+771,896294359135i</v>
      </c>
      <c r="AK420">
        <f t="shared" si="305"/>
        <v>8110.5348658531275</v>
      </c>
      <c r="AL420">
        <f t="shared" si="306"/>
        <v>3.0462763331884366</v>
      </c>
      <c r="AM420" t="str">
        <f t="shared" si="288"/>
        <v>1+1061,10994072071i</v>
      </c>
      <c r="AN420">
        <f t="shared" si="307"/>
        <v>1061.1104119253137</v>
      </c>
      <c r="AO420">
        <f t="shared" si="308"/>
        <v>1.5698539176574648</v>
      </c>
      <c r="AP420" t="str">
        <f t="shared" si="289"/>
        <v>1+745,303410744309i</v>
      </c>
      <c r="AQ420">
        <f t="shared" si="309"/>
        <v>745.30408161172716</v>
      </c>
      <c r="AR420">
        <f t="shared" si="310"/>
        <v>1.5694545921597132</v>
      </c>
      <c r="AS420" s="42" t="str">
        <f t="shared" si="311"/>
        <v>-0,286259921607368+3,06811682270333i</v>
      </c>
      <c r="AT420">
        <f t="shared" si="312"/>
        <v>9.7750803112240998</v>
      </c>
      <c r="AU420" s="44">
        <f t="shared" si="313"/>
        <v>95.330351079742499</v>
      </c>
      <c r="AV420" s="42" t="str">
        <f t="shared" si="290"/>
        <v>0,0107976510741844-0,0736152028287191i</v>
      </c>
      <c r="AW420" s="20">
        <f t="shared" si="314"/>
        <v>-22.568206005939597</v>
      </c>
      <c r="AX420" s="44">
        <f t="shared" si="315"/>
        <v>-81.655533423285561</v>
      </c>
    </row>
    <row r="421" spans="14:50" x14ac:dyDescent="0.3">
      <c r="N421" s="8">
        <v>3</v>
      </c>
      <c r="O421" s="35">
        <f t="shared" si="316"/>
        <v>107151.93052376082</v>
      </c>
      <c r="P421" s="34" t="str">
        <f t="shared" si="281"/>
        <v>324,571428571429</v>
      </c>
      <c r="Q421" s="4" t="str">
        <f t="shared" si="282"/>
        <v>1+15388,6956686359i</v>
      </c>
      <c r="R421" s="4">
        <f t="shared" si="291"/>
        <v>15388.695701127281</v>
      </c>
      <c r="S421" s="4">
        <f t="shared" si="292"/>
        <v>1.5707313440296171</v>
      </c>
      <c r="T421" s="4" t="str">
        <f t="shared" si="283"/>
        <v>1+0,134651087100564i</v>
      </c>
      <c r="U421" s="4">
        <f t="shared" si="293"/>
        <v>1.0090247347103853</v>
      </c>
      <c r="V421" s="4">
        <f t="shared" si="294"/>
        <v>0.13384604433407749</v>
      </c>
      <c r="W421" t="str">
        <f t="shared" si="284"/>
        <v>1-1,1688462421924i</v>
      </c>
      <c r="X421" s="4">
        <f t="shared" si="295"/>
        <v>1.5382462539812327</v>
      </c>
      <c r="Y421" s="4">
        <f t="shared" si="296"/>
        <v>-0.86309217565227103</v>
      </c>
      <c r="Z421" t="str">
        <f t="shared" si="285"/>
        <v>0,954073855140124+1,00216876805576i</v>
      </c>
      <c r="AA421" s="4">
        <f t="shared" si="297"/>
        <v>1.3836904136143815</v>
      </c>
      <c r="AB421" s="4">
        <f t="shared" si="298"/>
        <v>0.80997856344746622</v>
      </c>
      <c r="AC421" s="48" t="str">
        <f t="shared" si="299"/>
        <v>-0,0236472067241275-0,000748367260884692i</v>
      </c>
      <c r="AD421" s="20">
        <f t="shared" si="300"/>
        <v>-32.520055568224393</v>
      </c>
      <c r="AE421" s="44">
        <f t="shared" si="301"/>
        <v>-178.18735549419318</v>
      </c>
      <c r="AF421" t="str">
        <f t="shared" si="286"/>
        <v>-20791,6666666667</v>
      </c>
      <c r="AG421" t="str">
        <f t="shared" si="302"/>
        <v>673255,435502822i</v>
      </c>
      <c r="AH421">
        <f t="shared" si="303"/>
        <v>673255.43550282205</v>
      </c>
      <c r="AI421">
        <f t="shared" si="304"/>
        <v>1.5707963267948966</v>
      </c>
      <c r="AJ421" t="str">
        <f t="shared" si="287"/>
        <v>-8454,26965329803+789,876068785186i</v>
      </c>
      <c r="AK421">
        <f t="shared" si="305"/>
        <v>8491.0882444310719</v>
      </c>
      <c r="AL421">
        <f t="shared" si="306"/>
        <v>3.0484338378628579</v>
      </c>
      <c r="AM421" t="str">
        <f t="shared" si="288"/>
        <v>1+1085,82636637895i</v>
      </c>
      <c r="AN421">
        <f t="shared" si="307"/>
        <v>1085.8268268576321</v>
      </c>
      <c r="AO421">
        <f t="shared" si="308"/>
        <v>1.5698753694961582</v>
      </c>
      <c r="AP421" t="str">
        <f t="shared" si="289"/>
        <v>1+762,663757337597i</v>
      </c>
      <c r="AQ421">
        <f t="shared" si="309"/>
        <v>762.66441293422179</v>
      </c>
      <c r="AR421">
        <f t="shared" si="310"/>
        <v>1.5694851337333369</v>
      </c>
      <c r="AS421" s="42" t="str">
        <f t="shared" si="311"/>
        <v>-0,273484549912152+2,99945500895091i</v>
      </c>
      <c r="AT421">
        <f t="shared" si="312"/>
        <v>9.5768026106459949</v>
      </c>
      <c r="AU421" s="44">
        <f t="shared" si="313"/>
        <v>95.209714170706633</v>
      </c>
      <c r="AV421" s="42" t="str">
        <f t="shared" si="290"/>
        <v>0,00871183961682308-0,0707240657728698i</v>
      </c>
      <c r="AW421" s="20">
        <f t="shared" si="314"/>
        <v>-22.943252957578405</v>
      </c>
      <c r="AX421" s="44">
        <f t="shared" si="315"/>
        <v>-82.977641323486537</v>
      </c>
    </row>
    <row r="422" spans="14:50" x14ac:dyDescent="0.3">
      <c r="N422" s="8">
        <v>4</v>
      </c>
      <c r="O422" s="35">
        <f t="shared" si="316"/>
        <v>109647.81961431868</v>
      </c>
      <c r="P422" s="34" t="str">
        <f t="shared" si="281"/>
        <v>324,571428571429</v>
      </c>
      <c r="Q422" s="4" t="str">
        <f t="shared" si="282"/>
        <v>1+15747,1444380563i</v>
      </c>
      <c r="R422" s="4">
        <f t="shared" si="291"/>
        <v>15747.14446980809</v>
      </c>
      <c r="S422" s="4">
        <f t="shared" si="292"/>
        <v>1.5707328232179409</v>
      </c>
      <c r="T422" s="4" t="str">
        <f t="shared" si="283"/>
        <v>1+0,137787513832993i</v>
      </c>
      <c r="U422" s="4">
        <f t="shared" si="293"/>
        <v>1.0094480665038086</v>
      </c>
      <c r="V422" s="4">
        <f t="shared" si="294"/>
        <v>0.13692533042398056</v>
      </c>
      <c r="W422" t="str">
        <f t="shared" si="284"/>
        <v>1-1,19607216868918i</v>
      </c>
      <c r="X422" s="4">
        <f t="shared" si="295"/>
        <v>1.5590345194102786</v>
      </c>
      <c r="Y422" s="4">
        <f t="shared" si="296"/>
        <v>-0.8744451694280797</v>
      </c>
      <c r="Z422" t="str">
        <f t="shared" si="285"/>
        <v>0,951909422615303+1,0255122774341i</v>
      </c>
      <c r="AA422" s="4">
        <f t="shared" si="297"/>
        <v>1.3992165593759507</v>
      </c>
      <c r="AB422" s="4">
        <f t="shared" si="298"/>
        <v>0.82260261605910734</v>
      </c>
      <c r="AC422" s="48" t="str">
        <f t="shared" si="299"/>
        <v>-0,0231813228232034-0,000248916129325945i</v>
      </c>
      <c r="AD422" s="20">
        <f t="shared" si="300"/>
        <v>-32.696734987061703</v>
      </c>
      <c r="AE422" s="44">
        <f t="shared" si="301"/>
        <v>-179.38479371176655</v>
      </c>
      <c r="AF422" t="str">
        <f t="shared" si="286"/>
        <v>-20791,6666666667</v>
      </c>
      <c r="AG422" t="str">
        <f t="shared" si="302"/>
        <v>688937,569164965i</v>
      </c>
      <c r="AH422">
        <f t="shared" si="303"/>
        <v>688937.56916496495</v>
      </c>
      <c r="AI422">
        <f t="shared" si="304"/>
        <v>1.5707963267948966</v>
      </c>
      <c r="AJ422" t="str">
        <f t="shared" si="287"/>
        <v>-8852,7542354368+808,274645958152i</v>
      </c>
      <c r="AK422">
        <f t="shared" si="305"/>
        <v>8889.5762247895127</v>
      </c>
      <c r="AL422">
        <f t="shared" si="306"/>
        <v>3.0505430380562713</v>
      </c>
      <c r="AM422" t="str">
        <f t="shared" si="288"/>
        <v>1+1111,11851154925i</v>
      </c>
      <c r="AN422">
        <f t="shared" si="307"/>
        <v>1111.1189615461617</v>
      </c>
      <c r="AO422">
        <f t="shared" si="308"/>
        <v>1.5698963330322067</v>
      </c>
      <c r="AP422" t="str">
        <f t="shared" si="289"/>
        <v>1+780,428478350072i</v>
      </c>
      <c r="AQ422">
        <f t="shared" si="309"/>
        <v>780.42911902350795</v>
      </c>
      <c r="AR422">
        <f t="shared" si="310"/>
        <v>1.569514980098232</v>
      </c>
      <c r="AS422" s="42" t="str">
        <f t="shared" si="311"/>
        <v>-0,261274699223667+2,93227841800632i</v>
      </c>
      <c r="AT422">
        <f t="shared" si="312"/>
        <v>9.3784480318092882</v>
      </c>
      <c r="AU422" s="44">
        <f t="shared" si="313"/>
        <v>95.09177709435744</v>
      </c>
      <c r="AV422" s="42" t="str">
        <f t="shared" si="290"/>
        <v>0,00678658454215533-0,0679090571284951i</v>
      </c>
      <c r="AW422" s="20">
        <f t="shared" si="314"/>
        <v>-23.318286955252418</v>
      </c>
      <c r="AX422" s="44">
        <f t="shared" si="315"/>
        <v>-84.293016617409108</v>
      </c>
    </row>
    <row r="423" spans="14:50" x14ac:dyDescent="0.3">
      <c r="N423" s="8">
        <v>5</v>
      </c>
      <c r="O423" s="35">
        <f t="shared" si="316"/>
        <v>112201.84543019651</v>
      </c>
      <c r="P423" s="34" t="str">
        <f t="shared" si="281"/>
        <v>324,571428571429</v>
      </c>
      <c r="Q423" s="4" t="str">
        <f t="shared" si="282"/>
        <v>1+16113,9425518959i</v>
      </c>
      <c r="R423" s="4">
        <f t="shared" si="291"/>
        <v>16113.942582924927</v>
      </c>
      <c r="S423" s="4">
        <f t="shared" si="292"/>
        <v>1.5707342687358279</v>
      </c>
      <c r="T423" s="4" t="str">
        <f t="shared" si="283"/>
        <v>1+0,140996997329089i</v>
      </c>
      <c r="U423" s="4">
        <f t="shared" si="293"/>
        <v>1.0098911591136042</v>
      </c>
      <c r="V423" s="4">
        <f t="shared" si="294"/>
        <v>0.14007363915247104</v>
      </c>
      <c r="W423" t="str">
        <f t="shared" si="284"/>
        <v>1-1,22393226848168i</v>
      </c>
      <c r="X423" s="4">
        <f t="shared" si="295"/>
        <v>1.5805094741350687</v>
      </c>
      <c r="Y423" s="4">
        <f t="shared" si="296"/>
        <v>-0.88575195319212952</v>
      </c>
      <c r="Z423" t="str">
        <f t="shared" si="285"/>
        <v>0,949642983528233+1,04939952699619i</v>
      </c>
      <c r="AA423" s="4">
        <f t="shared" si="297"/>
        <v>1.4152954332662249</v>
      </c>
      <c r="AB423" s="4">
        <f t="shared" si="298"/>
        <v>0.83525896475968298</v>
      </c>
      <c r="AC423" s="48" t="str">
        <f t="shared" si="299"/>
        <v>-0,0227149081241415+0,000228948902537629i</v>
      </c>
      <c r="AD423" s="20">
        <f t="shared" si="300"/>
        <v>-32.873339127442293</v>
      </c>
      <c r="AE423" s="44">
        <f t="shared" si="301"/>
        <v>179.42252191477007</v>
      </c>
      <c r="AF423" t="str">
        <f t="shared" si="286"/>
        <v>-20791,6666666667</v>
      </c>
      <c r="AG423" t="str">
        <f t="shared" si="302"/>
        <v>704984,986645446i</v>
      </c>
      <c r="AH423">
        <f t="shared" si="303"/>
        <v>704984.98664544604</v>
      </c>
      <c r="AI423">
        <f t="shared" si="304"/>
        <v>1.5707963267948966</v>
      </c>
      <c r="AJ423" t="str">
        <f t="shared" si="287"/>
        <v>-9270,01881735244+827,101781047184i</v>
      </c>
      <c r="AK423">
        <f t="shared" si="305"/>
        <v>9306.8440531836441</v>
      </c>
      <c r="AL423">
        <f t="shared" si="306"/>
        <v>3.0526049800652602</v>
      </c>
      <c r="AM423" t="str">
        <f t="shared" si="288"/>
        <v>1+1136,99978646177i</v>
      </c>
      <c r="AN423">
        <f t="shared" si="307"/>
        <v>1137.0002262155058</v>
      </c>
      <c r="AO423">
        <f t="shared" si="308"/>
        <v>1.5699168193806803</v>
      </c>
      <c r="AP423" t="str">
        <f t="shared" si="289"/>
        <v>1+798,606992871961i</v>
      </c>
      <c r="AQ423">
        <f t="shared" si="309"/>
        <v>798.6076189619007</v>
      </c>
      <c r="AR423">
        <f t="shared" si="310"/>
        <v>1.5695441470791238</v>
      </c>
      <c r="AS423" s="42" t="str">
        <f t="shared" si="311"/>
        <v>-0,249605739934247+2,86655833712247i</v>
      </c>
      <c r="AT423">
        <f t="shared" si="312"/>
        <v>9.180019979111405</v>
      </c>
      <c r="AU423" s="44">
        <f t="shared" si="313"/>
        <v>94.976481445853068</v>
      </c>
      <c r="AV423" s="42" t="str">
        <f t="shared" si="290"/>
        <v>0,0050134760645205-0,0651707562204538i</v>
      </c>
      <c r="AW423" s="20">
        <f t="shared" si="314"/>
        <v>-23.693319148330882</v>
      </c>
      <c r="AX423" s="44">
        <f t="shared" si="315"/>
        <v>-85.600996639376859</v>
      </c>
    </row>
    <row r="424" spans="14:50" x14ac:dyDescent="0.3">
      <c r="N424" s="8">
        <v>6</v>
      </c>
      <c r="O424" s="35">
        <f t="shared" si="316"/>
        <v>114815.36214968823</v>
      </c>
      <c r="P424" s="34" t="str">
        <f t="shared" si="281"/>
        <v>324,571428571429</v>
      </c>
      <c r="Q424" s="4" t="str">
        <f t="shared" si="282"/>
        <v>1+16489,2844913697i</v>
      </c>
      <c r="R424" s="4">
        <f t="shared" si="291"/>
        <v>16489.284521692422</v>
      </c>
      <c r="S424" s="4">
        <f t="shared" si="292"/>
        <v>1.5707356813497109</v>
      </c>
      <c r="T424" s="4" t="str">
        <f t="shared" si="283"/>
        <v>1+0,144281239299485i</v>
      </c>
      <c r="U424" s="4">
        <f t="shared" si="293"/>
        <v>1.0103549257631179</v>
      </c>
      <c r="V424" s="4">
        <f t="shared" si="294"/>
        <v>0.14329239001901545</v>
      </c>
      <c r="W424" t="str">
        <f t="shared" si="284"/>
        <v>1-1,25244131336358i</v>
      </c>
      <c r="X424" s="4">
        <f t="shared" si="295"/>
        <v>1.6026881304295884</v>
      </c>
      <c r="Y424" s="4">
        <f t="shared" si="296"/>
        <v>-0.89700695872289515</v>
      </c>
      <c r="Z424" t="str">
        <f t="shared" si="285"/>
        <v>0,947269730457744+1,07384318207794i</v>
      </c>
      <c r="AA424" s="4">
        <f t="shared" si="297"/>
        <v>1.4319424296865997</v>
      </c>
      <c r="AB424" s="4">
        <f t="shared" si="298"/>
        <v>0.84794210479464349</v>
      </c>
      <c r="AC424" s="48" t="str">
        <f t="shared" si="299"/>
        <v>-0,0222484560399828+0,000685462561398433i</v>
      </c>
      <c r="AD424" s="20">
        <f t="shared" si="300"/>
        <v>-33.049881978375588</v>
      </c>
      <c r="AE424" s="44">
        <f t="shared" si="301"/>
        <v>178.23530710762756</v>
      </c>
      <c r="AF424" t="str">
        <f t="shared" si="286"/>
        <v>-20791,6666666667</v>
      </c>
      <c r="AG424" t="str">
        <f t="shared" si="302"/>
        <v>721406,196497424i</v>
      </c>
      <c r="AH424">
        <f t="shared" si="303"/>
        <v>721406.19649742404</v>
      </c>
      <c r="AI424">
        <f t="shared" si="304"/>
        <v>1.5707963267948966</v>
      </c>
      <c r="AJ424" t="str">
        <f t="shared" si="287"/>
        <v>-9706,94847316677+846,367456448513i</v>
      </c>
      <c r="AK424">
        <f t="shared" si="305"/>
        <v>9743.776810459578</v>
      </c>
      <c r="AL424">
        <f t="shared" si="306"/>
        <v>3.0546206898623303</v>
      </c>
      <c r="AM424" t="str">
        <f t="shared" si="288"/>
        <v>1+1163,48391371104i</v>
      </c>
      <c r="AN424">
        <f t="shared" si="307"/>
        <v>1163.484343454762</v>
      </c>
      <c r="AO424">
        <f t="shared" si="308"/>
        <v>1.5699368394036435</v>
      </c>
      <c r="AP424" t="str">
        <f t="shared" si="289"/>
        <v>1+817,208939392282i</v>
      </c>
      <c r="AQ424">
        <f t="shared" si="309"/>
        <v>817.20955123068541</v>
      </c>
      <c r="AR424">
        <f t="shared" si="310"/>
        <v>1.5695726501405327</v>
      </c>
      <c r="AS424" s="42" t="str">
        <f t="shared" si="311"/>
        <v>-0,238454079788548+2,80226637691866i</v>
      </c>
      <c r="AT424">
        <f t="shared" si="312"/>
        <v>8.9815217085704298</v>
      </c>
      <c r="AU424" s="44">
        <f t="shared" si="313"/>
        <v>94.863769949701251</v>
      </c>
      <c r="AV424" s="42" t="str">
        <f t="shared" si="290"/>
        <v>0,00338438642328669-0,0625095516435045i</v>
      </c>
      <c r="AW424" s="20">
        <f t="shared" si="314"/>
        <v>-24.068360269805147</v>
      </c>
      <c r="AX424" s="44">
        <f t="shared" si="315"/>
        <v>-86.900922942671187</v>
      </c>
    </row>
    <row r="425" spans="14:50" x14ac:dyDescent="0.3">
      <c r="N425" s="8">
        <v>7</v>
      </c>
      <c r="O425" s="35">
        <f t="shared" si="316"/>
        <v>117489.75549395311</v>
      </c>
      <c r="P425" s="34" t="str">
        <f t="shared" si="281"/>
        <v>324,571428571429</v>
      </c>
      <c r="Q425" s="4" t="str">
        <f t="shared" si="282"/>
        <v>1+16873,3692677424i</v>
      </c>
      <c r="R425" s="4">
        <f t="shared" si="291"/>
        <v>16873.369297374891</v>
      </c>
      <c r="S425" s="4">
        <f t="shared" si="292"/>
        <v>1.5707370618085763</v>
      </c>
      <c r="T425" s="4" t="str">
        <f t="shared" si="283"/>
        <v>1+0,147641981092746i</v>
      </c>
      <c r="U425" s="4">
        <f t="shared" si="293"/>
        <v>1.010840321010688</v>
      </c>
      <c r="V425" s="4">
        <f t="shared" si="294"/>
        <v>0.14658302272922685</v>
      </c>
      <c r="W425" t="str">
        <f t="shared" si="284"/>
        <v>1-1,28161441920786i</v>
      </c>
      <c r="X425" s="4">
        <f t="shared" si="295"/>
        <v>1.6255877458696286</v>
      </c>
      <c r="Y425" s="4">
        <f t="shared" si="296"/>
        <v>-0.9082047484101865</v>
      </c>
      <c r="Z425" t="str">
        <f t="shared" si="285"/>
        <v>0,944784629415884+1,09885620302882i</v>
      </c>
      <c r="AA425" s="4">
        <f t="shared" si="297"/>
        <v>1.4491731956241203</v>
      </c>
      <c r="AB425" s="4">
        <f t="shared" si="298"/>
        <v>0.86064654391069007</v>
      </c>
      <c r="AC425" s="48" t="str">
        <f t="shared" si="299"/>
        <v>-0,0217824600429907+0,00112088236998071i</v>
      </c>
      <c r="AD425" s="20">
        <f t="shared" si="300"/>
        <v>-33.226376870893162</v>
      </c>
      <c r="AE425" s="44">
        <f t="shared" si="301"/>
        <v>177.05427054799625</v>
      </c>
      <c r="AF425" t="str">
        <f t="shared" si="286"/>
        <v>-20791,6666666667</v>
      </c>
      <c r="AG425" t="str">
        <f t="shared" si="302"/>
        <v>738209,905463728i</v>
      </c>
      <c r="AH425">
        <f t="shared" si="303"/>
        <v>738209.90546372801</v>
      </c>
      <c r="AI425">
        <f t="shared" si="304"/>
        <v>1.5707963267948966</v>
      </c>
      <c r="AJ425" t="str">
        <f t="shared" si="287"/>
        <v>-10164,4699892601+866,081887078251i</v>
      </c>
      <c r="AK425">
        <f t="shared" si="305"/>
        <v>10201.301289428435</v>
      </c>
      <c r="AL425">
        <f t="shared" si="306"/>
        <v>3.0565911733320377</v>
      </c>
      <c r="AM425" t="str">
        <f t="shared" si="288"/>
        <v>1+1190,5849355319i</v>
      </c>
      <c r="AN425">
        <f t="shared" si="307"/>
        <v>1190.5853554934642</v>
      </c>
      <c r="AO425">
        <f t="shared" si="308"/>
        <v>1.5699564037159133</v>
      </c>
      <c r="AP425" t="str">
        <f t="shared" si="289"/>
        <v>1+836,244180909311i</v>
      </c>
      <c r="AQ425">
        <f t="shared" si="309"/>
        <v>836.24477882058227</v>
      </c>
      <c r="AR425">
        <f t="shared" si="310"/>
        <v>1.5696005043949741</v>
      </c>
      <c r="AS425" s="42" t="str">
        <f t="shared" si="311"/>
        <v>-0,227797123296698+2,73937448500722i</v>
      </c>
      <c r="AT425">
        <f t="shared" si="312"/>
        <v>8.7829563340844992</v>
      </c>
      <c r="AU425" s="44">
        <f t="shared" si="313"/>
        <v>94.753586447029832</v>
      </c>
      <c r="AV425" s="42" t="str">
        <f t="shared" si="290"/>
        <v>0,00189146517109897-0,0599256490418936i</v>
      </c>
      <c r="AW425" s="20">
        <f t="shared" si="314"/>
        <v>-24.443420536808663</v>
      </c>
      <c r="AX425" s="44">
        <f t="shared" si="315"/>
        <v>-88.192143004973929</v>
      </c>
    </row>
    <row r="426" spans="14:50" x14ac:dyDescent="0.3">
      <c r="N426" s="8">
        <v>8</v>
      </c>
      <c r="O426" s="35">
        <f t="shared" si="316"/>
        <v>120226.44346174144</v>
      </c>
      <c r="P426" s="34" t="str">
        <f t="shared" si="281"/>
        <v>324,571428571429</v>
      </c>
      <c r="Q426" s="4" t="str">
        <f t="shared" si="282"/>
        <v>1+17266,4005278462i</v>
      </c>
      <c r="R426" s="4">
        <f t="shared" si="291"/>
        <v>17266.400556804176</v>
      </c>
      <c r="S426" s="4">
        <f t="shared" si="292"/>
        <v>1.5707384108443621</v>
      </c>
      <c r="T426" s="4" t="str">
        <f t="shared" si="283"/>
        <v>1+0,151081004618654i</v>
      </c>
      <c r="U426" s="4">
        <f t="shared" si="293"/>
        <v>1.0113483425390986</v>
      </c>
      <c r="V426" s="4">
        <f t="shared" si="294"/>
        <v>0.14994699681709764</v>
      </c>
      <c r="W426" t="str">
        <f t="shared" si="284"/>
        <v>1-1,31146705398137i</v>
      </c>
      <c r="X426" s="4">
        <f t="shared" si="295"/>
        <v>1.6492258285870296</v>
      </c>
      <c r="Y426" s="4">
        <f t="shared" si="296"/>
        <v>-0.91934002728990805</v>
      </c>
      <c r="Z426" t="str">
        <f t="shared" si="285"/>
        <v>0,942182409170163+1,12445185208363i</v>
      </c>
      <c r="AA426" s="4">
        <f t="shared" si="297"/>
        <v>1.4670036331938643</v>
      </c>
      <c r="AB426" s="4">
        <f t="shared" si="298"/>
        <v>0.87336681876651434</v>
      </c>
      <c r="AC426" s="48" t="str">
        <f t="shared" si="299"/>
        <v>-0,0213174115723964+0,00153548869252555i</v>
      </c>
      <c r="AD426" s="20">
        <f t="shared" si="300"/>
        <v>-33.402836387798651</v>
      </c>
      <c r="AE426" s="44">
        <f t="shared" si="301"/>
        <v>175.88011222457143</v>
      </c>
      <c r="AF426" t="str">
        <f t="shared" si="286"/>
        <v>-20791,6666666667</v>
      </c>
      <c r="AG426" t="str">
        <f t="shared" si="302"/>
        <v>755405,023093271i</v>
      </c>
      <c r="AH426">
        <f t="shared" si="303"/>
        <v>755405.02309327095</v>
      </c>
      <c r="AI426">
        <f t="shared" si="304"/>
        <v>1.5707963267948966</v>
      </c>
      <c r="AJ426" t="str">
        <f t="shared" si="287"/>
        <v>-10643,5538301089+886,255525788465i</v>
      </c>
      <c r="AK426">
        <f t="shared" si="305"/>
        <v>10680.387960716427</v>
      </c>
      <c r="AL426">
        <f t="shared" si="306"/>
        <v>3.0585174165161497</v>
      </c>
      <c r="AM426" t="str">
        <f t="shared" si="288"/>
        <v>1+1218,31722124483i</v>
      </c>
      <c r="AN426">
        <f t="shared" si="307"/>
        <v>1218.3176316469051</v>
      </c>
      <c r="AO426">
        <f t="shared" si="308"/>
        <v>1.5699755226906871</v>
      </c>
      <c r="AP426" t="str">
        <f t="shared" si="289"/>
        <v>1+855,722810160057i</v>
      </c>
      <c r="AQ426">
        <f t="shared" si="309"/>
        <v>855.72339446121543</v>
      </c>
      <c r="AR426">
        <f t="shared" si="310"/>
        <v>1.5696277246109691</v>
      </c>
      <c r="AS426" s="42" t="str">
        <f t="shared" si="311"/>
        <v>-0,217613232457558+2,67785495802086i</v>
      </c>
      <c r="AT426">
        <f t="shared" si="312"/>
        <v>8.5843268334452389</v>
      </c>
      <c r="AU426" s="44">
        <f t="shared" si="313"/>
        <v>94.645875882321462</v>
      </c>
      <c r="AV426" s="42" t="str">
        <f t="shared" si="290"/>
        <v>0,000527134831632824-0,0574190789290955i</v>
      </c>
      <c r="AW426" s="20">
        <f t="shared" si="314"/>
        <v>-24.818509554353405</v>
      </c>
      <c r="AX426" s="44">
        <f t="shared" si="315"/>
        <v>-89.474011893107118</v>
      </c>
    </row>
    <row r="427" spans="14:50" x14ac:dyDescent="0.3">
      <c r="N427" s="8">
        <v>9</v>
      </c>
      <c r="O427" s="35">
        <f t="shared" si="316"/>
        <v>123026.87708123829</v>
      </c>
      <c r="P427" s="34" t="str">
        <f t="shared" si="281"/>
        <v>324,571428571429</v>
      </c>
      <c r="Q427" s="4" t="str">
        <f t="shared" si="282"/>
        <v>1+17668,5866620577i</v>
      </c>
      <c r="R427" s="4">
        <f t="shared" si="291"/>
        <v>17668.586690356511</v>
      </c>
      <c r="S427" s="4">
        <f t="shared" si="292"/>
        <v>1.5707397291723444</v>
      </c>
      <c r="T427" s="4" t="str">
        <f t="shared" si="283"/>
        <v>1+0,154600133293005i</v>
      </c>
      <c r="U427" s="4">
        <f t="shared" si="293"/>
        <v>1.01188003301489</v>
      </c>
      <c r="V427" s="4">
        <f t="shared" si="294"/>
        <v>0.15338579120600168</v>
      </c>
      <c r="W427" t="str">
        <f t="shared" si="284"/>
        <v>1-1,34201504594622i</v>
      </c>
      <c r="X427" s="4">
        <f t="shared" si="295"/>
        <v>1.6736201431465969</v>
      </c>
      <c r="Y427" s="4">
        <f t="shared" si="296"/>
        <v>-0.93040765423708205</v>
      </c>
      <c r="Z427" t="str">
        <f t="shared" si="285"/>
        <v>0,939457550062551+1,15064370039429i</v>
      </c>
      <c r="AA427" s="4">
        <f t="shared" si="297"/>
        <v>1.4854499027656891</v>
      </c>
      <c r="AB427" s="4">
        <f t="shared" si="298"/>
        <v>0.88609751124681047</v>
      </c>
      <c r="AC427" s="48" t="str">
        <f t="shared" si="299"/>
        <v>-0,0208537979600423+0,00192958459478221i</v>
      </c>
      <c r="AD427" s="20">
        <f t="shared" si="300"/>
        <v>-33.579272277041255</v>
      </c>
      <c r="AE427" s="44">
        <f t="shared" si="301"/>
        <v>174.71352183234129</v>
      </c>
      <c r="AF427" t="str">
        <f t="shared" si="286"/>
        <v>-20791,6666666667</v>
      </c>
      <c r="AG427" t="str">
        <f t="shared" si="302"/>
        <v>773000,666465025i</v>
      </c>
      <c r="AH427">
        <f t="shared" si="303"/>
        <v>773000.66646502505</v>
      </c>
      <c r="AI427">
        <f t="shared" si="304"/>
        <v>1.5707963267948966</v>
      </c>
      <c r="AJ427" t="str">
        <f t="shared" si="287"/>
        <v>-11145,2161967716+906,899068909432i</v>
      </c>
      <c r="AK427">
        <f t="shared" si="305"/>
        <v>11182.053031262587</v>
      </c>
      <c r="AL427">
        <f t="shared" si="306"/>
        <v>3.0604003858667537</v>
      </c>
      <c r="AM427" t="str">
        <f t="shared" si="288"/>
        <v>1+1246,69547487479i</v>
      </c>
      <c r="AN427">
        <f t="shared" si="307"/>
        <v>1246.6958759349764</v>
      </c>
      <c r="AO427">
        <f t="shared" si="308"/>
        <v>1.5699942064650425</v>
      </c>
      <c r="AP427" t="str">
        <f t="shared" si="289"/>
        <v>1+875,65515497158i</v>
      </c>
      <c r="AQ427">
        <f t="shared" si="309"/>
        <v>875.6557259724292</v>
      </c>
      <c r="AR427">
        <f t="shared" si="310"/>
        <v>1.5696543252208752</v>
      </c>
      <c r="AS427" s="42" t="str">
        <f t="shared" si="311"/>
        <v>-0,207881688776003+2,61768045215142i</v>
      </c>
      <c r="AT427">
        <f t="shared" si="312"/>
        <v>8.3856360541131956</v>
      </c>
      <c r="AU427" s="44">
        <f t="shared" si="313"/>
        <v>94.540584289675394</v>
      </c>
      <c r="AV427" s="42" t="str">
        <f t="shared" si="290"/>
        <v>-0,000715913137206751-0,0549897045773174i</v>
      </c>
      <c r="AW427" s="20">
        <f t="shared" si="314"/>
        <v>-25.193636222928056</v>
      </c>
      <c r="AX427" s="44">
        <f t="shared" si="315"/>
        <v>-90.745893877983306</v>
      </c>
    </row>
    <row r="428" spans="14:50" x14ac:dyDescent="0.3">
      <c r="N428" s="8">
        <v>10</v>
      </c>
      <c r="O428" s="35">
        <f t="shared" si="316"/>
        <v>125892.54117941685</v>
      </c>
      <c r="P428" s="34" t="str">
        <f t="shared" si="281"/>
        <v>324,571428571429</v>
      </c>
      <c r="Q428" s="4" t="str">
        <f t="shared" si="282"/>
        <v>1+18080,1409147889i</v>
      </c>
      <c r="R428" s="4">
        <f t="shared" si="291"/>
        <v>18080.140942443548</v>
      </c>
      <c r="S428" s="4">
        <f t="shared" si="292"/>
        <v>1.5707410174915182</v>
      </c>
      <c r="T428" s="4" t="str">
        <f t="shared" si="283"/>
        <v>1+0,158201233004403i</v>
      </c>
      <c r="U428" s="4">
        <f t="shared" si="293"/>
        <v>1.0124364820195455</v>
      </c>
      <c r="V428" s="4">
        <f t="shared" si="294"/>
        <v>0.15690090370420642</v>
      </c>
      <c r="W428" t="str">
        <f t="shared" si="284"/>
        <v>1-1,37327459205211i</v>
      </c>
      <c r="X428" s="4">
        <f t="shared" si="295"/>
        <v>1.6987887170498541</v>
      </c>
      <c r="Y428" s="4">
        <f t="shared" si="296"/>
        <v>-0.94140265226870667</v>
      </c>
      <c r="Z428" t="str">
        <f t="shared" si="285"/>
        <v>0,936604272301555+1,17744563522547i</v>
      </c>
      <c r="AA428" s="4">
        <f t="shared" si="297"/>
        <v>1.5045284267188295</v>
      </c>
      <c r="AB428" s="4">
        <f t="shared" si="298"/>
        <v>0.89883326457644541</v>
      </c>
      <c r="AC428" s="48" t="str">
        <f t="shared" si="299"/>
        <v>-0,0203921003924332+0,00230349552175669i</v>
      </c>
      <c r="AD428" s="20">
        <f t="shared" si="300"/>
        <v>-33.755695369310665</v>
      </c>
      <c r="AE428" s="44">
        <f t="shared" si="301"/>
        <v>173.55517723007634</v>
      </c>
      <c r="AF428" t="str">
        <f t="shared" si="286"/>
        <v>-20791,6666666667</v>
      </c>
      <c r="AG428" t="str">
        <f t="shared" si="302"/>
        <v>791006,165022013i</v>
      </c>
      <c r="AH428">
        <f t="shared" si="303"/>
        <v>791006.16502201301</v>
      </c>
      <c r="AI428">
        <f t="shared" si="304"/>
        <v>1.5707963267948966</v>
      </c>
      <c r="AJ428" t="str">
        <f t="shared" si="287"/>
        <v>-11670,5211823869+928,023461920963i</v>
      </c>
      <c r="AK428">
        <f t="shared" si="305"/>
        <v>11707.360599828515</v>
      </c>
      <c r="AL428">
        <f t="shared" si="306"/>
        <v>3.0622410285062944</v>
      </c>
      <c r="AM428" t="str">
        <f t="shared" si="288"/>
        <v>1+1275,7347429475i</v>
      </c>
      <c r="AN428">
        <f t="shared" si="307"/>
        <v>1275.735134878445</v>
      </c>
      <c r="AO428">
        <f t="shared" si="308"/>
        <v>1.5700124649453115</v>
      </c>
      <c r="AP428" t="str">
        <f t="shared" si="289"/>
        <v>1+896,051783736936i</v>
      </c>
      <c r="AQ428">
        <f t="shared" si="309"/>
        <v>896.05234174022712</v>
      </c>
      <c r="AR428">
        <f t="shared" si="310"/>
        <v>1.5696803203285374</v>
      </c>
      <c r="AS428" s="42" t="str">
        <f t="shared" si="311"/>
        <v>-0,198582656555449+2,5588239923047i</v>
      </c>
      <c r="AT428">
        <f t="shared" si="312"/>
        <v>8.1868867187640131</v>
      </c>
      <c r="AU428" s="44">
        <f t="shared" si="313"/>
        <v>94.437658778654693</v>
      </c>
      <c r="AV428" s="42" t="str">
        <f t="shared" si="290"/>
        <v>-0,00184472213856265-0,0526372299977182i</v>
      </c>
      <c r="AW428" s="20">
        <f t="shared" si="314"/>
        <v>-25.56880865054665</v>
      </c>
      <c r="AX428" s="44">
        <f t="shared" si="315"/>
        <v>-92.007163991268953</v>
      </c>
    </row>
    <row r="429" spans="14:50" x14ac:dyDescent="0.3">
      <c r="N429" s="8">
        <v>11</v>
      </c>
      <c r="O429" s="35">
        <f t="shared" si="316"/>
        <v>128824.95516931375</v>
      </c>
      <c r="P429" s="34" t="str">
        <f t="shared" si="281"/>
        <v>324,571428571429</v>
      </c>
      <c r="Q429" s="4" t="str">
        <f t="shared" si="282"/>
        <v>1+18501,281497552i</v>
      </c>
      <c r="R429" s="4">
        <f t="shared" si="291"/>
        <v>18501.281524577156</v>
      </c>
      <c r="S429" s="4">
        <f t="shared" si="292"/>
        <v>1.5707422764849677</v>
      </c>
      <c r="T429" s="4" t="str">
        <f t="shared" si="283"/>
        <v>1+0,16188621310358i</v>
      </c>
      <c r="U429" s="4">
        <f t="shared" si="293"/>
        <v>1.0130188280545518</v>
      </c>
      <c r="V429" s="4">
        <f t="shared" si="294"/>
        <v>0.16049385043046566</v>
      </c>
      <c r="W429" t="str">
        <f t="shared" si="284"/>
        <v>1-1,40526226652413i</v>
      </c>
      <c r="X429" s="4">
        <f t="shared" si="295"/>
        <v>1.724749847866796</v>
      </c>
      <c r="Y429" s="4">
        <f t="shared" si="296"/>
        <v>-0.95232021791734134</v>
      </c>
      <c r="Z429" t="str">
        <f t="shared" si="285"/>
        <v>0,933616523702497+1,20487186731779i</v>
      </c>
      <c r="AA429" s="4">
        <f t="shared" si="297"/>
        <v>1.5242558938656572</v>
      </c>
      <c r="AB429" s="4">
        <f t="shared" si="298"/>
        <v>0.9115687991340401</v>
      </c>
      <c r="AC429" s="48" t="str">
        <f t="shared" si="299"/>
        <v>-0,019932791927148+0,00265756879859026i</v>
      </c>
      <c r="AD429" s="20">
        <f t="shared" si="300"/>
        <v>-33.932115500388221</v>
      </c>
      <c r="AE429" s="44">
        <f t="shared" si="301"/>
        <v>172.40574296427812</v>
      </c>
      <c r="AF429" t="str">
        <f t="shared" si="286"/>
        <v>-20791,6666666667</v>
      </c>
      <c r="AG429" t="str">
        <f t="shared" si="302"/>
        <v>809431,065517901i</v>
      </c>
      <c r="AH429">
        <f t="shared" si="303"/>
        <v>809431.06551790098</v>
      </c>
      <c r="AI429">
        <f t="shared" si="304"/>
        <v>1.5707963267948966</v>
      </c>
      <c r="AJ429" t="str">
        <f t="shared" si="287"/>
        <v>-12220,5830292581+949,639905255847i</v>
      </c>
      <c r="AK429">
        <f t="shared" si="305"/>
        <v>12257.424914093719</v>
      </c>
      <c r="AL429">
        <f t="shared" si="306"/>
        <v>3.0640402724935916</v>
      </c>
      <c r="AM429" t="str">
        <f t="shared" si="288"/>
        <v>1+1305,45042246727i</v>
      </c>
      <c r="AN429">
        <f t="shared" si="307"/>
        <v>1305.4508054767803</v>
      </c>
      <c r="AO429">
        <f t="shared" si="308"/>
        <v>1.5700303078123334</v>
      </c>
      <c r="AP429" t="str">
        <f t="shared" si="289"/>
        <v>1+916,923511018678i</v>
      </c>
      <c r="AQ429">
        <f t="shared" si="309"/>
        <v>916.92405632027123</v>
      </c>
      <c r="AR429">
        <f t="shared" si="310"/>
        <v>1.5697057237167649</v>
      </c>
      <c r="AS429" s="42" t="str">
        <f t="shared" si="311"/>
        <v>-0,189697147444469+2,50125897996947i</v>
      </c>
      <c r="AT429">
        <f t="shared" si="312"/>
        <v>7.98808143061202</v>
      </c>
      <c r="AU429" s="44">
        <f t="shared" si="313"/>
        <v>94.337047519773819</v>
      </c>
      <c r="AV429" s="42" t="str">
        <f t="shared" si="290"/>
        <v>-0,00286607405317645-0,0503612080238719i</v>
      </c>
      <c r="AW429" s="20">
        <f t="shared" si="314"/>
        <v>-25.944034069776201</v>
      </c>
      <c r="AX429" s="44">
        <f t="shared" si="315"/>
        <v>-93.257209515948048</v>
      </c>
    </row>
    <row r="430" spans="14:50" x14ac:dyDescent="0.3">
      <c r="N430" s="8">
        <v>12</v>
      </c>
      <c r="O430" s="35">
        <f t="shared" si="316"/>
        <v>131825.67385564081</v>
      </c>
      <c r="P430" s="34" t="str">
        <f t="shared" si="281"/>
        <v>324,571428571429</v>
      </c>
      <c r="Q430" s="4" t="str">
        <f t="shared" si="282"/>
        <v>1+18932,2317046585i</v>
      </c>
      <c r="R430" s="4">
        <f t="shared" si="291"/>
        <v>18932.231731068488</v>
      </c>
      <c r="S430" s="4">
        <f t="shared" si="292"/>
        <v>1.5707435068202276</v>
      </c>
      <c r="T430" s="4" t="str">
        <f t="shared" si="283"/>
        <v>1+0,165657027415762i</v>
      </c>
      <c r="U430" s="4">
        <f t="shared" si="293"/>
        <v>1.0136282606223184</v>
      </c>
      <c r="V430" s="4">
        <f t="shared" si="294"/>
        <v>0.16416616516504487</v>
      </c>
      <c r="W430" t="str">
        <f t="shared" si="284"/>
        <v>1-1,43799502965071i</v>
      </c>
      <c r="X430" s="4">
        <f t="shared" si="295"/>
        <v>1.7515221109937911</v>
      </c>
      <c r="Y430" s="4">
        <f t="shared" si="296"/>
        <v>-0.96315572964563023</v>
      </c>
      <c r="Z430" t="str">
        <f t="shared" si="285"/>
        <v>0,930487966850025+1,23293693842252i</v>
      </c>
      <c r="AA430" s="4">
        <f t="shared" si="297"/>
        <v>1.5446492645838374</v>
      </c>
      <c r="AB430" s="4">
        <f t="shared" si="298"/>
        <v>0.92429892786780088</v>
      </c>
      <c r="AC430" s="48" t="str">
        <f t="shared" si="299"/>
        <v>-0,0194763355807298+0,00299217296195827i</v>
      </c>
      <c r="AD430" s="20">
        <f t="shared" si="300"/>
        <v>-34.108541438724274</v>
      </c>
      <c r="AE430" s="44">
        <f t="shared" si="301"/>
        <v>171.26586886659737</v>
      </c>
      <c r="AF430" t="str">
        <f t="shared" si="286"/>
        <v>-20791,6666666667</v>
      </c>
      <c r="AG430" t="str">
        <f t="shared" si="302"/>
        <v>828285,13707881i</v>
      </c>
      <c r="AH430">
        <f t="shared" si="303"/>
        <v>828285.13707881002</v>
      </c>
      <c r="AI430">
        <f t="shared" si="304"/>
        <v>1.5707963267948966</v>
      </c>
      <c r="AJ430" t="str">
        <f t="shared" si="287"/>
        <v>-12796,5684923105+971,759860238467i</v>
      </c>
      <c r="AK430">
        <f t="shared" si="305"/>
        <v>12833.412734123551</v>
      </c>
      <c r="AL430">
        <f t="shared" si="306"/>
        <v>3.0657990270949695</v>
      </c>
      <c r="AM430" t="str">
        <f t="shared" si="288"/>
        <v>1+1335,8582690807i</v>
      </c>
      <c r="AN430">
        <f t="shared" si="307"/>
        <v>1335.8586433718517</v>
      </c>
      <c r="AO430">
        <f t="shared" si="308"/>
        <v>1.5700477445265872</v>
      </c>
      <c r="AP430" t="str">
        <f t="shared" si="289"/>
        <v>1+938,281403282876i</v>
      </c>
      <c r="AQ430">
        <f t="shared" si="309"/>
        <v>938.28193617189652</v>
      </c>
      <c r="AR430">
        <f t="shared" si="310"/>
        <v>1.5697305488546394</v>
      </c>
      <c r="AS430" s="42" t="str">
        <f t="shared" si="311"/>
        <v>-0,181206986214363+2,4449591998935i</v>
      </c>
      <c r="AT430">
        <f t="shared" si="312"/>
        <v>7.7892226785192911</v>
      </c>
      <c r="AU430" s="44">
        <f t="shared" si="313"/>
        <v>94.238699729676995</v>
      </c>
      <c r="AV430" s="42" t="str">
        <f t="shared" si="290"/>
        <v>-0,00378649273792884-0,048161048502987i</v>
      </c>
      <c r="AW430" s="20">
        <f t="shared" si="314"/>
        <v>-26.319318760204983</v>
      </c>
      <c r="AX430" s="44">
        <f t="shared" si="315"/>
        <v>-94.495431403725632</v>
      </c>
    </row>
    <row r="431" spans="14:50" x14ac:dyDescent="0.3">
      <c r="N431" s="8">
        <v>13</v>
      </c>
      <c r="O431" s="35">
        <f t="shared" si="316"/>
        <v>134896.28825916545</v>
      </c>
      <c r="P431" s="34" t="str">
        <f t="shared" si="281"/>
        <v>324,571428571429</v>
      </c>
      <c r="Q431" s="4" t="str">
        <f t="shared" si="282"/>
        <v>1+19373,2200316126i</v>
      </c>
      <c r="R431" s="4">
        <f t="shared" si="291"/>
        <v>19373.220057421422</v>
      </c>
      <c r="S431" s="4">
        <f t="shared" si="292"/>
        <v>1.5707447091496378</v>
      </c>
      <c r="T431" s="4" t="str">
        <f t="shared" si="283"/>
        <v>1+0,16951567527661i</v>
      </c>
      <c r="U431" s="4">
        <f t="shared" si="293"/>
        <v>1.0142660223848994</v>
      </c>
      <c r="V431" s="4">
        <f t="shared" si="294"/>
        <v>0.16791939862132602</v>
      </c>
      <c r="W431" t="str">
        <f t="shared" si="284"/>
        <v>1-1,47149023677613i</v>
      </c>
      <c r="X431" s="4">
        <f t="shared" si="295"/>
        <v>1.7791243680326203</v>
      </c>
      <c r="Y431" s="4">
        <f t="shared" si="296"/>
        <v>-0.97390475528112475</v>
      </c>
      <c r="Z431" t="str">
        <f t="shared" si="285"/>
        <v>0,9272119656556+1,26165572901185i</v>
      </c>
      <c r="AA431" s="4">
        <f t="shared" si="297"/>
        <v>1.5657257766937811</v>
      </c>
      <c r="AB431" s="4">
        <f t="shared" si="298"/>
        <v>0.93701857122117582</v>
      </c>
      <c r="AC431" s="48" t="str">
        <f t="shared" si="299"/>
        <v>-0,0190231825040986+0,00330769693126078i</v>
      </c>
      <c r="AD431" s="20">
        <f t="shared" si="300"/>
        <v>-34.284980818636733</v>
      </c>
      <c r="AE431" s="44">
        <f t="shared" si="301"/>
        <v>170.13618873091707</v>
      </c>
      <c r="AF431" t="str">
        <f t="shared" si="286"/>
        <v>-20791,6666666667</v>
      </c>
      <c r="AG431" t="str">
        <f t="shared" si="302"/>
        <v>847578,37638305i</v>
      </c>
      <c r="AH431">
        <f t="shared" si="303"/>
        <v>847578.37638305</v>
      </c>
      <c r="AI431">
        <f t="shared" si="304"/>
        <v>1.5707963267948966</v>
      </c>
      <c r="AJ431" t="str">
        <f t="shared" si="287"/>
        <v>-13399,699313935+994,395055161748i</v>
      </c>
      <c r="AK431">
        <f t="shared" si="305"/>
        <v>13436.545807222936</v>
      </c>
      <c r="AL431">
        <f t="shared" si="306"/>
        <v>3.0675181830596743</v>
      </c>
      <c r="AM431" t="str">
        <f t="shared" si="288"/>
        <v>1+1366,97440543058i</v>
      </c>
      <c r="AN431">
        <f t="shared" si="307"/>
        <v>1366.9747712018273</v>
      </c>
      <c r="AO431">
        <f t="shared" si="308"/>
        <v>1.5700647843332072</v>
      </c>
      <c r="AP431" t="str">
        <f t="shared" si="289"/>
        <v>1+960,136784766719i</v>
      </c>
      <c r="AQ431">
        <f t="shared" si="309"/>
        <v>960.13730552571133</v>
      </c>
      <c r="AR431">
        <f t="shared" si="310"/>
        <v>1.5697548089046551</v>
      </c>
      <c r="AS431" s="42" t="str">
        <f t="shared" si="311"/>
        <v>-0,173094777742907+2,38989882565416i</v>
      </c>
      <c r="AT431">
        <f t="shared" si="312"/>
        <v>7.5903128418986823</v>
      </c>
      <c r="AU431" s="44">
        <f t="shared" si="313"/>
        <v>94.142565656054359</v>
      </c>
      <c r="AV431" s="42" t="str">
        <f t="shared" si="290"/>
        <v>-0,0046122474641303-0,0460360265919075i</v>
      </c>
      <c r="AW431" s="20">
        <f t="shared" si="314"/>
        <v>-26.694667976738046</v>
      </c>
      <c r="AX431" s="44">
        <f t="shared" si="315"/>
        <v>-95.721245613028543</v>
      </c>
    </row>
    <row r="432" spans="14:50" x14ac:dyDescent="0.3">
      <c r="N432" s="8">
        <v>14</v>
      </c>
      <c r="O432" s="35">
        <f t="shared" si="316"/>
        <v>138038.42646028858</v>
      </c>
      <c r="P432" s="34" t="str">
        <f t="shared" si="281"/>
        <v>324,571428571429</v>
      </c>
      <c r="Q432" s="4" t="str">
        <f t="shared" si="282"/>
        <v>1+19824,4802962623i</v>
      </c>
      <c r="R432" s="4">
        <f t="shared" si="291"/>
        <v>19824.480321483639</v>
      </c>
      <c r="S432" s="4">
        <f t="shared" si="292"/>
        <v>1.5707458841106896</v>
      </c>
      <c r="T432" s="4" t="str">
        <f t="shared" si="283"/>
        <v>1+0,173464202592295i</v>
      </c>
      <c r="U432" s="4">
        <f t="shared" si="293"/>
        <v>1.0149334114024333</v>
      </c>
      <c r="V432" s="4">
        <f t="shared" si="294"/>
        <v>0.17175511763295595</v>
      </c>
      <c r="W432" t="str">
        <f t="shared" si="284"/>
        <v>1-1,50576564750256i</v>
      </c>
      <c r="X432" s="4">
        <f t="shared" si="295"/>
        <v>1.8075757757833566</v>
      </c>
      <c r="Y432" s="4">
        <f t="shared" si="296"/>
        <v>-0.98456305846003356</v>
      </c>
      <c r="Z432" t="str">
        <f t="shared" si="285"/>
        <v>0,92378157128147+1,29104346616869i</v>
      </c>
      <c r="AA432" s="4">
        <f t="shared" si="297"/>
        <v>1.5875029521157205</v>
      </c>
      <c r="AB432" s="4">
        <f t="shared" si="298"/>
        <v>0.94972277148151174</v>
      </c>
      <c r="AC432" s="48" t="str">
        <f t="shared" si="299"/>
        <v>-0,0185737702602252+0,00360454903058214i</v>
      </c>
      <c r="AD432" s="20">
        <f t="shared" si="300"/>
        <v>-34.461440079451378</v>
      </c>
      <c r="AE432" s="44">
        <f t="shared" si="301"/>
        <v>169.01731907544351</v>
      </c>
      <c r="AF432" t="str">
        <f t="shared" si="286"/>
        <v>-20791,6666666667</v>
      </c>
      <c r="AG432" t="str">
        <f t="shared" si="302"/>
        <v>867321,012961475i</v>
      </c>
      <c r="AH432">
        <f t="shared" si="303"/>
        <v>867321.01296147495</v>
      </c>
      <c r="AI432">
        <f t="shared" si="304"/>
        <v>1.5707963267948966</v>
      </c>
      <c r="AJ432" t="str">
        <f t="shared" si="287"/>
        <v>-14031,2548154675+1017,55749150565i</v>
      </c>
      <c r="AK432">
        <f t="shared" si="305"/>
        <v>14068.103459425482</v>
      </c>
      <c r="AL432">
        <f t="shared" si="306"/>
        <v>3.0691986128988353</v>
      </c>
      <c r="AM432" t="str">
        <f t="shared" si="288"/>
        <v>1+1398,81532970427i</v>
      </c>
      <c r="AN432">
        <f t="shared" si="307"/>
        <v>1398.8156871495491</v>
      </c>
      <c r="AO432">
        <f t="shared" si="308"/>
        <v>1.5700814362668845</v>
      </c>
      <c r="AP432" t="str">
        <f t="shared" si="289"/>
        <v>1+982,501243482759i</v>
      </c>
      <c r="AQ432">
        <f t="shared" si="309"/>
        <v>982.50175238783561</v>
      </c>
      <c r="AR432">
        <f t="shared" si="310"/>
        <v>1.5697785167296974</v>
      </c>
      <c r="AS432" s="42" t="str">
        <f t="shared" si="311"/>
        <v>-0,165343875178031+2,33605242420506i</v>
      </c>
      <c r="AT432">
        <f t="shared" si="312"/>
        <v>7.3913541954162074</v>
      </c>
      <c r="AU432" s="44">
        <f t="shared" si="313"/>
        <v>94.048596562339412</v>
      </c>
      <c r="AV432" s="42" t="str">
        <f t="shared" si="290"/>
        <v>-0,00534935634956531-0,0439852911480126i</v>
      </c>
      <c r="AW432" s="20">
        <f t="shared" si="314"/>
        <v>-27.070085884035173</v>
      </c>
      <c r="AX432" s="44">
        <f t="shared" si="315"/>
        <v>-96.934084362217092</v>
      </c>
    </row>
    <row r="433" spans="14:50" x14ac:dyDescent="0.3">
      <c r="N433" s="8">
        <v>15</v>
      </c>
      <c r="O433" s="35">
        <f t="shared" si="316"/>
        <v>141253.75446227577</v>
      </c>
      <c r="P433" s="34" t="str">
        <f t="shared" si="281"/>
        <v>324,571428571429</v>
      </c>
      <c r="Q433" s="4" t="str">
        <f t="shared" si="282"/>
        <v>1+20286,2517627731i</v>
      </c>
      <c r="R433" s="4">
        <f t="shared" si="291"/>
        <v>20286.251787420333</v>
      </c>
      <c r="S433" s="4">
        <f t="shared" si="292"/>
        <v>1.5707470323263628</v>
      </c>
      <c r="T433" s="4" t="str">
        <f t="shared" si="283"/>
        <v>1+0,177504702924265i</v>
      </c>
      <c r="U433" s="4">
        <f t="shared" si="293"/>
        <v>1.0156317834531525</v>
      </c>
      <c r="V433" s="4">
        <f t="shared" si="294"/>
        <v>0.17567490425129303</v>
      </c>
      <c r="W433" t="str">
        <f t="shared" si="284"/>
        <v>1-1,54083943510647i</v>
      </c>
      <c r="X433" s="4">
        <f t="shared" si="295"/>
        <v>1.8368957958412409</v>
      </c>
      <c r="Y433" s="4">
        <f t="shared" si="296"/>
        <v>-0.99512660407726927</v>
      </c>
      <c r="Z433" t="str">
        <f t="shared" si="285"/>
        <v>0,920189507401244+1,32111573166028i</v>
      </c>
      <c r="AA433" s="4">
        <f t="shared" si="297"/>
        <v>1.6099986043384078</v>
      </c>
      <c r="AB433" s="4">
        <f t="shared" si="298"/>
        <v>0.96240670647163118</v>
      </c>
      <c r="AC433" s="48" t="str">
        <f t="shared" si="299"/>
        <v>-0,0181285212173018+0,00388315587390766i</v>
      </c>
      <c r="AD433" s="20">
        <f t="shared" si="300"/>
        <v>-34.637924410828212</v>
      </c>
      <c r="AE433" s="44">
        <f t="shared" si="301"/>
        <v>167.90985799424041</v>
      </c>
      <c r="AF433" t="str">
        <f t="shared" si="286"/>
        <v>-20791,6666666667</v>
      </c>
      <c r="AG433" t="str">
        <f t="shared" si="302"/>
        <v>887523,514621324i</v>
      </c>
      <c r="AH433">
        <f t="shared" si="303"/>
        <v>887523.51462132402</v>
      </c>
      <c r="AI433">
        <f t="shared" si="304"/>
        <v>1.5707963267948966</v>
      </c>
      <c r="AJ433" t="str">
        <f t="shared" si="287"/>
        <v>-14692,5746108008+1041,25945030052i</v>
      </c>
      <c r="AK433">
        <f t="shared" si="305"/>
        <v>14729.425309114691</v>
      </c>
      <c r="AL433">
        <f t="shared" si="306"/>
        <v>3.0708411711672658</v>
      </c>
      <c r="AM433" t="str">
        <f t="shared" si="288"/>
        <v>1+1431,39792438127i</v>
      </c>
      <c r="AN433">
        <f t="shared" si="307"/>
        <v>1431.3982736901032</v>
      </c>
      <c r="AO433">
        <f t="shared" si="308"/>
        <v>1.5700977091566579</v>
      </c>
      <c r="AP433" t="str">
        <f t="shared" si="289"/>
        <v>1+1005,38663736304i</v>
      </c>
      <c r="AQ433">
        <f t="shared" si="309"/>
        <v>1005.3871346840285</v>
      </c>
      <c r="AR433">
        <f t="shared" si="310"/>
        <v>1.5698016848998622</v>
      </c>
      <c r="AS433" s="42" t="str">
        <f t="shared" si="311"/>
        <v>-0,157938349254147+2,28339495947631i</v>
      </c>
      <c r="AT433">
        <f t="shared" si="312"/>
        <v>7.1923489135016538</v>
      </c>
      <c r="AU433" s="44">
        <f t="shared" si="313"/>
        <v>93.956744712227973</v>
      </c>
      <c r="AV433" s="42" t="str">
        <f t="shared" si="290"/>
        <v>-0,00600358983386215-0,0420078731989678i</v>
      </c>
      <c r="AW433" s="20">
        <f t="shared" si="314"/>
        <v>-27.445575497326558</v>
      </c>
      <c r="AX433" s="44">
        <f t="shared" si="315"/>
        <v>-98.133397293531615</v>
      </c>
    </row>
    <row r="434" spans="14:50" x14ac:dyDescent="0.3">
      <c r="N434" s="8">
        <v>16</v>
      </c>
      <c r="O434" s="35">
        <f t="shared" si="316"/>
        <v>144543.97707459307</v>
      </c>
      <c r="P434" s="34" t="str">
        <f t="shared" si="281"/>
        <v>324,571428571429</v>
      </c>
      <c r="Q434" s="4" t="str">
        <f t="shared" si="282"/>
        <v>1+20758,7792684888i</v>
      </c>
      <c r="R434" s="4">
        <f t="shared" si="291"/>
        <v>20758.779292574993</v>
      </c>
      <c r="S434" s="4">
        <f t="shared" si="292"/>
        <v>1.5707481544054562</v>
      </c>
      <c r="T434" s="4" t="str">
        <f t="shared" si="283"/>
        <v>1+0,181639318599277i</v>
      </c>
      <c r="U434" s="4">
        <f t="shared" si="293"/>
        <v>1.0163625544367569</v>
      </c>
      <c r="V434" s="4">
        <f t="shared" si="294"/>
        <v>0.17968035474771532</v>
      </c>
      <c r="W434" t="str">
        <f t="shared" si="284"/>
        <v>1-1,57673019617428i</v>
      </c>
      <c r="X434" s="4">
        <f t="shared" si="295"/>
        <v>1.8671042047855237</v>
      </c>
      <c r="Y434" s="4">
        <f t="shared" si="296"/>
        <v>-1.0055915627485623</v>
      </c>
      <c r="Z434" t="str">
        <f t="shared" si="285"/>
        <v>0,916428154765838+1,35188847019983i</v>
      </c>
      <c r="AA434" s="4">
        <f t="shared" si="297"/>
        <v>1.6332308467288865</v>
      </c>
      <c r="AB434" s="4">
        <f t="shared" si="298"/>
        <v>0.97506570251156321</v>
      </c>
      <c r="AC434" s="48" t="str">
        <f t="shared" si="299"/>
        <v>-0,0176878410689816+0,00414396112736557i</v>
      </c>
      <c r="AD434" s="20">
        <f t="shared" si="300"/>
        <v>-34.814437704441417</v>
      </c>
      <c r="AE434" s="44">
        <f t="shared" si="301"/>
        <v>166.81438410173268</v>
      </c>
      <c r="AF434" t="str">
        <f t="shared" si="286"/>
        <v>-20791,6666666667</v>
      </c>
      <c r="AG434" t="str">
        <f t="shared" si="302"/>
        <v>908196,592996386i</v>
      </c>
      <c r="AH434">
        <f t="shared" si="303"/>
        <v>908196.592996386</v>
      </c>
      <c r="AI434">
        <f t="shared" si="304"/>
        <v>1.5707963267948966</v>
      </c>
      <c r="AJ434" t="str">
        <f t="shared" si="287"/>
        <v>-15385,0614478854+1065,51349863863i</v>
      </c>
      <c r="AK434">
        <f t="shared" si="305"/>
        <v>15421.914108533698</v>
      </c>
      <c r="AL434">
        <f t="shared" si="306"/>
        <v>3.0724466947474665</v>
      </c>
      <c r="AM434" t="str">
        <f t="shared" si="288"/>
        <v>1+1464,73946518457i</v>
      </c>
      <c r="AN434">
        <f t="shared" si="307"/>
        <v>1464.7398065421655</v>
      </c>
      <c r="AO434">
        <f t="shared" si="308"/>
        <v>1.5701136116305945</v>
      </c>
      <c r="AP434" t="str">
        <f t="shared" si="289"/>
        <v>1+1028,80510054631i</v>
      </c>
      <c r="AQ434">
        <f t="shared" si="309"/>
        <v>1028.8055865468962</v>
      </c>
      <c r="AR434">
        <f t="shared" si="310"/>
        <v>1.5698243256991202</v>
      </c>
      <c r="AS434" s="42" t="str">
        <f t="shared" si="311"/>
        <v>-0,150862958732908+2,23190179510071i</v>
      </c>
      <c r="AT434">
        <f t="shared" si="312"/>
        <v>6.9932990746741721</v>
      </c>
      <c r="AU434" s="44">
        <f t="shared" si="313"/>
        <v>93.866963354056438</v>
      </c>
      <c r="AV434" s="42" t="str">
        <f t="shared" si="290"/>
        <v>-0,00658047424173077-0,0401026944698646i</v>
      </c>
      <c r="AW434" s="20">
        <f t="shared" si="314"/>
        <v>-27.821138629767248</v>
      </c>
      <c r="AX434" s="44">
        <f t="shared" si="315"/>
        <v>-99.318652544210892</v>
      </c>
    </row>
    <row r="435" spans="14:50" x14ac:dyDescent="0.3">
      <c r="N435" s="8">
        <v>17</v>
      </c>
      <c r="O435" s="35">
        <f t="shared" si="316"/>
        <v>147910.83881682079</v>
      </c>
      <c r="P435" s="34" t="str">
        <f t="shared" si="281"/>
        <v>324,571428571429</v>
      </c>
      <c r="Q435" s="4" t="str">
        <f t="shared" si="282"/>
        <v>1+21242,3133537476i</v>
      </c>
      <c r="R435" s="4">
        <f t="shared" si="291"/>
        <v>21242.313377285522</v>
      </c>
      <c r="S435" s="4">
        <f t="shared" si="292"/>
        <v>1.5707492509429115</v>
      </c>
      <c r="T435" s="4" t="str">
        <f t="shared" si="283"/>
        <v>1+0,185870241845291i</v>
      </c>
      <c r="U435" s="4">
        <f t="shared" si="293"/>
        <v>1.0171272028628606</v>
      </c>
      <c r="V435" s="4">
        <f t="shared" si="294"/>
        <v>0.18377307851517716</v>
      </c>
      <c r="W435" t="str">
        <f t="shared" si="284"/>
        <v>1-1,6134569604626i</v>
      </c>
      <c r="X435" s="4">
        <f t="shared" si="295"/>
        <v>1.8982211049467372</v>
      </c>
      <c r="Y435" s="4">
        <f t="shared" si="296"/>
        <v>-1.0159543142984517</v>
      </c>
      <c r="Z435" t="str">
        <f t="shared" si="285"/>
        <v>0,912489535042018+1,38337799790063i</v>
      </c>
      <c r="AA435" s="4">
        <f t="shared" si="297"/>
        <v>1.6572181017104399</v>
      </c>
      <c r="AB435" s="4">
        <f t="shared" si="298"/>
        <v>0.98769524658582797</v>
      </c>
      <c r="AC435" s="48" t="str">
        <f t="shared" si="299"/>
        <v>-0,0172521174914705+0,00438742416330631i</v>
      </c>
      <c r="AD435" s="20">
        <f t="shared" si="300"/>
        <v>-34.990982512104296</v>
      </c>
      <c r="AE435" s="44">
        <f t="shared" si="301"/>
        <v>165.73145557277181</v>
      </c>
      <c r="AF435" t="str">
        <f t="shared" si="286"/>
        <v>-20791,6666666667</v>
      </c>
      <c r="AG435" t="str">
        <f t="shared" si="302"/>
        <v>929351,209226456i</v>
      </c>
      <c r="AH435">
        <f t="shared" si="303"/>
        <v>929351.20922645601</v>
      </c>
      <c r="AI435">
        <f t="shared" si="304"/>
        <v>1.5707963267948966</v>
      </c>
      <c r="AJ435" t="str">
        <f t="shared" si="287"/>
        <v>-16110,184184146+1090,33249633745i</v>
      </c>
      <c r="AK435">
        <f t="shared" si="305"/>
        <v>16147.038719210323</v>
      </c>
      <c r="AL435">
        <f t="shared" si="306"/>
        <v>3.0740160031352319</v>
      </c>
      <c r="AM435" t="str">
        <f t="shared" si="288"/>
        <v>1+1498,85763024043i</v>
      </c>
      <c r="AN435">
        <f t="shared" si="307"/>
        <v>1498.8579638277795</v>
      </c>
      <c r="AO435">
        <f t="shared" si="308"/>
        <v>1.5701291521203642</v>
      </c>
      <c r="AP435" t="str">
        <f t="shared" si="289"/>
        <v>1+1052,76904981173i</v>
      </c>
      <c r="AQ435">
        <f t="shared" si="309"/>
        <v>1052.7695247495972</v>
      </c>
      <c r="AR435">
        <f t="shared" si="310"/>
        <v>1.5698464511318304</v>
      </c>
      <c r="AS435" s="42" t="str">
        <f t="shared" si="311"/>
        <v>-0,144103121939444+2,18154869633338i</v>
      </c>
      <c r="AT435">
        <f t="shared" si="312"/>
        <v>6.7942066656882076</v>
      </c>
      <c r="AU435" s="44">
        <f t="shared" si="313"/>
        <v>93.779206705072596</v>
      </c>
      <c r="AV435" s="42" t="str">
        <f t="shared" si="290"/>
        <v>-0,00708529547313546-0,0382685759417128i</v>
      </c>
      <c r="AW435" s="20">
        <f t="shared" si="314"/>
        <v>-28.196775846416081</v>
      </c>
      <c r="AX435" s="44">
        <f t="shared" si="315"/>
        <v>-100.48933772215555</v>
      </c>
    </row>
    <row r="436" spans="14:50" x14ac:dyDescent="0.3">
      <c r="N436" s="8">
        <v>18</v>
      </c>
      <c r="O436" s="35">
        <f t="shared" si="316"/>
        <v>151356.12484362084</v>
      </c>
      <c r="P436" s="34" t="str">
        <f t="shared" si="281"/>
        <v>324,571428571429</v>
      </c>
      <c r="Q436" s="4" t="str">
        <f t="shared" si="282"/>
        <v>1+21737,1103947218i</v>
      </c>
      <c r="R436" s="4">
        <f t="shared" si="291"/>
        <v>21737.110417723936</v>
      </c>
      <c r="S436" s="4">
        <f t="shared" si="292"/>
        <v>1.5707503225201271</v>
      </c>
      <c r="T436" s="4" t="str">
        <f t="shared" si="283"/>
        <v>1+0,190199715953816i</v>
      </c>
      <c r="U436" s="4">
        <f t="shared" si="293"/>
        <v>1.0179272724261357</v>
      </c>
      <c r="V436" s="4">
        <f t="shared" si="294"/>
        <v>0.18795469686320435</v>
      </c>
      <c r="W436" t="str">
        <f t="shared" si="284"/>
        <v>1-1,65103920098798i</v>
      </c>
      <c r="X436" s="4">
        <f t="shared" si="295"/>
        <v>1.9302669357368756</v>
      </c>
      <c r="Y436" s="4">
        <f t="shared" si="296"/>
        <v>-1.0262114502951443</v>
      </c>
      <c r="Z436" t="str">
        <f t="shared" si="285"/>
        <v>0,908365293889289+1,41560101092709i</v>
      </c>
      <c r="AA436" s="4">
        <f t="shared" si="297"/>
        <v>1.6819791108335365</v>
      </c>
      <c r="AB436" s="4">
        <f t="shared" si="298"/>
        <v>1.0002909976601952</v>
      </c>
      <c r="AC436" s="48" t="str">
        <f t="shared" si="299"/>
        <v>-0,016821718945368+0,00461401862181707i</v>
      </c>
      <c r="AD436" s="20">
        <f t="shared" si="300"/>
        <v>-35.167560010360795</v>
      </c>
      <c r="AE436" s="44">
        <f t="shared" si="301"/>
        <v>164.66160927993559</v>
      </c>
      <c r="AF436" t="str">
        <f t="shared" si="286"/>
        <v>-20791,6666666667</v>
      </c>
      <c r="AG436" t="str">
        <f t="shared" si="302"/>
        <v>950998,579769078i</v>
      </c>
      <c r="AH436">
        <f t="shared" si="303"/>
        <v>950998.57976907794</v>
      </c>
      <c r="AI436">
        <f t="shared" si="304"/>
        <v>1.5707963267948966</v>
      </c>
      <c r="AJ436" t="str">
        <f t="shared" si="287"/>
        <v>-16869,4809021255+1115,7296027581i</v>
      </c>
      <c r="AK436">
        <f t="shared" si="305"/>
        <v>16906.337227609285</v>
      </c>
      <c r="AL436">
        <f t="shared" si="306"/>
        <v>3.0755498987263143</v>
      </c>
      <c r="AM436" t="str">
        <f t="shared" si="288"/>
        <v>1+1533,77050945157i</v>
      </c>
      <c r="AN436">
        <f t="shared" si="307"/>
        <v>1533.7708354455463</v>
      </c>
      <c r="AO436">
        <f t="shared" si="308"/>
        <v>1.5701443388657106</v>
      </c>
      <c r="AP436" t="str">
        <f t="shared" si="289"/>
        <v>1+1077,29119116241i</v>
      </c>
      <c r="AQ436">
        <f t="shared" si="309"/>
        <v>1077.2916552893762</v>
      </c>
      <c r="AR436">
        <f t="shared" si="310"/>
        <v>1.5698680729291032</v>
      </c>
      <c r="AS436" s="42" t="str">
        <f t="shared" si="311"/>
        <v>-0,137644889364735+2,13231183122904i</v>
      </c>
      <c r="AT436">
        <f t="shared" si="312"/>
        <v>6.5950735855083309</v>
      </c>
      <c r="AU436" s="44">
        <f t="shared" si="313"/>
        <v>93.69342993563194</v>
      </c>
      <c r="AV436" s="42" t="str">
        <f t="shared" si="290"/>
        <v>-0,0075231028536518-0,0365042464115447i</v>
      </c>
      <c r="AW436" s="20">
        <f t="shared" si="314"/>
        <v>-28.57248642485246</v>
      </c>
      <c r="AX436" s="44">
        <f t="shared" si="315"/>
        <v>-101.64496078443246</v>
      </c>
    </row>
    <row r="437" spans="14:50" x14ac:dyDescent="0.3">
      <c r="N437" s="8">
        <v>19</v>
      </c>
      <c r="O437" s="35">
        <f t="shared" si="316"/>
        <v>154881.66189124843</v>
      </c>
      <c r="P437" s="34" t="str">
        <f t="shared" si="281"/>
        <v>324,571428571429</v>
      </c>
      <c r="Q437" s="4" t="str">
        <f t="shared" si="282"/>
        <v>1+22243,432739352i</v>
      </c>
      <c r="R437" s="4">
        <f t="shared" si="291"/>
        <v>22243.432761830543</v>
      </c>
      <c r="S437" s="4">
        <f t="shared" si="292"/>
        <v>1.5707513697052673</v>
      </c>
      <c r="T437" s="4" t="str">
        <f t="shared" si="283"/>
        <v>1+0,19463003646933i</v>
      </c>
      <c r="U437" s="4">
        <f t="shared" si="293"/>
        <v>1.0187643746696546</v>
      </c>
      <c r="V437" s="4">
        <f t="shared" si="294"/>
        <v>0.19222684170036772</v>
      </c>
      <c r="W437" t="str">
        <f t="shared" si="284"/>
        <v>1-1,68949684435182i</v>
      </c>
      <c r="X437" s="4">
        <f t="shared" si="295"/>
        <v>1.9632624855262621</v>
      </c>
      <c r="Y437" s="4">
        <f t="shared" si="296"/>
        <v>-1.0363597756601219</v>
      </c>
      <c r="Z437" t="str">
        <f t="shared" si="285"/>
        <v>0,90404668323922+1,44857459434725i</v>
      </c>
      <c r="AA437" s="4">
        <f t="shared" si="297"/>
        <v>1.707532945762434</v>
      </c>
      <c r="AB437" s="4">
        <f t="shared" si="298"/>
        <v>1.0128487971008342</v>
      </c>
      <c r="AC437" s="48" t="str">
        <f t="shared" si="299"/>
        <v>-0,0163969936282305+0,00482423089580127i</v>
      </c>
      <c r="AD437" s="20">
        <f t="shared" si="300"/>
        <v>-35.344169971492995</v>
      </c>
      <c r="AE437" s="44">
        <f t="shared" si="301"/>
        <v>163.60536002882563</v>
      </c>
      <c r="AF437" t="str">
        <f t="shared" si="286"/>
        <v>-20791,6666666667</v>
      </c>
      <c r="AG437" t="str">
        <f t="shared" si="302"/>
        <v>973150,182346649i</v>
      </c>
      <c r="AH437">
        <f t="shared" si="303"/>
        <v>973150.182346649</v>
      </c>
      <c r="AI437">
        <f t="shared" si="304"/>
        <v>1.5707963267948966</v>
      </c>
      <c r="AJ437" t="str">
        <f t="shared" si="287"/>
        <v>-17664,5621719632+1141,71828378255i</v>
      </c>
      <c r="AK437">
        <f t="shared" si="305"/>
        <v>17701.420207618274</v>
      </c>
      <c r="AL437">
        <f t="shared" si="306"/>
        <v>3.0770491671036404</v>
      </c>
      <c r="AM437" t="str">
        <f t="shared" si="288"/>
        <v>1+1569,49661408867i</v>
      </c>
      <c r="AN437">
        <f t="shared" si="307"/>
        <v>1569.4969326621188</v>
      </c>
      <c r="AO437">
        <f t="shared" si="308"/>
        <v>1.5701591799188188</v>
      </c>
      <c r="AP437" t="str">
        <f t="shared" si="289"/>
        <v>1+1102,38452656228i</v>
      </c>
      <c r="AQ437">
        <f t="shared" si="309"/>
        <v>1102.384980124431</v>
      </c>
      <c r="AR437">
        <f t="shared" si="310"/>
        <v>1.5698892025550208</v>
      </c>
      <c r="AS437" s="42" t="str">
        <f t="shared" si="311"/>
        <v>-0,131474917304368+2,08416777113639i</v>
      </c>
      <c r="AT437">
        <f t="shared" si="312"/>
        <v>6.3959016491187892</v>
      </c>
      <c r="AU437" s="44">
        <f t="shared" si="313"/>
        <v>93.609589153348097</v>
      </c>
      <c r="AV437" s="42" t="str">
        <f t="shared" si="290"/>
        <v>-0,00789871317223759-0,0348083510215694i</v>
      </c>
      <c r="AW437" s="20">
        <f t="shared" si="314"/>
        <v>-28.948268322374204</v>
      </c>
      <c r="AX437" s="44">
        <f t="shared" si="315"/>
        <v>-102.78505081782627</v>
      </c>
    </row>
    <row r="438" spans="14:50" x14ac:dyDescent="0.3">
      <c r="N438" s="8">
        <v>20</v>
      </c>
      <c r="O438" s="35">
        <f t="shared" si="316"/>
        <v>158489.31924611164</v>
      </c>
      <c r="P438" s="34" t="str">
        <f t="shared" si="281"/>
        <v>324,571428571429</v>
      </c>
      <c r="Q438" s="4" t="str">
        <f t="shared" si="282"/>
        <v>1+22761,5488464472i</v>
      </c>
      <c r="R438" s="4">
        <f t="shared" si="291"/>
        <v>22761.548868414069</v>
      </c>
      <c r="S438" s="4">
        <f t="shared" si="292"/>
        <v>1.5707523930535636</v>
      </c>
      <c r="T438" s="4" t="str">
        <f t="shared" si="283"/>
        <v>1+0,199163552406413i</v>
      </c>
      <c r="U438" s="4">
        <f t="shared" si="293"/>
        <v>1.0196401917378217</v>
      </c>
      <c r="V438" s="4">
        <f t="shared" si="294"/>
        <v>0.19659115409812589</v>
      </c>
      <c r="W438" t="str">
        <f t="shared" si="284"/>
        <v>1-1,72885028130566i</v>
      </c>
      <c r="X438" s="4">
        <f t="shared" si="295"/>
        <v>1.9972289040494731</v>
      </c>
      <c r="Y438" s="4">
        <f t="shared" si="296"/>
        <v>-1.0463963093862128</v>
      </c>
      <c r="Z438" t="str">
        <f t="shared" si="285"/>
        <v>0,899524542739616+1,48231623119148i</v>
      </c>
      <c r="AA438" s="4">
        <f t="shared" si="297"/>
        <v>1.7338990201983009</v>
      </c>
      <c r="AB438" s="4">
        <f t="shared" si="298"/>
        <v>1.0253646781579764</v>
      </c>
      <c r="AC438" s="48" t="str">
        <f t="shared" si="299"/>
        <v>-0,0159782685818756+0,0050185585560221i</v>
      </c>
      <c r="AD438" s="20">
        <f t="shared" si="300"/>
        <v>-35.520810740835472</v>
      </c>
      <c r="AE438" s="44">
        <f t="shared" si="301"/>
        <v>162.56319989124751</v>
      </c>
      <c r="AF438" t="str">
        <f t="shared" si="286"/>
        <v>-20791,6666666667</v>
      </c>
      <c r="AG438" t="str">
        <f t="shared" si="302"/>
        <v>995817,762032063i</v>
      </c>
      <c r="AH438">
        <f t="shared" si="303"/>
        <v>995817.76203206298</v>
      </c>
      <c r="AI438">
        <f t="shared" si="304"/>
        <v>1.5707963267948966</v>
      </c>
      <c r="AJ438" t="str">
        <f t="shared" si="287"/>
        <v>-18497,1144676306+1168,3123189535i</v>
      </c>
      <c r="AK438">
        <f t="shared" si="305"/>
        <v>18533.974136791272</v>
      </c>
      <c r="AL438">
        <f t="shared" si="306"/>
        <v>3.0785145773246154</v>
      </c>
      <c r="AM438" t="str">
        <f t="shared" si="288"/>
        <v>1+1606,05488660531i</v>
      </c>
      <c r="AN438">
        <f t="shared" si="307"/>
        <v>1606.0551979271431</v>
      </c>
      <c r="AO438">
        <f t="shared" si="308"/>
        <v>1.5701736831485855</v>
      </c>
      <c r="AP438" t="str">
        <f t="shared" si="289"/>
        <v>1+1128,06236082992i</v>
      </c>
      <c r="AQ438">
        <f t="shared" si="309"/>
        <v>1128.06280406774</v>
      </c>
      <c r="AR438">
        <f t="shared" si="310"/>
        <v>1.5699098512127152</v>
      </c>
      <c r="AS438" s="42" t="str">
        <f t="shared" si="311"/>
        <v>-0,125580442503748+2,0370934905654i</v>
      </c>
      <c r="AT438">
        <f t="shared" si="312"/>
        <v>6.1966925911737594</v>
      </c>
      <c r="AU438" s="44">
        <f t="shared" si="313"/>
        <v>93.527641387224335</v>
      </c>
      <c r="AV438" s="42" t="str">
        <f t="shared" si="290"/>
        <v>-0,00821671492753824-0,0331794597228407i</v>
      </c>
      <c r="AW438" s="20">
        <f t="shared" si="314"/>
        <v>-29.3241181496617</v>
      </c>
      <c r="AX438" s="44">
        <f t="shared" si="315"/>
        <v>-103.90915872152813</v>
      </c>
    </row>
    <row r="439" spans="14:50" x14ac:dyDescent="0.3">
      <c r="N439" s="8">
        <v>21</v>
      </c>
      <c r="O439" s="35">
        <f t="shared" si="316"/>
        <v>162181.00973589328</v>
      </c>
      <c r="P439" s="34" t="str">
        <f t="shared" si="281"/>
        <v>324,571428571429</v>
      </c>
      <c r="Q439" s="4" t="str">
        <f t="shared" si="282"/>
        <v>1+23291,7334280254i</v>
      </c>
      <c r="R439" s="4">
        <f t="shared" si="291"/>
        <v>23291.733449492243</v>
      </c>
      <c r="S439" s="4">
        <f t="shared" si="292"/>
        <v>1.570753393107609</v>
      </c>
      <c r="T439" s="4" t="str">
        <f t="shared" si="283"/>
        <v>1+0,203802667495222i</v>
      </c>
      <c r="U439" s="4">
        <f t="shared" si="293"/>
        <v>1.0205564792201205</v>
      </c>
      <c r="V439" s="4">
        <f t="shared" si="294"/>
        <v>0.20104928272976733</v>
      </c>
      <c r="W439" t="str">
        <f t="shared" si="284"/>
        <v>1-1,76912037756269i</v>
      </c>
      <c r="X439" s="4">
        <f t="shared" si="295"/>
        <v>2.0321877153224688</v>
      </c>
      <c r="Y439" s="4">
        <f t="shared" si="296"/>
        <v>-1.056318284403263</v>
      </c>
      <c r="Z439" t="str">
        <f t="shared" si="285"/>
        <v>0,894789280324185+1,51684381172225i</v>
      </c>
      <c r="AA439" s="4">
        <f t="shared" si="297"/>
        <v>1.7610971027581521</v>
      </c>
      <c r="AB439" s="4">
        <f t="shared" si="298"/>
        <v>1.0378348744855024</v>
      </c>
      <c r="AC439" s="48" t="str">
        <f t="shared" si="299"/>
        <v>-0,0155658489565302+0,00519750873253253i</v>
      </c>
      <c r="AD439" s="20">
        <f t="shared" si="300"/>
        <v>-35.697479220226413</v>
      </c>
      <c r="AE439" s="44">
        <f t="shared" si="301"/>
        <v>161.53559763531297</v>
      </c>
      <c r="AF439" t="str">
        <f t="shared" si="286"/>
        <v>-20791,6666666667</v>
      </c>
      <c r="AG439" t="str">
        <f t="shared" si="302"/>
        <v>1019013,33747611i</v>
      </c>
      <c r="AH439">
        <f t="shared" si="303"/>
        <v>1019013.33747611</v>
      </c>
      <c r="AI439">
        <f t="shared" si="304"/>
        <v>1.5707963267948966</v>
      </c>
      <c r="AJ439" t="str">
        <f t="shared" si="287"/>
        <v>-19368,9037441693+1195,52580878039i</v>
      </c>
      <c r="AK439">
        <f t="shared" si="305"/>
        <v>19405.764973593687</v>
      </c>
      <c r="AL439">
        <f t="shared" si="306"/>
        <v>3.0799468822081009</v>
      </c>
      <c r="AM439" t="str">
        <f t="shared" si="288"/>
        <v>1+1643,46471068147i</v>
      </c>
      <c r="AN439">
        <f t="shared" si="307"/>
        <v>1643.4650149167544</v>
      </c>
      <c r="AO439">
        <f t="shared" si="308"/>
        <v>1.5701878562447908</v>
      </c>
      <c r="AP439" t="str">
        <f t="shared" si="289"/>
        <v>1+1154,33830869294i</v>
      </c>
      <c r="AQ439">
        <f t="shared" si="309"/>
        <v>1154.3387418414395</v>
      </c>
      <c r="AR439">
        <f t="shared" si="310"/>
        <v>1.5699300298503072</v>
      </c>
      <c r="AS439" s="42" t="str">
        <f t="shared" si="311"/>
        <v>-0,119949257779768+1,99106636647954i</v>
      </c>
      <c r="AT439">
        <f t="shared" si="312"/>
        <v>5.9974480694935126</v>
      </c>
      <c r="AU439" s="44">
        <f t="shared" si="313"/>
        <v>93.447544571790175</v>
      </c>
      <c r="AV439" s="42" t="str">
        <f t="shared" si="290"/>
        <v>-0,00848147279778145-0,0316160756378191i</v>
      </c>
      <c r="AW439" s="20">
        <f t="shared" si="314"/>
        <v>-29.700031150732897</v>
      </c>
      <c r="AX439" s="44">
        <f t="shared" si="315"/>
        <v>-105.01685779289683</v>
      </c>
    </row>
    <row r="440" spans="14:50" x14ac:dyDescent="0.3">
      <c r="N440" s="8">
        <v>22</v>
      </c>
      <c r="O440" s="35">
        <f t="shared" si="316"/>
        <v>165958.69074375604</v>
      </c>
      <c r="P440" s="34" t="str">
        <f t="shared" si="281"/>
        <v>324,571428571429</v>
      </c>
      <c r="Q440" s="4" t="str">
        <f t="shared" si="282"/>
        <v>1+23834,2675949698i</v>
      </c>
      <c r="R440" s="4">
        <f t="shared" si="291"/>
        <v>23834.267615947992</v>
      </c>
      <c r="S440" s="4">
        <f t="shared" si="292"/>
        <v>1.5707543703976452</v>
      </c>
      <c r="T440" s="4" t="str">
        <f t="shared" si="283"/>
        <v>1+0,208549841455986i</v>
      </c>
      <c r="U440" s="4">
        <f t="shared" si="293"/>
        <v>1.0215150690867545</v>
      </c>
      <c r="V440" s="4">
        <f t="shared" si="294"/>
        <v>0.20560288217810041</v>
      </c>
      <c r="W440" t="str">
        <f t="shared" si="284"/>
        <v>1-1,81032848486099i</v>
      </c>
      <c r="X440" s="4">
        <f t="shared" si="295"/>
        <v>2.0681608310523356</v>
      </c>
      <c r="Y440" s="4">
        <f t="shared" si="296"/>
        <v>-1.0661231466349359</v>
      </c>
      <c r="Z440" t="str">
        <f t="shared" si="285"/>
        <v>0,889830851866473+1,55217564291981i</v>
      </c>
      <c r="AA440" s="4">
        <f t="shared" si="297"/>
        <v>1.7891473308274357</v>
      </c>
      <c r="AB440" s="4">
        <f t="shared" si="298"/>
        <v>1.0502558276770411</v>
      </c>
      <c r="AC440" s="48" t="str">
        <f t="shared" si="299"/>
        <v>-0,0151600174320537+0,00536159646869187i</v>
      </c>
      <c r="AD440" s="20">
        <f t="shared" si="300"/>
        <v>-35.874170857378246</v>
      </c>
      <c r="AE440" s="44">
        <f t="shared" si="301"/>
        <v>160.52299825071438</v>
      </c>
      <c r="AF440" t="str">
        <f t="shared" si="286"/>
        <v>-20791,6666666667</v>
      </c>
      <c r="AG440" t="str">
        <f t="shared" si="302"/>
        <v>1042749,20727993i</v>
      </c>
      <c r="AH440">
        <f t="shared" si="303"/>
        <v>1042749.20727993</v>
      </c>
      <c r="AI440">
        <f t="shared" si="304"/>
        <v>1.5707963267948966</v>
      </c>
      <c r="AJ440" t="str">
        <f t="shared" si="287"/>
        <v>-20281,7791835177+1223,37318221575i</v>
      </c>
      <c r="AK440">
        <f t="shared" si="305"/>
        <v>20318.641903235974</v>
      </c>
      <c r="AL440">
        <f t="shared" si="306"/>
        <v>3.0813468186206552</v>
      </c>
      <c r="AM440" t="str">
        <f t="shared" si="288"/>
        <v>1+1681,74592150107i</v>
      </c>
      <c r="AN440">
        <f t="shared" si="307"/>
        <v>1681.7462188111149</v>
      </c>
      <c r="AO440">
        <f t="shared" si="308"/>
        <v>1.570201706722175</v>
      </c>
      <c r="AP440" t="str">
        <f t="shared" si="289"/>
        <v>1+1181,2263020067i</v>
      </c>
      <c r="AQ440">
        <f t="shared" si="309"/>
        <v>1181.2267252955394</v>
      </c>
      <c r="AR440">
        <f t="shared" si="310"/>
        <v>1.569949749166712</v>
      </c>
      <c r="AS440" s="42" t="str">
        <f t="shared" si="311"/>
        <v>-0,11456968858913+1,94606417706257i</v>
      </c>
      <c r="AT440">
        <f t="shared" si="312"/>
        <v>5.798169668415408</v>
      </c>
      <c r="AU440" s="44">
        <f t="shared" si="313"/>
        <v>93.36925753126738</v>
      </c>
      <c r="AV440" s="42" t="str">
        <f t="shared" si="290"/>
        <v>-0,00869713234339025-0,0301166432859224i</v>
      </c>
      <c r="AW440" s="20">
        <f t="shared" si="314"/>
        <v>-30.076001188962842</v>
      </c>
      <c r="AX440" s="44">
        <f t="shared" si="315"/>
        <v>-106.10774421801821</v>
      </c>
    </row>
    <row r="441" spans="14:50" x14ac:dyDescent="0.3">
      <c r="N441" s="8">
        <v>23</v>
      </c>
      <c r="O441" s="35">
        <f t="shared" si="316"/>
        <v>169824.36524617471</v>
      </c>
      <c r="P441" s="34" t="str">
        <f t="shared" si="281"/>
        <v>324,571428571429</v>
      </c>
      <c r="Q441" s="4" t="str">
        <f t="shared" si="282"/>
        <v>1+24389,4390060768i</v>
      </c>
      <c r="R441" s="4">
        <f t="shared" si="291"/>
        <v>24389.439026577475</v>
      </c>
      <c r="S441" s="4">
        <f t="shared" si="292"/>
        <v>1.5707553254418443</v>
      </c>
      <c r="T441" s="4" t="str">
        <f t="shared" si="283"/>
        <v>1+0,213407591303172i</v>
      </c>
      <c r="U441" s="4">
        <f t="shared" si="293"/>
        <v>1.0225178727170601</v>
      </c>
      <c r="V441" s="4">
        <f t="shared" si="294"/>
        <v>0.21025361110540758</v>
      </c>
      <c r="W441" t="str">
        <f t="shared" si="284"/>
        <v>1-1,85249645228448i</v>
      </c>
      <c r="X441" s="4">
        <f t="shared" si="295"/>
        <v>2.1051705645212184</v>
      </c>
      <c r="Y441" s="4">
        <f t="shared" si="296"/>
        <v>-1.0758085532940245</v>
      </c>
      <c r="Z441" t="str">
        <f t="shared" si="285"/>
        <v>0,884638739874936+1,58833045818871i</v>
      </c>
      <c r="AA441" s="4">
        <f t="shared" si="297"/>
        <v>1.8180702254031531</v>
      </c>
      <c r="AB441" s="4">
        <f t="shared" si="298"/>
        <v>1.062624193808176</v>
      </c>
      <c r="AC441" s="48" t="str">
        <f t="shared" si="299"/>
        <v>-0,0147610337946955+0,00551134306352837i</v>
      </c>
      <c r="AD441" s="20">
        <f t="shared" si="300"/>
        <v>-36.050879640903801</v>
      </c>
      <c r="AE441" s="44">
        <f t="shared" si="301"/>
        <v>159.52582256668649</v>
      </c>
      <c r="AF441" t="str">
        <f t="shared" si="286"/>
        <v>-20791,6666666667</v>
      </c>
      <c r="AG441" t="str">
        <f t="shared" si="302"/>
        <v>1067037,95651586i</v>
      </c>
      <c r="AH441">
        <f t="shared" si="303"/>
        <v>1067037.95651586</v>
      </c>
      <c r="AI441">
        <f t="shared" si="304"/>
        <v>1.5707963267948966</v>
      </c>
      <c r="AJ441" t="str">
        <f t="shared" si="287"/>
        <v>-21237,6771168738+1251,86920430559i</v>
      </c>
      <c r="AK441">
        <f t="shared" si="305"/>
        <v>21274.541260043043</v>
      </c>
      <c r="AL441">
        <f t="shared" si="306"/>
        <v>3.0827151077617043</v>
      </c>
      <c r="AM441" t="str">
        <f t="shared" si="288"/>
        <v>1+1720,91881626878i</v>
      </c>
      <c r="AN441">
        <f t="shared" si="307"/>
        <v>1720.9191068112232</v>
      </c>
      <c r="AO441">
        <f t="shared" si="308"/>
        <v>1.5702152419244233</v>
      </c>
      <c r="AP441" t="str">
        <f t="shared" si="289"/>
        <v>1+1208,74059714117i</v>
      </c>
      <c r="AQ441">
        <f t="shared" si="309"/>
        <v>1208.7410107947824</v>
      </c>
      <c r="AR441">
        <f t="shared" si="310"/>
        <v>1.5699690196173108</v>
      </c>
      <c r="AS441" s="42" t="str">
        <f t="shared" si="311"/>
        <v>-0,10943057051347+1,90206510000475i</v>
      </c>
      <c r="AT441">
        <f t="shared" si="312"/>
        <v>5.5988589020022692</v>
      </c>
      <c r="AU441" s="44">
        <f t="shared" si="313"/>
        <v>93.292739963783987</v>
      </c>
      <c r="AV441" s="42" t="str">
        <f t="shared" si="290"/>
        <v>-0,00886762494576844-0,0286795566366184i</v>
      </c>
      <c r="AW441" s="20">
        <f t="shared" si="314"/>
        <v>-30.452020738901521</v>
      </c>
      <c r="AX441" s="44">
        <f t="shared" si="315"/>
        <v>-107.18143746952951</v>
      </c>
    </row>
    <row r="442" spans="14:50" x14ac:dyDescent="0.3">
      <c r="N442" s="8">
        <v>24</v>
      </c>
      <c r="O442" s="35">
        <f t="shared" si="316"/>
        <v>173780.0828749378</v>
      </c>
      <c r="P442" s="34" t="str">
        <f t="shared" si="281"/>
        <v>324,571428571429</v>
      </c>
      <c r="Q442" s="4" t="str">
        <f t="shared" si="282"/>
        <v>1+24957,5420205774i</v>
      </c>
      <c r="R442" s="4">
        <f t="shared" si="291"/>
        <v>24957.542040611421</v>
      </c>
      <c r="S442" s="4">
        <f t="shared" si="292"/>
        <v>1.5707562587465831</v>
      </c>
      <c r="T442" s="4" t="str">
        <f t="shared" si="283"/>
        <v>1+0,218378492680052i</v>
      </c>
      <c r="U442" s="4">
        <f t="shared" si="293"/>
        <v>1.0235668840213674</v>
      </c>
      <c r="V442" s="4">
        <f t="shared" si="294"/>
        <v>0.21500313027917825</v>
      </c>
      <c r="W442" t="str">
        <f t="shared" si="284"/>
        <v>1-1,89564663784767i</v>
      </c>
      <c r="X442" s="4">
        <f t="shared" si="295"/>
        <v>2.143239644926151</v>
      </c>
      <c r="Y442" s="4">
        <f t="shared" si="296"/>
        <v>-1.0853723704666602</v>
      </c>
      <c r="Z442" t="str">
        <f t="shared" si="285"/>
        <v>0,879201931183919+1,62532742729059i</v>
      </c>
      <c r="AA442" s="4">
        <f t="shared" si="297"/>
        <v>1.847886706944065</v>
      </c>
      <c r="AB442" s="4">
        <f t="shared" si="298"/>
        <v>1.0749368489832074</v>
      </c>
      <c r="AC442" s="48" t="str">
        <f t="shared" si="299"/>
        <v>-0,0143691346661726+0,00564727441756268i</v>
      </c>
      <c r="AD442" s="20">
        <f t="shared" si="300"/>
        <v>-36.227598100703112</v>
      </c>
      <c r="AE442" s="44">
        <f t="shared" si="301"/>
        <v>158.54446695948141</v>
      </c>
      <c r="AF442" t="str">
        <f t="shared" si="286"/>
        <v>-20791,6666666667</v>
      </c>
      <c r="AG442" t="str">
        <f t="shared" si="302"/>
        <v>1091892,46340026i</v>
      </c>
      <c r="AH442">
        <f t="shared" si="303"/>
        <v>1091892.4634002601</v>
      </c>
      <c r="AI442">
        <f t="shared" si="304"/>
        <v>1.5707963267948966</v>
      </c>
      <c r="AJ442" t="str">
        <f t="shared" si="287"/>
        <v>-22238,6251319142+1281,02898401799i</v>
      </c>
      <c r="AK442">
        <f t="shared" si="305"/>
        <v>22275.490634679631</v>
      </c>
      <c r="AL442">
        <f t="shared" si="306"/>
        <v>3.0840524554473077</v>
      </c>
      <c r="AM442" t="str">
        <f t="shared" si="288"/>
        <v>1+1761,00416497194i</v>
      </c>
      <c r="AN442">
        <f t="shared" si="307"/>
        <v>1761.004448900831</v>
      </c>
      <c r="AO442">
        <f t="shared" si="308"/>
        <v>1.570228469028059</v>
      </c>
      <c r="AP442" t="str">
        <f t="shared" si="289"/>
        <v>1+1236,89578253981i</v>
      </c>
      <c r="AQ442">
        <f t="shared" si="309"/>
        <v>1236.8961867775197</v>
      </c>
      <c r="AR442">
        <f t="shared" si="310"/>
        <v>1.5699878514194943</v>
      </c>
      <c r="AS442" s="42" t="str">
        <f t="shared" si="311"/>
        <v>-0,104521227631857+1,85904771035133i</v>
      </c>
      <c r="AT442">
        <f t="shared" si="312"/>
        <v>5.3995172171144148</v>
      </c>
      <c r="AU442" s="44">
        <f t="shared" si="313"/>
        <v>93.217952425656577</v>
      </c>
      <c r="AV442" s="42" t="str">
        <f t="shared" si="290"/>
        <v>-0,00899667298037971-0,0273031669557757i</v>
      </c>
      <c r="AW442" s="20">
        <f t="shared" si="314"/>
        <v>-30.828080883588708</v>
      </c>
      <c r="AX442" s="44">
        <f t="shared" si="315"/>
        <v>-108.23758061486203</v>
      </c>
    </row>
    <row r="443" spans="14:50" x14ac:dyDescent="0.3">
      <c r="N443" s="8">
        <v>25</v>
      </c>
      <c r="O443" s="35">
        <f t="shared" si="316"/>
        <v>177827.94100389251</v>
      </c>
      <c r="P443" s="34" t="str">
        <f t="shared" si="281"/>
        <v>324,571428571429</v>
      </c>
      <c r="Q443" s="4" t="str">
        <f t="shared" si="282"/>
        <v>1+25538,8778542094i</v>
      </c>
      <c r="R443" s="4">
        <f t="shared" si="291"/>
        <v>25538.877873787394</v>
      </c>
      <c r="S443" s="4">
        <f t="shared" si="292"/>
        <v>1.5707571708067127</v>
      </c>
      <c r="T443" s="4" t="str">
        <f t="shared" si="283"/>
        <v>1+0,223465181224332i</v>
      </c>
      <c r="U443" s="4">
        <f t="shared" si="293"/>
        <v>1.0246641826567491</v>
      </c>
      <c r="V443" s="4">
        <f t="shared" si="294"/>
        <v>0.21985310044702325</v>
      </c>
      <c r="W443" t="str">
        <f t="shared" si="284"/>
        <v>1-1,9398019203501i</v>
      </c>
      <c r="X443" s="4">
        <f t="shared" si="295"/>
        <v>2.182391232156585</v>
      </c>
      <c r="Y443" s="4">
        <f t="shared" si="296"/>
        <v>-1.0948126700380079</v>
      </c>
      <c r="Z443" t="str">
        <f t="shared" si="285"/>
        <v>0,873508893593263+1,66318616650818i</v>
      </c>
      <c r="AA443" s="4">
        <f t="shared" si="297"/>
        <v>1.8786181122438645</v>
      </c>
      <c r="AB443" s="4">
        <f t="shared" si="298"/>
        <v>1.0871908938929966</v>
      </c>
      <c r="AC443" s="48" t="str">
        <f t="shared" si="299"/>
        <v>-0,0139845333803367+0,0057699193963805i</v>
      </c>
      <c r="AD443" s="20">
        <f t="shared" si="300"/>
        <v>-36.404317313383274</v>
      </c>
      <c r="AE443" s="44">
        <f t="shared" si="301"/>
        <v>157.57930314559511</v>
      </c>
      <c r="AF443" t="str">
        <f t="shared" si="286"/>
        <v>-20791,6666666667</v>
      </c>
      <c r="AG443" t="str">
        <f t="shared" si="302"/>
        <v>1117325,90612166i</v>
      </c>
      <c r="AH443">
        <f t="shared" si="303"/>
        <v>1117325.90612166</v>
      </c>
      <c r="AI443">
        <f t="shared" si="304"/>
        <v>1.5707963267948966</v>
      </c>
      <c r="AJ443" t="str">
        <f t="shared" si="287"/>
        <v>-23286,7463735777+1310,86798225414i</v>
      </c>
      <c r="AK443">
        <f t="shared" si="305"/>
        <v>23323.613174939965</v>
      </c>
      <c r="AL443">
        <f t="shared" si="306"/>
        <v>3.0853595523922177</v>
      </c>
      <c r="AM443" t="str">
        <f t="shared" si="288"/>
        <v>1+1802,02322139301i</v>
      </c>
      <c r="AN443">
        <f t="shared" si="307"/>
        <v>1802.0234988588916</v>
      </c>
      <c r="AO443">
        <f t="shared" si="308"/>
        <v>1.5702413950462495</v>
      </c>
      <c r="AP443" t="str">
        <f t="shared" si="289"/>
        <v>1+1265,70678645462i</v>
      </c>
      <c r="AQ443">
        <f t="shared" si="309"/>
        <v>1265.7071814907588</v>
      </c>
      <c r="AR443">
        <f t="shared" si="310"/>
        <v>1.5700062545580797</v>
      </c>
      <c r="AS443" s="42" t="str">
        <f t="shared" si="311"/>
        <v>-0,0998314517515351+1,81699097795363i</v>
      </c>
      <c r="AT443">
        <f t="shared" si="312"/>
        <v>5.2001459963531618</v>
      </c>
      <c r="AU443" s="44">
        <f t="shared" si="313"/>
        <v>93.144856315757764</v>
      </c>
      <c r="AV443" s="42" t="str">
        <f t="shared" si="290"/>
        <v>-0,00908779521731621-0,0259857904127932i</v>
      </c>
      <c r="AW443" s="20">
        <f t="shared" si="314"/>
        <v>-31.204171317030109</v>
      </c>
      <c r="AX443" s="44">
        <f t="shared" si="315"/>
        <v>-109.27584053864712</v>
      </c>
    </row>
    <row r="444" spans="14:50" x14ac:dyDescent="0.3">
      <c r="N444" s="8">
        <v>26</v>
      </c>
      <c r="O444" s="35">
        <f t="shared" si="316"/>
        <v>181970.08586099857</v>
      </c>
      <c r="P444" s="34" t="str">
        <f t="shared" si="281"/>
        <v>324,571428571429</v>
      </c>
      <c r="Q444" s="4" t="str">
        <f t="shared" si="282"/>
        <v>1+26133,7547389264i</v>
      </c>
      <c r="R444" s="4">
        <f t="shared" si="291"/>
        <v>26133.754758058742</v>
      </c>
      <c r="S444" s="4">
        <f t="shared" si="292"/>
        <v>1.5707580621058193</v>
      </c>
      <c r="T444" s="4" t="str">
        <f t="shared" si="283"/>
        <v>1+0,228670353965606i</v>
      </c>
      <c r="U444" s="4">
        <f t="shared" si="293"/>
        <v>1.0258119373368373</v>
      </c>
      <c r="V444" s="4">
        <f t="shared" si="294"/>
        <v>0.22480518005426375</v>
      </c>
      <c r="W444" t="str">
        <f t="shared" si="284"/>
        <v>1-1,984985711507i</v>
      </c>
      <c r="X444" s="4">
        <f t="shared" si="295"/>
        <v>2.2226489319923988</v>
      </c>
      <c r="Y444" s="4">
        <f t="shared" si="296"/>
        <v>-1.1041277260137308</v>
      </c>
      <c r="Z444" t="str">
        <f t="shared" si="285"/>
        <v>0,867547551406964+1,7019267490461i</v>
      </c>
      <c r="AA444" s="4">
        <f t="shared" si="297"/>
        <v>1.9102862123438065</v>
      </c>
      <c r="AB444" s="4">
        <f t="shared" si="298"/>
        <v>1.0993836573983804</v>
      </c>
      <c r="AC444" s="48" t="str">
        <f t="shared" si="299"/>
        <v>-0,0136074200013196+0,00587980822526662i</v>
      </c>
      <c r="AD444" s="20">
        <f t="shared" si="300"/>
        <v>-36.581026912368571</v>
      </c>
      <c r="AE444" s="44">
        <f t="shared" si="301"/>
        <v>156.63067805642908</v>
      </c>
      <c r="AF444" t="str">
        <f t="shared" si="286"/>
        <v>-20791,6666666667</v>
      </c>
      <c r="AG444" t="str">
        <f t="shared" si="302"/>
        <v>1143351,76982803i</v>
      </c>
      <c r="AH444">
        <f t="shared" si="303"/>
        <v>1143351.7698280299</v>
      </c>
      <c r="AI444">
        <f t="shared" si="304"/>
        <v>1.5707963267948966</v>
      </c>
      <c r="AJ444" t="str">
        <f t="shared" si="287"/>
        <v>-24384,2640475417+1341,40202004588i</v>
      </c>
      <c r="AK444">
        <f t="shared" si="305"/>
        <v>24421.13208922997</v>
      </c>
      <c r="AL444">
        <f t="shared" si="306"/>
        <v>3.0866370744899809</v>
      </c>
      <c r="AM444" t="str">
        <f t="shared" si="288"/>
        <v>1+1843,99773437865i</v>
      </c>
      <c r="AN444">
        <f t="shared" si="307"/>
        <v>1843.998005528638</v>
      </c>
      <c r="AO444">
        <f t="shared" si="308"/>
        <v>1.5702540268325231</v>
      </c>
      <c r="AP444" t="str">
        <f t="shared" si="289"/>
        <v>1+1295,18888486119i</v>
      </c>
      <c r="AQ444">
        <f t="shared" si="309"/>
        <v>1295.1892709052113</v>
      </c>
      <c r="AR444">
        <f t="shared" si="310"/>
        <v>1.5700242387906049</v>
      </c>
      <c r="AS444" s="42" t="str">
        <f t="shared" si="311"/>
        <v>-0,0953514824681049+1,77587426455891i</v>
      </c>
      <c r="AT444">
        <f t="shared" si="312"/>
        <v>5.0007465608769328</v>
      </c>
      <c r="AU444" s="44">
        <f t="shared" si="313"/>
        <v>93.073413859983873</v>
      </c>
      <c r="AV444" s="42" t="str">
        <f t="shared" si="290"/>
        <v>-0,00914431243810082-0,024725715418295i</v>
      </c>
      <c r="AW444" s="20">
        <f t="shared" si="314"/>
        <v>-31.580280351491623</v>
      </c>
      <c r="AX444" s="44">
        <f t="shared" si="315"/>
        <v>-110.29590808358699</v>
      </c>
    </row>
    <row r="445" spans="14:50" x14ac:dyDescent="0.3">
      <c r="N445" s="8">
        <v>27</v>
      </c>
      <c r="O445" s="35">
        <f t="shared" si="316"/>
        <v>186208.71366628664</v>
      </c>
      <c r="P445" s="34" t="str">
        <f t="shared" si="281"/>
        <v>324,571428571429</v>
      </c>
      <c r="Q445" s="4" t="str">
        <f t="shared" si="282"/>
        <v>1+26742,4880863273i</v>
      </c>
      <c r="R445" s="4">
        <f t="shared" si="291"/>
        <v>26742.488105024138</v>
      </c>
      <c r="S445" s="4">
        <f t="shared" si="292"/>
        <v>1.5707589331164811</v>
      </c>
      <c r="T445" s="4" t="str">
        <f t="shared" si="283"/>
        <v>1+0,233996770755364i</v>
      </c>
      <c r="U445" s="4">
        <f t="shared" si="293"/>
        <v>1.027012409235613</v>
      </c>
      <c r="V445" s="4">
        <f t="shared" si="294"/>
        <v>0.22986102279768975</v>
      </c>
      <c r="W445" t="str">
        <f t="shared" si="284"/>
        <v>1-2,03122196836253i</v>
      </c>
      <c r="X445" s="4">
        <f t="shared" si="295"/>
        <v>2.2640368117057088</v>
      </c>
      <c r="Y445" s="4">
        <f t="shared" si="296"/>
        <v>-1.1133160102923521</v>
      </c>
      <c r="Z445" t="str">
        <f t="shared" si="285"/>
        <v>0,861305259818988+1,74156971567404i</v>
      </c>
      <c r="AA445" s="4">
        <f t="shared" si="297"/>
        <v>1.9429132315018112</v>
      </c>
      <c r="AB445" s="4">
        <f t="shared" si="298"/>
        <v>1.1115126991607711</v>
      </c>
      <c r="AC445" s="48" t="str">
        <f t="shared" si="299"/>
        <v>-0,01323796147585+0,0059774709271073i</v>
      </c>
      <c r="AD445" s="20">
        <f t="shared" si="300"/>
        <v>-36.757715102342786</v>
      </c>
      <c r="AE445" s="44">
        <f t="shared" si="301"/>
        <v>155.69891378962001</v>
      </c>
      <c r="AF445" t="str">
        <f t="shared" si="286"/>
        <v>-20791,6666666667</v>
      </c>
      <c r="AG445" t="str">
        <f t="shared" si="302"/>
        <v>1169983,85377682i</v>
      </c>
      <c r="AH445">
        <f t="shared" si="303"/>
        <v>1169983.85377682</v>
      </c>
      <c r="AI445">
        <f t="shared" si="304"/>
        <v>1.5707963267948966</v>
      </c>
      <c r="AJ445" t="str">
        <f t="shared" si="287"/>
        <v>-25533,5061359401+1372,64728694419i</v>
      </c>
      <c r="AK445">
        <f t="shared" si="305"/>
        <v>25570.375362290753</v>
      </c>
      <c r="AL445">
        <f t="shared" si="306"/>
        <v>3.0878856830908283</v>
      </c>
      <c r="AM445" t="str">
        <f t="shared" si="288"/>
        <v>1+1886,94995937125i</v>
      </c>
      <c r="AN445">
        <f t="shared" si="307"/>
        <v>1886.9502243491115</v>
      </c>
      <c r="AO445">
        <f t="shared" si="308"/>
        <v>1.5702663710844043</v>
      </c>
      <c r="AP445" t="str">
        <f t="shared" si="289"/>
        <v>1+1325,35770955838i</v>
      </c>
      <c r="AQ445">
        <f t="shared" si="309"/>
        <v>1325.3580868149693</v>
      </c>
      <c r="AR445">
        <f t="shared" si="310"/>
        <v>1.5700418136525014</v>
      </c>
      <c r="AS445" s="42" t="str">
        <f t="shared" si="311"/>
        <v>-0,0910719880268925+1,73567732057434i</v>
      </c>
      <c r="AT445">
        <f t="shared" si="312"/>
        <v>4.8013201730982482</v>
      </c>
      <c r="AU445" s="44">
        <f t="shared" si="313"/>
        <v>93.003588095837799</v>
      </c>
      <c r="AV445" s="42" t="str">
        <f t="shared" si="290"/>
        <v>-0,00916935325354354-0,0235212096649743i</v>
      </c>
      <c r="AW445" s="20">
        <f t="shared" si="314"/>
        <v>-31.956394929244535</v>
      </c>
      <c r="AX445" s="44">
        <f t="shared" si="315"/>
        <v>-111.29749811454217</v>
      </c>
    </row>
    <row r="446" spans="14:50" x14ac:dyDescent="0.3">
      <c r="N446" s="8">
        <v>28</v>
      </c>
      <c r="O446" s="35">
        <f t="shared" si="316"/>
        <v>190546.07179632492</v>
      </c>
      <c r="P446" s="34" t="str">
        <f t="shared" si="281"/>
        <v>324,571428571429</v>
      </c>
      <c r="Q446" s="4" t="str">
        <f t="shared" si="282"/>
        <v>1+27365,4006548905i</v>
      </c>
      <c r="R446" s="4">
        <f t="shared" si="291"/>
        <v>27365.400673161745</v>
      </c>
      <c r="S446" s="4">
        <f t="shared" si="292"/>
        <v>1.5707597843005197</v>
      </c>
      <c r="T446" s="4" t="str">
        <f t="shared" si="283"/>
        <v>1+0,239447255730292i</v>
      </c>
      <c r="U446" s="4">
        <f t="shared" si="293"/>
        <v>1.0282679554847403</v>
      </c>
      <c r="V446" s="4">
        <f t="shared" si="294"/>
        <v>0.23502227500907402</v>
      </c>
      <c r="W446" t="str">
        <f t="shared" si="284"/>
        <v>1-2,07853520599212i</v>
      </c>
      <c r="X446" s="4">
        <f t="shared" si="295"/>
        <v>2.3065794160506816</v>
      </c>
      <c r="Y446" s="4">
        <f t="shared" si="296"/>
        <v>-1.1223761879439362</v>
      </c>
      <c r="Z446" t="str">
        <f t="shared" si="285"/>
        <v>0,854768778091957+1,78213608561764i</v>
      </c>
      <c r="AA446" s="4">
        <f t="shared" si="297"/>
        <v>1.9765218672358225</v>
      </c>
      <c r="AB446" s="4">
        <f t="shared" si="298"/>
        <v>1.1235758113479599</v>
      </c>
      <c r="AC446" s="48" t="str">
        <f t="shared" si="299"/>
        <v>-0,0128763019114127+0,00606343581456472i</v>
      </c>
      <c r="AD446" s="20">
        <f t="shared" si="300"/>
        <v>-36.934368677660594</v>
      </c>
      <c r="AE446" s="44">
        <f t="shared" si="301"/>
        <v>154.78430763188859</v>
      </c>
      <c r="AF446" t="str">
        <f t="shared" si="286"/>
        <v>-20791,6666666667</v>
      </c>
      <c r="AG446" t="str">
        <f t="shared" si="302"/>
        <v>1197236,27865146i</v>
      </c>
      <c r="AH446">
        <f t="shared" si="303"/>
        <v>1197236.2786514601</v>
      </c>
      <c r="AI446">
        <f t="shared" si="304"/>
        <v>1.5707963267948966</v>
      </c>
      <c r="AJ446" t="str">
        <f t="shared" si="287"/>
        <v>-26736,9103353242+1404,62034960318i</v>
      </c>
      <c r="AK446">
        <f t="shared" si="305"/>
        <v>26773.780693164819</v>
      </c>
      <c r="AL446">
        <f t="shared" si="306"/>
        <v>3.089106025277129</v>
      </c>
      <c r="AM446" t="str">
        <f t="shared" si="288"/>
        <v>1+1930,90267020907i</v>
      </c>
      <c r="AN446">
        <f t="shared" si="307"/>
        <v>1930.9029291553002</v>
      </c>
      <c r="AO446">
        <f t="shared" si="308"/>
        <v>1.5702784343469631</v>
      </c>
      <c r="AP446" t="str">
        <f t="shared" si="289"/>
        <v>1+1356,22925645637i</v>
      </c>
      <c r="AQ446">
        <f t="shared" si="309"/>
        <v>1356.229625125553</v>
      </c>
      <c r="AR446">
        <f t="shared" si="310"/>
        <v>1.5700589884621503</v>
      </c>
      <c r="AS446" s="42" t="str">
        <f t="shared" si="311"/>
        <v>-0,0869840469577298+1,69638028153701i</v>
      </c>
      <c r="AT446">
        <f t="shared" si="312"/>
        <v>4.6018680392653408</v>
      </c>
      <c r="AU446" s="44">
        <f t="shared" si="313"/>
        <v>92.935342857139645</v>
      </c>
      <c r="AV446" s="42" t="str">
        <f t="shared" si="290"/>
        <v>-0,00916586010408866-0,0223705268472571i</v>
      </c>
      <c r="AW446" s="20">
        <f t="shared" si="314"/>
        <v>-32.332500638395253</v>
      </c>
      <c r="AX446" s="44">
        <f t="shared" si="315"/>
        <v>-112.28034951097175</v>
      </c>
    </row>
    <row r="447" spans="14:50" x14ac:dyDescent="0.3">
      <c r="N447" s="8">
        <v>29</v>
      </c>
      <c r="O447" s="35">
        <f t="shared" si="316"/>
        <v>194984.45997580473</v>
      </c>
      <c r="P447" s="34" t="str">
        <f t="shared" si="281"/>
        <v>324,571428571429</v>
      </c>
      <c r="Q447" s="4" t="str">
        <f t="shared" si="282"/>
        <v>1+28002,8227211045i</v>
      </c>
      <c r="R447" s="4">
        <f t="shared" si="291"/>
        <v>28002.82273895984</v>
      </c>
      <c r="S447" s="4">
        <f t="shared" si="292"/>
        <v>1.5707606161092442</v>
      </c>
      <c r="T447" s="4" t="str">
        <f t="shared" si="283"/>
        <v>1+0,245024698809664i</v>
      </c>
      <c r="U447" s="4">
        <f t="shared" si="293"/>
        <v>1.0295810327636998</v>
      </c>
      <c r="V447" s="4">
        <f t="shared" si="294"/>
        <v>0.24029057286222513</v>
      </c>
      <c r="W447" t="str">
        <f t="shared" si="284"/>
        <v>1-2,12695051050056i</v>
      </c>
      <c r="X447" s="4">
        <f t="shared" si="295"/>
        <v>2.3503017836266458</v>
      </c>
      <c r="Y447" s="4">
        <f t="shared" si="296"/>
        <v>-1.1313071120502478</v>
      </c>
      <c r="Z447" t="str">
        <f t="shared" si="285"/>
        <v>0,847924241471776+1,82364736770317i</v>
      </c>
      <c r="AA447" s="4">
        <f t="shared" si="297"/>
        <v>2.0111353114612127</v>
      </c>
      <c r="AB447" s="4">
        <f t="shared" si="298"/>
        <v>1.1355710194491553</v>
      </c>
      <c r="AC447" s="48" t="str">
        <f t="shared" si="299"/>
        <v>-0,0125225629710756+0,00613822804625431i</v>
      </c>
      <c r="AD447" s="20">
        <f t="shared" si="300"/>
        <v>-37.110973044369729</v>
      </c>
      <c r="AE447" s="44">
        <f t="shared" si="301"/>
        <v>153.88713214793998</v>
      </c>
      <c r="AF447" t="str">
        <f t="shared" si="286"/>
        <v>-20791,6666666667</v>
      </c>
      <c r="AG447" t="str">
        <f t="shared" si="302"/>
        <v>1225123,49404832i</v>
      </c>
      <c r="AH447">
        <f t="shared" si="303"/>
        <v>1225123.49404832</v>
      </c>
      <c r="AI447">
        <f t="shared" si="304"/>
        <v>1.5707963267948966</v>
      </c>
      <c r="AJ447" t="str">
        <f t="shared" si="287"/>
        <v>-27997,0292273427+1437,33816056388i</v>
      </c>
      <c r="AK447">
        <f t="shared" si="305"/>
        <v>28033.900665881203</v>
      </c>
      <c r="AL447">
        <f t="shared" si="306"/>
        <v>3.0902987341362236</v>
      </c>
      <c r="AM447" t="str">
        <f t="shared" si="288"/>
        <v>1+1975,87917120113i</v>
      </c>
      <c r="AN447">
        <f t="shared" si="307"/>
        <v>1975.8794242530248</v>
      </c>
      <c r="AO447">
        <f t="shared" si="308"/>
        <v>1.5702902230162876</v>
      </c>
      <c r="AP447" t="str">
        <f t="shared" si="289"/>
        <v>1+1387,81989405794i</v>
      </c>
      <c r="AQ447">
        <f t="shared" si="309"/>
        <v>1387.8202543351899</v>
      </c>
      <c r="AR447">
        <f t="shared" si="310"/>
        <v>1.5700757723258223</v>
      </c>
      <c r="AS447" s="42" t="str">
        <f t="shared" si="311"/>
        <v>-0,0830791304558756+1,65796366431993i</v>
      </c>
      <c r="AT447">
        <f t="shared" si="312"/>
        <v>4.4023913119330453</v>
      </c>
      <c r="AU447" s="44">
        <f t="shared" si="313"/>
        <v>92.868642758876362</v>
      </c>
      <c r="AV447" s="42" t="str">
        <f t="shared" si="290"/>
        <v>-0,00913659542128325-0,0212719130388242i</v>
      </c>
      <c r="AW447" s="20">
        <f t="shared" si="314"/>
        <v>-32.708581732436699</v>
      </c>
      <c r="AX447" s="44">
        <f t="shared" si="315"/>
        <v>-113.24422509318367</v>
      </c>
    </row>
    <row r="448" spans="14:50" x14ac:dyDescent="0.3">
      <c r="N448" s="8">
        <v>30</v>
      </c>
      <c r="O448" s="35">
        <f t="shared" si="316"/>
        <v>199526.23149688813</v>
      </c>
      <c r="P448" s="34" t="str">
        <f t="shared" si="281"/>
        <v>324,571428571429</v>
      </c>
      <c r="Q448" s="4" t="str">
        <f t="shared" si="282"/>
        <v>1+28655,0922545865i</v>
      </c>
      <c r="R448" s="4">
        <f t="shared" si="291"/>
        <v>28655.092272035399</v>
      </c>
      <c r="S448" s="4">
        <f t="shared" si="292"/>
        <v>1.5707614289836904</v>
      </c>
      <c r="T448" s="4" t="str">
        <f t="shared" si="283"/>
        <v>1+0,250732057227632i</v>
      </c>
      <c r="U448" s="4">
        <f t="shared" si="293"/>
        <v>1.0309542009815957</v>
      </c>
      <c r="V448" s="4">
        <f t="shared" si="294"/>
        <v>0.24566753939756472</v>
      </c>
      <c r="W448" t="str">
        <f t="shared" si="284"/>
        <v>1-2,17649355232319i</v>
      </c>
      <c r="X448" s="4">
        <f t="shared" si="295"/>
        <v>2.3952294636014351</v>
      </c>
      <c r="Y448" s="4">
        <f t="shared" si="296"/>
        <v>-1.1401078181608522</v>
      </c>
      <c r="Z448" t="str">
        <f t="shared" si="285"/>
        <v>0,840757131778601+1,86612557176191i</v>
      </c>
      <c r="AA448" s="4">
        <f t="shared" si="297"/>
        <v>2.0467772727437383</v>
      </c>
      <c r="AB448" s="4">
        <f t="shared" si="298"/>
        <v>1.1474965822382659</v>
      </c>
      <c r="AC448" s="48" t="str">
        <f t="shared" si="299"/>
        <v>-0,0121768443751591+0,00620236825534023i</v>
      </c>
      <c r="AD448" s="20">
        <f t="shared" si="300"/>
        <v>-37.287512245491541</v>
      </c>
      <c r="AE448" s="44">
        <f t="shared" si="301"/>
        <v>153.00763532971607</v>
      </c>
      <c r="AF448" t="str">
        <f t="shared" si="286"/>
        <v>-20791,6666666667</v>
      </c>
      <c r="AG448" t="str">
        <f t="shared" si="302"/>
        <v>1253660,28613816i</v>
      </c>
      <c r="AH448">
        <f t="shared" si="303"/>
        <v>1253660.2861381599</v>
      </c>
      <c r="AI448">
        <f t="shared" si="304"/>
        <v>1.5707963267948966</v>
      </c>
      <c r="AJ448" t="str">
        <f t="shared" si="287"/>
        <v>-29316,5356931141+1470,81806724273i</v>
      </c>
      <c r="AK448">
        <f t="shared" si="305"/>
        <v>29353.408163832708</v>
      </c>
      <c r="AL448">
        <f t="shared" si="306"/>
        <v>3.0914644290304651</v>
      </c>
      <c r="AM448" t="str">
        <f t="shared" si="288"/>
        <v>1+2021,90330948362i</v>
      </c>
      <c r="AN448">
        <f t="shared" si="307"/>
        <v>2021.9035567753508</v>
      </c>
      <c r="AO448">
        <f t="shared" si="308"/>
        <v>1.570301743342873</v>
      </c>
      <c r="AP448" t="str">
        <f t="shared" si="289"/>
        <v>1+1420,14637213731i</v>
      </c>
      <c r="AQ448">
        <f t="shared" si="309"/>
        <v>1420.1467242136507</v>
      </c>
      <c r="AR448">
        <f t="shared" si="310"/>
        <v>1.5700921741425062</v>
      </c>
      <c r="AS448" s="42" t="str">
        <f t="shared" si="311"/>
        <v>-0,0793490854824129+1,62040836310164i</v>
      </c>
      <c r="AT448">
        <f t="shared" si="312"/>
        <v>4.2028910923261007</v>
      </c>
      <c r="AU448" s="44">
        <f t="shared" si="313"/>
        <v>92.80345318220067</v>
      </c>
      <c r="AV448" s="42" t="str">
        <f t="shared" si="290"/>
        <v>-0,0090841479267589-0,0202236127105814i</v>
      </c>
      <c r="AW448" s="20">
        <f t="shared" si="314"/>
        <v>-33.084621153165429</v>
      </c>
      <c r="AX448" s="44">
        <f t="shared" si="315"/>
        <v>-114.18891148808325</v>
      </c>
    </row>
    <row r="449" spans="14:50" x14ac:dyDescent="0.3">
      <c r="N449" s="8">
        <v>31</v>
      </c>
      <c r="O449" s="35">
        <f t="shared" si="316"/>
        <v>204173.79446695308</v>
      </c>
      <c r="P449" s="34" t="str">
        <f t="shared" si="281"/>
        <v>324,571428571429</v>
      </c>
      <c r="Q449" s="4" t="str">
        <f t="shared" si="282"/>
        <v>1+29322,5550972768i</v>
      </c>
      <c r="R449" s="4">
        <f t="shared" si="291"/>
        <v>29322.555114328516</v>
      </c>
      <c r="S449" s="4">
        <f t="shared" si="292"/>
        <v>1.5707622233548555</v>
      </c>
      <c r="T449" s="4" t="str">
        <f t="shared" si="283"/>
        <v>1+0,256572357101172i</v>
      </c>
      <c r="U449" s="4">
        <f t="shared" si="293"/>
        <v>1.0323901270490974</v>
      </c>
      <c r="V449" s="4">
        <f t="shared" si="294"/>
        <v>0.25115478135843539</v>
      </c>
      <c r="W449" t="str">
        <f t="shared" si="284"/>
        <v>1-2,22719059983656i</v>
      </c>
      <c r="X449" s="4">
        <f t="shared" si="295"/>
        <v>2.4413885327821823</v>
      </c>
      <c r="Y449" s="4">
        <f t="shared" si="296"/>
        <v>-1.1487775184181703</v>
      </c>
      <c r="Z449" t="str">
        <f t="shared" si="285"/>
        <v>0,833252246611867+1,90959322029987i</v>
      </c>
      <c r="AA449" s="4">
        <f t="shared" si="297"/>
        <v>2.0834719996916089</v>
      </c>
      <c r="AB449" s="4">
        <f t="shared" si="298"/>
        <v>1.1593509909286106</v>
      </c>
      <c r="AC449" s="48" t="str">
        <f t="shared" si="299"/>
        <v>-0,0118392244994486+0,00625637125762567i</v>
      </c>
      <c r="AD449" s="20">
        <f t="shared" si="300"/>
        <v>-37.463968989221513</v>
      </c>
      <c r="AE449" s="44">
        <f t="shared" si="301"/>
        <v>152.14604080015803</v>
      </c>
      <c r="AF449" t="str">
        <f t="shared" si="286"/>
        <v>-20791,6666666667</v>
      </c>
      <c r="AG449" t="str">
        <f t="shared" si="302"/>
        <v>1282861,78550586i</v>
      </c>
      <c r="AH449">
        <f t="shared" si="303"/>
        <v>1282861.7855058601</v>
      </c>
      <c r="AI449">
        <f t="shared" si="304"/>
        <v>1.5707963267948966</v>
      </c>
      <c r="AJ449" t="str">
        <f t="shared" si="287"/>
        <v>-30698,2285827608+1505,0778211294i</v>
      </c>
      <c r="AK449">
        <f t="shared" si="305"/>
        <v>30735.102039314719</v>
      </c>
      <c r="AL449">
        <f t="shared" si="306"/>
        <v>3.0926037158642816</v>
      </c>
      <c r="AM449" t="str">
        <f t="shared" si="288"/>
        <v>1+2068,99948766385i</v>
      </c>
      <c r="AN449">
        <f t="shared" si="307"/>
        <v>2068.9997293265346</v>
      </c>
      <c r="AO449">
        <f t="shared" si="308"/>
        <v>1.5703130014349367</v>
      </c>
      <c r="AP449" t="str">
        <f t="shared" si="289"/>
        <v>1+1453,22583062104i</v>
      </c>
      <c r="AQ449">
        <f t="shared" si="309"/>
        <v>1453.2261746831466</v>
      </c>
      <c r="AR449">
        <f t="shared" si="310"/>
        <v>1.5701082026086273</v>
      </c>
      <c r="AS449" s="42" t="str">
        <f t="shared" si="311"/>
        <v>-0,0757861185581572+1,58369564512611i</v>
      </c>
      <c r="AT449">
        <f t="shared" si="312"/>
        <v>4.0033684326033905</v>
      </c>
      <c r="AU449" s="44">
        <f t="shared" si="313"/>
        <v>92.739740259589567</v>
      </c>
      <c r="AV449" s="42" t="str">
        <f t="shared" si="290"/>
        <v>-0,00901093904344209-0,0192238743753214i</v>
      </c>
      <c r="AW449" s="20">
        <f t="shared" si="314"/>
        <v>-33.460600556618104</v>
      </c>
      <c r="AX449" s="44">
        <f t="shared" si="315"/>
        <v>-115.11421894025234</v>
      </c>
    </row>
    <row r="450" spans="14:50" x14ac:dyDescent="0.3">
      <c r="N450" s="8">
        <v>32</v>
      </c>
      <c r="O450" s="35">
        <f t="shared" si="316"/>
        <v>208929.61308540447</v>
      </c>
      <c r="P450" s="34" t="str">
        <f t="shared" si="281"/>
        <v>324,571428571429</v>
      </c>
      <c r="Q450" s="4" t="str">
        <f t="shared" si="282"/>
        <v>1+30005,5651468098i</v>
      </c>
      <c r="R450" s="4">
        <f t="shared" si="291"/>
        <v>30005.565163473377</v>
      </c>
      <c r="S450" s="4">
        <f t="shared" si="292"/>
        <v>1.5707629996439252</v>
      </c>
      <c r="T450" s="4" t="str">
        <f t="shared" si="283"/>
        <v>1+0,262548695034586i</v>
      </c>
      <c r="U450" s="4">
        <f t="shared" si="293"/>
        <v>1.0338915887385698</v>
      </c>
      <c r="V450" s="4">
        <f t="shared" si="294"/>
        <v>0.25675388583381753</v>
      </c>
      <c r="W450" t="str">
        <f t="shared" si="284"/>
        <v>1-2,27906853328634i</v>
      </c>
      <c r="X450" s="4">
        <f t="shared" si="295"/>
        <v>2.4888056130232328</v>
      </c>
      <c r="Y450" s="4">
        <f t="shared" si="296"/>
        <v>-1.1573155954030889</v>
      </c>
      <c r="Z450" t="str">
        <f t="shared" si="285"/>
        <v>0,825393667103932+1,9540733604397i</v>
      </c>
      <c r="AA450" s="4">
        <f t="shared" si="297"/>
        <v>2.121244305513954</v>
      </c>
      <c r="AB450" s="4">
        <f t="shared" si="298"/>
        <v>1.1711329675661268</v>
      </c>
      <c r="AC450" s="48" t="str">
        <f t="shared" si="299"/>
        <v>-0,0115097610593405+0,00630074484489015i</v>
      </c>
      <c r="AD450" s="20">
        <f t="shared" si="300"/>
        <v>-37.640324679734718</v>
      </c>
      <c r="AE450" s="44">
        <f t="shared" si="301"/>
        <v>151.30254806551767</v>
      </c>
      <c r="AF450" t="str">
        <f t="shared" si="286"/>
        <v>-20791,6666666667</v>
      </c>
      <c r="AG450" t="str">
        <f t="shared" si="302"/>
        <v>1312743,47517293i</v>
      </c>
      <c r="AH450">
        <f t="shared" si="303"/>
        <v>1312743.4751729299</v>
      </c>
      <c r="AI450">
        <f t="shared" si="304"/>
        <v>1.5707963267948966</v>
      </c>
      <c r="AJ450" t="str">
        <f t="shared" si="287"/>
        <v>-32145,0386521494+1540,13558719891i</v>
      </c>
      <c r="AK450">
        <f t="shared" si="305"/>
        <v>32181.913050269952</v>
      </c>
      <c r="AL450">
        <f t="shared" si="306"/>
        <v>3.0937171873481542</v>
      </c>
      <c r="AM450" t="str">
        <f t="shared" si="288"/>
        <v>1+2117,1926767589i</v>
      </c>
      <c r="AN450">
        <f t="shared" si="307"/>
        <v>2117.1929129206706</v>
      </c>
      <c r="AO450">
        <f t="shared" si="308"/>
        <v>1.5703240032616566</v>
      </c>
      <c r="AP450" t="str">
        <f t="shared" si="289"/>
        <v>1+1487,07580867589i</v>
      </c>
      <c r="AQ450">
        <f t="shared" si="309"/>
        <v>1487.0761449061886</v>
      </c>
      <c r="AR450">
        <f t="shared" si="310"/>
        <v>1.5701238662226571</v>
      </c>
      <c r="AS450" s="42" t="str">
        <f t="shared" si="311"/>
        <v>-0,0723827802255451+1,54780714627582i</v>
      </c>
      <c r="AT450">
        <f t="shared" si="312"/>
        <v>3.8038243380212595</v>
      </c>
      <c r="AU450" s="44">
        <f t="shared" si="313"/>
        <v>92.677470860169322</v>
      </c>
      <c r="AV450" s="42" t="str">
        <f t="shared" si="290"/>
        <v>-0,00891922939257473-0,0182709558489393i</v>
      </c>
      <c r="AW450" s="20">
        <f t="shared" si="314"/>
        <v>-33.83650034171346</v>
      </c>
      <c r="AX450" s="44">
        <f t="shared" si="315"/>
        <v>-116.01998107431301</v>
      </c>
    </row>
    <row r="451" spans="14:50" x14ac:dyDescent="0.3">
      <c r="N451" s="8">
        <v>33</v>
      </c>
      <c r="O451" s="35">
        <f t="shared" si="316"/>
        <v>213796.20895022334</v>
      </c>
      <c r="P451" s="34" t="str">
        <f t="shared" si="281"/>
        <v>324,571428571429</v>
      </c>
      <c r="Q451" s="4" t="str">
        <f t="shared" si="282"/>
        <v>1+30704,4845441541i</v>
      </c>
      <c r="R451" s="4">
        <f t="shared" si="291"/>
        <v>30704.484560438366</v>
      </c>
      <c r="S451" s="4">
        <f t="shared" si="292"/>
        <v>1.5707637582624985</v>
      </c>
      <c r="T451" s="4" t="str">
        <f t="shared" si="283"/>
        <v>1+0,268664239761348i</v>
      </c>
      <c r="U451" s="4">
        <f t="shared" si="293"/>
        <v>1.0354614786299599</v>
      </c>
      <c r="V451" s="4">
        <f t="shared" si="294"/>
        <v>0.26246641670245041</v>
      </c>
      <c r="W451" t="str">
        <f t="shared" si="284"/>
        <v>1-2,33215485903948i</v>
      </c>
      <c r="X451" s="4">
        <f t="shared" si="295"/>
        <v>2.5375078889614229</v>
      </c>
      <c r="Y451" s="4">
        <f t="shared" si="296"/>
        <v>-1.1657215957505724</v>
      </c>
      <c r="Z451" t="str">
        <f t="shared" si="285"/>
        <v>0,817164724154049+1,99958957614045i</v>
      </c>
      <c r="AA451" s="4">
        <f t="shared" si="297"/>
        <v>2.1601195937751472</v>
      </c>
      <c r="AB451" s="4">
        <f t="shared" si="298"/>
        <v>1.1828414627105519</v>
      </c>
      <c r="AC451" s="48" t="str">
        <f t="shared" si="299"/>
        <v>-0,0111884918691856+0,0063359886679211i</v>
      </c>
      <c r="AD451" s="20">
        <f t="shared" si="300"/>
        <v>-37.816559450299827</v>
      </c>
      <c r="AE451" s="44">
        <f t="shared" si="301"/>
        <v>150.4773328102649</v>
      </c>
      <c r="AF451" t="str">
        <f t="shared" si="286"/>
        <v>-20791,6666666667</v>
      </c>
      <c r="AG451" t="str">
        <f t="shared" si="302"/>
        <v>1343321,19880674i</v>
      </c>
      <c r="AH451">
        <f t="shared" si="303"/>
        <v>1343321.1988067401</v>
      </c>
      <c r="AI451">
        <f t="shared" si="304"/>
        <v>1.5707963267948966</v>
      </c>
      <c r="AJ451" t="str">
        <f t="shared" si="287"/>
        <v>-33660,0347794132+1576,00995354284i</v>
      </c>
      <c r="AK451">
        <f t="shared" si="305"/>
        <v>33696.910076815242</v>
      </c>
      <c r="AL451">
        <f t="shared" si="306"/>
        <v>3.0948054232593667</v>
      </c>
      <c r="AM451" t="str">
        <f t="shared" si="288"/>
        <v>1+2166,50842943551i</v>
      </c>
      <c r="AN451">
        <f t="shared" si="307"/>
        <v>2166.5086602215838</v>
      </c>
      <c r="AO451">
        <f t="shared" si="308"/>
        <v>1.5703347546563362</v>
      </c>
      <c r="AP451" t="str">
        <f t="shared" si="289"/>
        <v>1+1521,71425400828i</v>
      </c>
      <c r="AQ451">
        <f t="shared" si="309"/>
        <v>1521.7145825850444</v>
      </c>
      <c r="AR451">
        <f t="shared" si="310"/>
        <v>1.5701391732896208</v>
      </c>
      <c r="AS451" s="42" t="str">
        <f t="shared" si="311"/>
        <v>-0,069131950153832+1,51272486648153i</v>
      </c>
      <c r="AT451">
        <f t="shared" si="312"/>
        <v>3.604259769006382</v>
      </c>
      <c r="AU451" s="44">
        <f t="shared" si="313"/>
        <v>92.616612575215029</v>
      </c>
      <c r="AV451" s="42" t="str">
        <f t="shared" si="290"/>
        <v>-0,00881112534951234-0,0173631291217094i</v>
      </c>
      <c r="AW451" s="20">
        <f t="shared" si="314"/>
        <v>-34.212299681293459</v>
      </c>
      <c r="AX451" s="44">
        <f t="shared" si="315"/>
        <v>-116.90605461452012</v>
      </c>
    </row>
    <row r="452" spans="14:50" x14ac:dyDescent="0.3">
      <c r="N452" s="8">
        <v>34</v>
      </c>
      <c r="O452" s="35">
        <f t="shared" si="316"/>
        <v>218776.16239495538</v>
      </c>
      <c r="P452" s="34" t="str">
        <f t="shared" si="281"/>
        <v>324,571428571429</v>
      </c>
      <c r="Q452" s="4" t="str">
        <f t="shared" si="282"/>
        <v>1+31419,6838656256i</v>
      </c>
      <c r="R452" s="4">
        <f t="shared" si="291"/>
        <v>31419.683881539186</v>
      </c>
      <c r="S452" s="4">
        <f t="shared" si="292"/>
        <v>1.5707644996128047</v>
      </c>
      <c r="T452" s="4" t="str">
        <f t="shared" si="283"/>
        <v>1+0,274922233824224i</v>
      </c>
      <c r="U452" s="4">
        <f t="shared" si="293"/>
        <v>1.0371028081395313</v>
      </c>
      <c r="V452" s="4">
        <f t="shared" si="294"/>
        <v>0.26829391087399312</v>
      </c>
      <c r="W452" t="str">
        <f t="shared" si="284"/>
        <v>1-2,38647772416861i</v>
      </c>
      <c r="X452" s="4">
        <f t="shared" si="295"/>
        <v>2.5875231260711451</v>
      </c>
      <c r="Y452" s="4">
        <f t="shared" si="296"/>
        <v>-1.1739952235825952</v>
      </c>
      <c r="Z452" t="str">
        <f t="shared" si="285"/>
        <v>0,808547963070944+2,04616600070217i</v>
      </c>
      <c r="AA452" s="4">
        <f t="shared" si="297"/>
        <v>2.2001238853791127</v>
      </c>
      <c r="AB452" s="4">
        <f t="shared" si="298"/>
        <v>1.1944756524564677</v>
      </c>
      <c r="AC452" s="48" t="str">
        <f t="shared" si="299"/>
        <v>-0,0108754356660974+0,00636259321243386i</v>
      </c>
      <c r="AD452" s="20">
        <f t="shared" si="300"/>
        <v>-37.992652198438265</v>
      </c>
      <c r="AE452" s="44">
        <f t="shared" si="301"/>
        <v>149.67054722865544</v>
      </c>
      <c r="AF452" t="str">
        <f t="shared" si="286"/>
        <v>-20791,6666666667</v>
      </c>
      <c r="AG452" t="str">
        <f t="shared" si="302"/>
        <v>1374611,16912112i</v>
      </c>
      <c r="AH452">
        <f t="shared" si="303"/>
        <v>1374611.1691211199</v>
      </c>
      <c r="AI452">
        <f t="shared" si="304"/>
        <v>1.5707963267948966</v>
      </c>
      <c r="AJ452" t="str">
        <f t="shared" si="287"/>
        <v>-35246,4304744578+1612,71994122511i</v>
      </c>
      <c r="AK452">
        <f t="shared" si="305"/>
        <v>35283.306630751213</v>
      </c>
      <c r="AL452">
        <f t="shared" si="306"/>
        <v>3.0958689906994263</v>
      </c>
      <c r="AM452" t="str">
        <f t="shared" si="288"/>
        <v>1+2216,97289355854i</v>
      </c>
      <c r="AN452">
        <f t="shared" si="307"/>
        <v>2216.9731190912812</v>
      </c>
      <c r="AO452">
        <f t="shared" si="308"/>
        <v>1.5703452613194975</v>
      </c>
      <c r="AP452" t="str">
        <f t="shared" si="289"/>
        <v>1+1557,1595323804i</v>
      </c>
      <c r="AQ452">
        <f t="shared" si="309"/>
        <v>1557.1598534778459</v>
      </c>
      <c r="AR452">
        <f t="shared" si="310"/>
        <v>1.5701541319254988</v>
      </c>
      <c r="AS452" s="42" t="str">
        <f t="shared" si="311"/>
        <v>-0,0660268228634279+1,47843116498821i</v>
      </c>
      <c r="AT452">
        <f t="shared" si="312"/>
        <v>3.4046756431354619</v>
      </c>
      <c r="AU452" s="44">
        <f t="shared" si="313"/>
        <v>92.55713370383107</v>
      </c>
      <c r="AV452" s="42" t="str">
        <f t="shared" si="290"/>
        <v>-0,00868858563111665-0,0164986848365721i</v>
      </c>
      <c r="AW452" s="20">
        <f t="shared" si="314"/>
        <v>-34.587976555302816</v>
      </c>
      <c r="AX452" s="44">
        <f t="shared" si="315"/>
        <v>-117.77231906751349</v>
      </c>
    </row>
    <row r="453" spans="14:50" x14ac:dyDescent="0.3">
      <c r="N453" s="8">
        <v>35</v>
      </c>
      <c r="O453" s="35">
        <f t="shared" si="316"/>
        <v>223872.11385683404</v>
      </c>
      <c r="P453" s="34" t="str">
        <f t="shared" si="281"/>
        <v>324,571428571429</v>
      </c>
      <c r="Q453" s="4" t="str">
        <f t="shared" si="282"/>
        <v>1+32151,5423193714i</v>
      </c>
      <c r="R453" s="4">
        <f t="shared" si="291"/>
        <v>32151.542334922753</v>
      </c>
      <c r="S453" s="4">
        <f t="shared" si="292"/>
        <v>1.5707652240879177</v>
      </c>
      <c r="T453" s="4" t="str">
        <f t="shared" si="283"/>
        <v>1+0,2813259952945i</v>
      </c>
      <c r="U453" s="4">
        <f t="shared" si="293"/>
        <v>1.0388187116279919</v>
      </c>
      <c r="V453" s="4">
        <f t="shared" si="294"/>
        <v>0.27423787432337976</v>
      </c>
      <c r="W453" t="str">
        <f t="shared" si="284"/>
        <v>1-2,44206593137587i</v>
      </c>
      <c r="X453" s="4">
        <f t="shared" si="295"/>
        <v>2.6388796890322026</v>
      </c>
      <c r="Y453" s="4">
        <f t="shared" si="296"/>
        <v>-1.1821363338030584</v>
      </c>
      <c r="Z453" t="str">
        <f t="shared" si="285"/>
        <v>0,799525106549089+2,09382732956167i</v>
      </c>
      <c r="AA453" s="4">
        <f t="shared" si="297"/>
        <v>2.2412838468212111</v>
      </c>
      <c r="AB453" s="4">
        <f t="shared" si="298"/>
        <v>1.2060349348472081</v>
      </c>
      <c r="AC453" s="48" t="str">
        <f t="shared" si="299"/>
        <v>-0,0105705929876531+0,00638103886987891i</v>
      </c>
      <c r="AD453" s="20">
        <f t="shared" si="300"/>
        <v>-38.168580622892698</v>
      </c>
      <c r="AE453" s="44">
        <f t="shared" si="301"/>
        <v>148.88232038714625</v>
      </c>
      <c r="AF453" t="str">
        <f t="shared" si="286"/>
        <v>-20791,6666666667</v>
      </c>
      <c r="AG453" t="str">
        <f t="shared" si="302"/>
        <v>1406629,9764725i</v>
      </c>
      <c r="AH453">
        <f t="shared" si="303"/>
        <v>1406629.9764725</v>
      </c>
      <c r="AI453">
        <f t="shared" si="304"/>
        <v>1.5707963267948966</v>
      </c>
      <c r="AJ453" t="str">
        <f t="shared" si="287"/>
        <v>-36907,5906952443+1650,28501436708i</v>
      </c>
      <c r="AK453">
        <f t="shared" si="305"/>
        <v>36944.46767184943</v>
      </c>
      <c r="AL453">
        <f t="shared" si="306"/>
        <v>3.0969084443480606</v>
      </c>
      <c r="AM453" t="str">
        <f t="shared" si="288"/>
        <v>1+2268,61282605485i</v>
      </c>
      <c r="AN453">
        <f t="shared" si="307"/>
        <v>2268.6130464538401</v>
      </c>
      <c r="AO453">
        <f t="shared" si="308"/>
        <v>1.5703555288219029</v>
      </c>
      <c r="AP453" t="str">
        <f t="shared" si="289"/>
        <v>1+1593,43043734805i</v>
      </c>
      <c r="AQ453">
        <f t="shared" si="309"/>
        <v>1593.4307511364268</v>
      </c>
      <c r="AR453">
        <f t="shared" si="310"/>
        <v>1.5701687500615313</v>
      </c>
      <c r="AS453" s="42" t="str">
        <f t="shared" si="311"/>
        <v>-0,0630608940459838+1,44490875549751i</v>
      </c>
      <c r="AT453">
        <f t="shared" si="312"/>
        <v>3.2050728370323567</v>
      </c>
      <c r="AU453" s="44">
        <f t="shared" si="313"/>
        <v>92.499003238817849</v>
      </c>
      <c r="AV453" s="42" t="str">
        <f t="shared" si="290"/>
        <v>-0,00855342788786036-0,0156759363747373i</v>
      </c>
      <c r="AW453" s="20">
        <f t="shared" si="314"/>
        <v>-34.96350778586033</v>
      </c>
      <c r="AX453" s="44">
        <f t="shared" si="315"/>
        <v>-118.61867637403589</v>
      </c>
    </row>
    <row r="454" spans="14:50" x14ac:dyDescent="0.3">
      <c r="N454" s="8">
        <v>36</v>
      </c>
      <c r="O454" s="35">
        <f t="shared" si="316"/>
        <v>229086.76527677779</v>
      </c>
      <c r="P454" s="34" t="str">
        <f t="shared" si="281"/>
        <v>324,571428571429</v>
      </c>
      <c r="Q454" s="4" t="str">
        <f t="shared" si="282"/>
        <v>1+32900,4479464309i</v>
      </c>
      <c r="R454" s="4">
        <f t="shared" si="291"/>
        <v>32900.447961628262</v>
      </c>
      <c r="S454" s="4">
        <f t="shared" si="292"/>
        <v>1.570765932071964</v>
      </c>
      <c r="T454" s="4" t="str">
        <f t="shared" si="283"/>
        <v>1+0,28787891953127i</v>
      </c>
      <c r="U454" s="4">
        <f t="shared" si="293"/>
        <v>1.0406124505840257</v>
      </c>
      <c r="V454" s="4">
        <f t="shared" si="294"/>
        <v>0.2802997779153415</v>
      </c>
      <c r="W454" t="str">
        <f t="shared" si="284"/>
        <v>1-2,4989489542645i</v>
      </c>
      <c r="X454" s="4">
        <f t="shared" si="295"/>
        <v>2.6916065604058179</v>
      </c>
      <c r="Y454" s="4">
        <f t="shared" si="296"/>
        <v>-1.190144925296837</v>
      </c>
      <c r="Z454" t="str">
        <f t="shared" si="285"/>
        <v>0,790077015900089+2,14259883338638i</v>
      </c>
      <c r="AA454" s="4">
        <f t="shared" si="297"/>
        <v>2.2836268197501677</v>
      </c>
      <c r="AB454" s="4">
        <f t="shared" si="298"/>
        <v>1.2175189257354966</v>
      </c>
      <c r="AC454" s="48" t="str">
        <f t="shared" si="299"/>
        <v>-0,0102739470931842+0,00639179510402072i</v>
      </c>
      <c r="AD454" s="20">
        <f t="shared" si="300"/>
        <v>-38.34432126220463</v>
      </c>
      <c r="AE454" s="44">
        <f t="shared" si="301"/>
        <v>148.11275861197959</v>
      </c>
      <c r="AF454" t="str">
        <f t="shared" si="286"/>
        <v>-20791,6666666667</v>
      </c>
      <c r="AG454" t="str">
        <f t="shared" si="302"/>
        <v>1439394,59765635i</v>
      </c>
      <c r="AH454">
        <f t="shared" si="303"/>
        <v>1439394.5976563499</v>
      </c>
      <c r="AI454">
        <f t="shared" si="304"/>
        <v>1.5707963267948966</v>
      </c>
      <c r="AJ454" t="str">
        <f t="shared" si="287"/>
        <v>-38647,038985316+1688,72509046778i</v>
      </c>
      <c r="AK454">
        <f t="shared" si="305"/>
        <v>38683.916745382834</v>
      </c>
      <c r="AL454">
        <f t="shared" si="306"/>
        <v>3.0979243267137044</v>
      </c>
      <c r="AM454" t="str">
        <f t="shared" si="288"/>
        <v>1+2321,45560710016i</v>
      </c>
      <c r="AN454">
        <f t="shared" si="307"/>
        <v>2321.4558224822567</v>
      </c>
      <c r="AO454">
        <f t="shared" si="308"/>
        <v>1.5703655626075097</v>
      </c>
      <c r="AP454" t="str">
        <f t="shared" si="289"/>
        <v>1+1630,54620022511i</v>
      </c>
      <c r="AQ454">
        <f t="shared" si="309"/>
        <v>1630.5465068707927</v>
      </c>
      <c r="AR454">
        <f t="shared" si="310"/>
        <v>1.5701830354484223</v>
      </c>
      <c r="AS454" s="42" t="str">
        <f t="shared" si="311"/>
        <v>-0,0602279474574325+1,41214070120341i</v>
      </c>
      <c r="AT454">
        <f t="shared" si="312"/>
        <v>3.0054521881800884</v>
      </c>
      <c r="AU454" s="44">
        <f t="shared" si="313"/>
        <v>92.44219085273005</v>
      </c>
      <c r="AV454" s="42" t="str">
        <f t="shared" si="290"/>
        <v>-0,0084073352744316-0,0148932235519795i</v>
      </c>
      <c r="AW454" s="20">
        <f t="shared" si="314"/>
        <v>-35.338869074024537</v>
      </c>
      <c r="AX454" s="44">
        <f t="shared" si="315"/>
        <v>-119.44505053529035</v>
      </c>
    </row>
    <row r="455" spans="14:50" x14ac:dyDescent="0.3">
      <c r="N455" s="8">
        <v>37</v>
      </c>
      <c r="O455" s="35">
        <f t="shared" si="316"/>
        <v>234422.88153199267</v>
      </c>
      <c r="P455" s="34" t="str">
        <f t="shared" si="281"/>
        <v>324,571428571429</v>
      </c>
      <c r="Q455" s="4" t="str">
        <f t="shared" si="282"/>
        <v>1+33666,7978264805i</v>
      </c>
      <c r="R455" s="4">
        <f t="shared" si="291"/>
        <v>33666.797841331929</v>
      </c>
      <c r="S455" s="4">
        <f t="shared" si="292"/>
        <v>1.5707666239403257</v>
      </c>
      <c r="T455" s="4" t="str">
        <f t="shared" si="283"/>
        <v>1+0,294584480981704i</v>
      </c>
      <c r="U455" s="4">
        <f t="shared" si="293"/>
        <v>1.0424874178786332</v>
      </c>
      <c r="V455" s="4">
        <f t="shared" si="294"/>
        <v>0.28648105301686061</v>
      </c>
      <c r="W455" t="str">
        <f t="shared" si="284"/>
        <v>1-2,55715695296618i</v>
      </c>
      <c r="X455" s="4">
        <f t="shared" si="295"/>
        <v>2.7457333596151101</v>
      </c>
      <c r="Y455" s="4">
        <f t="shared" si="296"/>
        <v>-1.1980211340722129</v>
      </c>
      <c r="Z455" t="str">
        <f t="shared" si="285"/>
        <v>0,780183650456948+2,1925063714732i</v>
      </c>
      <c r="AA455" s="4">
        <f t="shared" si="297"/>
        <v>2.3271808518873018</v>
      </c>
      <c r="AB455" s="4">
        <f t="shared" si="298"/>
        <v>1.2289274541447008</v>
      </c>
      <c r="AC455" s="48" t="str">
        <f t="shared" si="299"/>
        <v>-0,00998546491873871+0,00639531971314005i</v>
      </c>
      <c r="AD455" s="20">
        <f t="shared" si="300"/>
        <v>-38.519849534735087</v>
      </c>
      <c r="AE455" s="44">
        <f t="shared" si="301"/>
        <v>147.36194589647337</v>
      </c>
      <c r="AF455" t="str">
        <f t="shared" si="286"/>
        <v>-20791,6666666667</v>
      </c>
      <c r="AG455" t="str">
        <f t="shared" si="302"/>
        <v>1472922,40490852i</v>
      </c>
      <c r="AH455">
        <f t="shared" si="303"/>
        <v>1472922.4049085199</v>
      </c>
      <c r="AI455">
        <f t="shared" si="304"/>
        <v>1.5707963267948966</v>
      </c>
      <c r="AJ455" t="str">
        <f t="shared" si="287"/>
        <v>-40468,4649477086+1728,06055096437i</v>
      </c>
      <c r="AK455">
        <f t="shared" si="305"/>
        <v>40505.34345603946</v>
      </c>
      <c r="AL455">
        <f t="shared" si="306"/>
        <v>3.0989171683804178</v>
      </c>
      <c r="AM455" t="str">
        <f t="shared" si="288"/>
        <v>1+2375,52925463646i</v>
      </c>
      <c r="AN455">
        <f t="shared" si="307"/>
        <v>2375.529465115862</v>
      </c>
      <c r="AO455">
        <f t="shared" si="308"/>
        <v>1.5703753679963555</v>
      </c>
      <c r="AP455" t="str">
        <f t="shared" si="289"/>
        <v>1+1668,52650028037i</v>
      </c>
      <c r="AQ455">
        <f t="shared" si="309"/>
        <v>1668.5267999459463</v>
      </c>
      <c r="AR455">
        <f t="shared" si="310"/>
        <v>1.57019699566045</v>
      </c>
      <c r="AS455" s="42" t="str">
        <f t="shared" si="311"/>
        <v>-0,0575220423619161+1,38011040973818i</v>
      </c>
      <c r="AT455">
        <f t="shared" si="312"/>
        <v>2.805814496655461</v>
      </c>
      <c r="AU455" s="44">
        <f t="shared" si="313"/>
        <v>92.386666884130278</v>
      </c>
      <c r="AV455" s="42" t="str">
        <f t="shared" si="290"/>
        <v>-0,00825186297364926-0,0141489159318839i</v>
      </c>
      <c r="AW455" s="20">
        <f t="shared" si="314"/>
        <v>-35.714035038079643</v>
      </c>
      <c r="AX455" s="44">
        <f t="shared" si="315"/>
        <v>-120.25138721939641</v>
      </c>
    </row>
    <row r="456" spans="14:50" x14ac:dyDescent="0.3">
      <c r="N456" s="8">
        <v>38</v>
      </c>
      <c r="O456" s="35">
        <f t="shared" si="316"/>
        <v>239883.29190194907</v>
      </c>
      <c r="P456" s="34" t="str">
        <f t="shared" si="281"/>
        <v>324,571428571429</v>
      </c>
      <c r="Q456" s="4" t="str">
        <f t="shared" si="282"/>
        <v>1+34450,9982883703i</v>
      </c>
      <c r="R456" s="4">
        <f t="shared" si="291"/>
        <v>34450.998302883665</v>
      </c>
      <c r="S456" s="4">
        <f t="shared" si="292"/>
        <v>1.570767300059841</v>
      </c>
      <c r="T456" s="4" t="str">
        <f t="shared" si="283"/>
        <v>1+0,30144623502324i</v>
      </c>
      <c r="U456" s="4">
        <f t="shared" si="293"/>
        <v>1.0444471420850776</v>
      </c>
      <c r="V456" s="4">
        <f t="shared" si="294"/>
        <v>0.29278308689628474</v>
      </c>
      <c r="W456" t="str">
        <f t="shared" si="284"/>
        <v>1-2,61672079013229i</v>
      </c>
      <c r="X456" s="4">
        <f t="shared" si="295"/>
        <v>2.8012903622278351</v>
      </c>
      <c r="Y456" s="4">
        <f t="shared" si="296"/>
        <v>-1.205765226383074</v>
      </c>
      <c r="Z456" t="str">
        <f t="shared" si="285"/>
        <v>0,769824025065136+2,24357640545942i</v>
      </c>
      <c r="AA456" s="4">
        <f t="shared" si="297"/>
        <v>2.3719747293556264</v>
      </c>
      <c r="AB456" s="4">
        <f t="shared" si="298"/>
        <v>1.2402605571841143</v>
      </c>
      <c r="AC456" s="48" t="str">
        <f t="shared" si="299"/>
        <v>-0,00970509805626812+0,00639205818677463i</v>
      </c>
      <c r="AD456" s="20">
        <f t="shared" si="300"/>
        <v>-38.695139779999224</v>
      </c>
      <c r="AE456" s="44">
        <f t="shared" si="301"/>
        <v>146.62994432280081</v>
      </c>
      <c r="AF456" t="str">
        <f t="shared" si="286"/>
        <v>-20791,6666666667</v>
      </c>
      <c r="AG456" t="str">
        <f t="shared" si="302"/>
        <v>1507231,1751162i</v>
      </c>
      <c r="AH456">
        <f t="shared" si="303"/>
        <v>1507231.1751162</v>
      </c>
      <c r="AI456">
        <f t="shared" si="304"/>
        <v>1.5707963267948966</v>
      </c>
      <c r="AJ456" t="str">
        <f t="shared" si="287"/>
        <v>-42375,7320710906+1768,31225203866i</v>
      </c>
      <c r="AK456">
        <f t="shared" si="305"/>
        <v>42412.611294066373</v>
      </c>
      <c r="AL456">
        <f t="shared" si="306"/>
        <v>3.0998874882511682</v>
      </c>
      <c r="AM456" t="str">
        <f t="shared" si="288"/>
        <v>1+2430,86243922741i</v>
      </c>
      <c r="AN456">
        <f t="shared" si="307"/>
        <v>2430.8626449157164</v>
      </c>
      <c r="AO456">
        <f t="shared" si="308"/>
        <v>1.5703849501873797</v>
      </c>
      <c r="AP456" t="str">
        <f t="shared" si="289"/>
        <v>1+1707,39147517163i</v>
      </c>
      <c r="AQ456">
        <f t="shared" si="309"/>
        <v>1707.3917680159861</v>
      </c>
      <c r="AR456">
        <f t="shared" si="310"/>
        <v>1.5702106380994814</v>
      </c>
      <c r="AS456" s="42" t="str">
        <f t="shared" si="311"/>
        <v>-0,0549375015051837+1,34880162804338i</v>
      </c>
      <c r="AT456">
        <f t="shared" si="312"/>
        <v>2.6061605267871961</v>
      </c>
      <c r="AU456" s="44">
        <f t="shared" si="313"/>
        <v>92.332402324041553</v>
      </c>
      <c r="AV456" s="42" t="str">
        <f t="shared" si="290"/>
        <v>-0,00808844464979545-0,0134414157648722i</v>
      </c>
      <c r="AW456" s="20">
        <f t="shared" si="314"/>
        <v>-36.088979253212045</v>
      </c>
      <c r="AX456" s="44">
        <f t="shared" si="315"/>
        <v>-121.03765335315771</v>
      </c>
    </row>
    <row r="457" spans="14:50" x14ac:dyDescent="0.3">
      <c r="N457" s="8">
        <v>39</v>
      </c>
      <c r="O457" s="35">
        <f t="shared" si="316"/>
        <v>245470.89156850305</v>
      </c>
      <c r="P457" s="34" t="str">
        <f t="shared" si="281"/>
        <v>324,571428571429</v>
      </c>
      <c r="Q457" s="4" t="str">
        <f t="shared" si="282"/>
        <v>1+35253,4651255655i</v>
      </c>
      <c r="R457" s="4">
        <f t="shared" si="291"/>
        <v>35253.465139748499</v>
      </c>
      <c r="S457" s="4">
        <f t="shared" si="292"/>
        <v>1.5707679607889971</v>
      </c>
      <c r="T457" s="4" t="str">
        <f t="shared" si="283"/>
        <v>1+0,308467819848698i</v>
      </c>
      <c r="U457" s="4">
        <f t="shared" si="293"/>
        <v>1.0464952918585964</v>
      </c>
      <c r="V457" s="4">
        <f t="shared" si="294"/>
        <v>0.29920721790894383</v>
      </c>
      <c r="W457" t="str">
        <f t="shared" si="284"/>
        <v>1-2,67767204729773i</v>
      </c>
      <c r="X457" s="4">
        <f t="shared" si="295"/>
        <v>2.8583085195408167</v>
      </c>
      <c r="Y457" s="4">
        <f t="shared" si="296"/>
        <v>-1.2133775918643637</v>
      </c>
      <c r="Z457" t="str">
        <f t="shared" si="285"/>
        <v>0,758976165570257+2,29583601335307i</v>
      </c>
      <c r="AA457" s="4">
        <f t="shared" si="297"/>
        <v>2.4180380104772237</v>
      </c>
      <c r="AB457" s="4">
        <f t="shared" si="298"/>
        <v>1.2515184745707419</v>
      </c>
      <c r="AC457" s="48" t="str">
        <f t="shared" si="299"/>
        <v>-0,00943278374813815+0,00638244315507634i</v>
      </c>
      <c r="AD457" s="20">
        <f t="shared" si="300"/>
        <v>-38.870165301222464</v>
      </c>
      <c r="AE457" s="44">
        <f t="shared" si="301"/>
        <v>145.91679449332361</v>
      </c>
      <c r="AF457" t="str">
        <f t="shared" si="286"/>
        <v>-20791,6666666667</v>
      </c>
      <c r="AG457" t="str">
        <f t="shared" si="302"/>
        <v>1542339,09924349i</v>
      </c>
      <c r="AH457">
        <f t="shared" si="303"/>
        <v>1542339.09924349</v>
      </c>
      <c r="AI457">
        <f t="shared" si="304"/>
        <v>1.5707963267948966</v>
      </c>
      <c r="AJ457" t="str">
        <f t="shared" si="287"/>
        <v>-44372,8859247429+1809,50153567536i</v>
      </c>
      <c r="AK457">
        <f t="shared" si="305"/>
        <v>44409.765830252443</v>
      </c>
      <c r="AL457">
        <f t="shared" si="306"/>
        <v>3.1008357937874336</v>
      </c>
      <c r="AM457" t="str">
        <f t="shared" si="288"/>
        <v>1+2487,4844992599i</v>
      </c>
      <c r="AN457">
        <f t="shared" si="307"/>
        <v>2487.48470026617</v>
      </c>
      <c r="AO457">
        <f t="shared" si="308"/>
        <v>1.5703943142611798</v>
      </c>
      <c r="AP457" t="str">
        <f t="shared" si="289"/>
        <v>1+1747,16173162303i</v>
      </c>
      <c r="AQ457">
        <f t="shared" si="309"/>
        <v>1747.1620178014357</v>
      </c>
      <c r="AR457">
        <f t="shared" si="310"/>
        <v>1.5702239699988982</v>
      </c>
      <c r="AS457" s="42" t="str">
        <f t="shared" si="311"/>
        <v>-0,0524688995967245+1,31819843718009i</v>
      </c>
      <c r="AT457">
        <f t="shared" si="312"/>
        <v>2.4064910087421496</v>
      </c>
      <c r="AU457" s="44">
        <f t="shared" si="313"/>
        <v>92.279368802601937</v>
      </c>
      <c r="AV457" s="42" t="str">
        <f t="shared" si="290"/>
        <v>-0,00791839880901372-0,012769160564139i</v>
      </c>
      <c r="AW457" s="20">
        <f t="shared" si="314"/>
        <v>-36.463674292480299</v>
      </c>
      <c r="AX457" s="44">
        <f t="shared" si="315"/>
        <v>-121.80383670407441</v>
      </c>
    </row>
    <row r="458" spans="14:50" x14ac:dyDescent="0.3">
      <c r="N458" s="8">
        <v>40</v>
      </c>
      <c r="O458" s="35">
        <f t="shared" si="316"/>
        <v>251188.64315095844</v>
      </c>
      <c r="P458" s="34" t="str">
        <f t="shared" si="281"/>
        <v>324,571428571429</v>
      </c>
      <c r="Q458" s="4" t="str">
        <f t="shared" si="282"/>
        <v>1+36074,6238166053i</v>
      </c>
      <c r="R458" s="4">
        <f t="shared" si="291"/>
        <v>36074.623830465462</v>
      </c>
      <c r="S458" s="4">
        <f t="shared" si="292"/>
        <v>1.5707686064781214</v>
      </c>
      <c r="T458" s="4" t="str">
        <f t="shared" si="283"/>
        <v>1+0,315652958395296i</v>
      </c>
      <c r="U458" s="4">
        <f t="shared" si="293"/>
        <v>1.0486356803693562</v>
      </c>
      <c r="V458" s="4">
        <f t="shared" si="294"/>
        <v>0.30575473047029689</v>
      </c>
      <c r="W458" t="str">
        <f t="shared" si="284"/>
        <v>1-2,74004304162583i</v>
      </c>
      <c r="X458" s="4">
        <f t="shared" si="295"/>
        <v>2.9168194784665933</v>
      </c>
      <c r="Y458" s="4">
        <f t="shared" si="296"/>
        <v>-1.2208587367112957</v>
      </c>
      <c r="Z458" t="str">
        <f t="shared" si="285"/>
        <v>0,747617062207921+2,34931290388999i</v>
      </c>
      <c r="AA458" s="4">
        <f t="shared" si="297"/>
        <v>2.4654010611031261</v>
      </c>
      <c r="AB458" s="4">
        <f t="shared" si="298"/>
        <v>1.2627016428085569</v>
      </c>
      <c r="AC458" s="48" t="str">
        <f t="shared" si="299"/>
        <v>-0,00916844588866812+0,00636689392812642i</v>
      </c>
      <c r="AD458" s="20">
        <f t="shared" si="300"/>
        <v>-39.044898409062093</v>
      </c>
      <c r="AE458" s="44">
        <f t="shared" si="301"/>
        <v>145.22251596686951</v>
      </c>
      <c r="AF458" t="str">
        <f t="shared" si="286"/>
        <v>-20791,6666666667</v>
      </c>
      <c r="AG458" t="str">
        <f t="shared" si="302"/>
        <v>1578264,79197648i</v>
      </c>
      <c r="AH458">
        <f t="shared" si="303"/>
        <v>1578264.79197648</v>
      </c>
      <c r="AI458">
        <f t="shared" si="304"/>
        <v>1.5707963267948966</v>
      </c>
      <c r="AJ458" t="str">
        <f t="shared" si="287"/>
        <v>-46464,1627397526+1851,65024097786i</v>
      </c>
      <c r="AK458">
        <f t="shared" si="305"/>
        <v>46501.043297125361</v>
      </c>
      <c r="AL458">
        <f t="shared" si="306"/>
        <v>3.101762581245088</v>
      </c>
      <c r="AM458" t="str">
        <f t="shared" si="288"/>
        <v>1+2545,42545649967i</v>
      </c>
      <c r="AN458">
        <f t="shared" si="307"/>
        <v>2545.4256529304785</v>
      </c>
      <c r="AO458">
        <f t="shared" si="308"/>
        <v>1.5704034651827052</v>
      </c>
      <c r="AP458" t="str">
        <f t="shared" si="289"/>
        <v>1+1787,85835635096i</v>
      </c>
      <c r="AQ458">
        <f t="shared" si="309"/>
        <v>1787.858636015151</v>
      </c>
      <c r="AR458">
        <f t="shared" si="310"/>
        <v>1.5702369984274311</v>
      </c>
      <c r="AS458" s="42" t="str">
        <f t="shared" si="311"/>
        <v>-0,0501110522805664+1,28828524709112i</v>
      </c>
      <c r="AT458">
        <f t="shared" si="312"/>
        <v>2.2068066400419122</v>
      </c>
      <c r="AU458" s="44">
        <f t="shared" si="313"/>
        <v>92.227538575923347</v>
      </c>
      <c r="AV458" s="42" t="str">
        <f t="shared" si="290"/>
        <v>-0,0077429350461407-0,0121306253316215i</v>
      </c>
      <c r="AW458" s="20">
        <f t="shared" si="314"/>
        <v>-36.838091769020195</v>
      </c>
      <c r="AX458" s="44">
        <f t="shared" si="315"/>
        <v>-122.5499454572072</v>
      </c>
    </row>
    <row r="459" spans="14:50" x14ac:dyDescent="0.3">
      <c r="N459" s="8">
        <v>41</v>
      </c>
      <c r="O459" s="35">
        <f t="shared" si="316"/>
        <v>257039.57827688678</v>
      </c>
      <c r="P459" s="34" t="str">
        <f t="shared" si="281"/>
        <v>324,571428571429</v>
      </c>
      <c r="Q459" s="4" t="str">
        <f t="shared" si="282"/>
        <v>1+36914,9097506965i</v>
      </c>
      <c r="R459" s="4">
        <f t="shared" si="291"/>
        <v>36914.909764241151</v>
      </c>
      <c r="S459" s="4">
        <f t="shared" si="292"/>
        <v>1.5707692374695668</v>
      </c>
      <c r="T459" s="4" t="str">
        <f t="shared" si="283"/>
        <v>1+0,323005460318594i</v>
      </c>
      <c r="U459" s="4">
        <f t="shared" si="293"/>
        <v>1.0508722697814548</v>
      </c>
      <c r="V459" s="4">
        <f t="shared" si="294"/>
        <v>0.3124268498190122</v>
      </c>
      <c r="W459" t="str">
        <f t="shared" si="284"/>
        <v>1-2,80386684304335i</v>
      </c>
      <c r="X459" s="4">
        <f t="shared" si="295"/>
        <v>2.9768556017243903</v>
      </c>
      <c r="Y459" s="4">
        <f t="shared" si="296"/>
        <v>-1.2282092769299791</v>
      </c>
      <c r="Z459" t="str">
        <f t="shared" si="285"/>
        <v>0,735722620796961+2,40403543122537i</v>
      </c>
      <c r="AA459" s="4">
        <f t="shared" si="297"/>
        <v>2.5140950915467175</v>
      </c>
      <c r="AB459" s="4">
        <f t="shared" si="298"/>
        <v>1.2738106890744363</v>
      </c>
      <c r="AC459" s="48" t="str">
        <f t="shared" si="299"/>
        <v>-0,00891199602505035+0,00634581612191712i</v>
      </c>
      <c r="AD459" s="20">
        <f t="shared" si="300"/>
        <v>-39.219310466474425</v>
      </c>
      <c r="AE459" s="44">
        <f t="shared" si="301"/>
        <v>144.5471076956895</v>
      </c>
      <c r="AF459" t="str">
        <f t="shared" si="286"/>
        <v>-20791,6666666667</v>
      </c>
      <c r="AG459" t="str">
        <f t="shared" si="302"/>
        <v>1615027,30159297i</v>
      </c>
      <c r="AH459">
        <f t="shared" si="303"/>
        <v>1615027.30159297</v>
      </c>
      <c r="AI459">
        <f t="shared" si="304"/>
        <v>1.5707963267948966</v>
      </c>
      <c r="AJ459" t="str">
        <f t="shared" si="287"/>
        <v>-48653,9983946256+1894,78071574762i</v>
      </c>
      <c r="AK459">
        <f t="shared" si="305"/>
        <v>48690.879574567145</v>
      </c>
      <c r="AL459">
        <f t="shared" si="306"/>
        <v>3.1026683359065372</v>
      </c>
      <c r="AM459" t="str">
        <f t="shared" si="288"/>
        <v>1+2604,71603200914i</v>
      </c>
      <c r="AN459">
        <f t="shared" si="307"/>
        <v>2604.7162239686377</v>
      </c>
      <c r="AO459">
        <f t="shared" si="308"/>
        <v>1.5704124078038897</v>
      </c>
      <c r="AP459" t="str">
        <f t="shared" si="289"/>
        <v>1+1829,50292724452i</v>
      </c>
      <c r="AQ459">
        <f t="shared" si="309"/>
        <v>1829.5032005427777</v>
      </c>
      <c r="AR459">
        <f t="shared" si="310"/>
        <v>1.5702497302929075</v>
      </c>
      <c r="AS459" s="42" t="str">
        <f t="shared" si="311"/>
        <v>-0,0478590055753299+1,25904679132709i</v>
      </c>
      <c r="AT459">
        <f t="shared" si="312"/>
        <v>2.0071080870129068</v>
      </c>
      <c r="AU459" s="44">
        <f t="shared" si="313"/>
        <v>92.176884513156764</v>
      </c>
      <c r="AV459" s="42" t="str">
        <f t="shared" si="290"/>
        <v>-0,00756316015920126-0,0115243244488183i</v>
      </c>
      <c r="AW459" s="20">
        <f t="shared" si="314"/>
        <v>-37.212202379461502</v>
      </c>
      <c r="AX459" s="44">
        <f t="shared" si="315"/>
        <v>-123.27600779115365</v>
      </c>
    </row>
    <row r="460" spans="14:50" x14ac:dyDescent="0.3">
      <c r="N460" s="8">
        <v>42</v>
      </c>
      <c r="O460" s="35">
        <f t="shared" si="316"/>
        <v>263026.79918953858</v>
      </c>
      <c r="P460" s="34" t="str">
        <f t="shared" si="281"/>
        <v>324,571428571429</v>
      </c>
      <c r="Q460" s="4" t="str">
        <f t="shared" si="282"/>
        <v>1+37774,7684585641i</v>
      </c>
      <c r="R460" s="4">
        <f t="shared" si="291"/>
        <v>37774.768471800438</v>
      </c>
      <c r="S460" s="4">
        <f t="shared" si="292"/>
        <v>1.5707698540978936</v>
      </c>
      <c r="T460" s="4" t="str">
        <f t="shared" si="283"/>
        <v>1+0,330529224012436i</v>
      </c>
      <c r="U460" s="4">
        <f t="shared" si="293"/>
        <v>1.0532091757700666</v>
      </c>
      <c r="V460" s="4">
        <f t="shared" si="294"/>
        <v>0.31922473657390671</v>
      </c>
      <c r="W460" t="str">
        <f t="shared" si="284"/>
        <v>1-2,86917729177462i</v>
      </c>
      <c r="X460" s="4">
        <f t="shared" si="295"/>
        <v>3.0384499883386504</v>
      </c>
      <c r="Y460" s="4">
        <f t="shared" si="296"/>
        <v>-1.2354299316842221</v>
      </c>
      <c r="Z460" t="str">
        <f t="shared" si="285"/>
        <v>0,723267611632425+2,46003260996756i</v>
      </c>
      <c r="AA460" s="4">
        <f t="shared" si="297"/>
        <v>2.5641521951983033</v>
      </c>
      <c r="AB460" s="4">
        <f t="shared" si="298"/>
        <v>1.2848464248577927</v>
      </c>
      <c r="AC460" s="48" t="str">
        <f t="shared" si="299"/>
        <v>-0,00866333435067671+0,00631960136717464i</v>
      </c>
      <c r="AD460" s="20">
        <f t="shared" si="300"/>
        <v>-39.393371934743584</v>
      </c>
      <c r="AE460" s="44">
        <f t="shared" si="301"/>
        <v>143.89054845920523</v>
      </c>
      <c r="AF460" t="str">
        <f t="shared" si="286"/>
        <v>-20791,6666666667</v>
      </c>
      <c r="AG460" t="str">
        <f t="shared" si="302"/>
        <v>1652646,12006218i</v>
      </c>
      <c r="AH460">
        <f t="shared" si="303"/>
        <v>1652646.1200621801</v>
      </c>
      <c r="AI460">
        <f t="shared" si="304"/>
        <v>1.5707963267948966</v>
      </c>
      <c r="AJ460" t="str">
        <f t="shared" si="287"/>
        <v>-50947,0378243831+1938,91582833325i</v>
      </c>
      <c r="AK460">
        <f t="shared" si="305"/>
        <v>50983.919598913577</v>
      </c>
      <c r="AL460">
        <f t="shared" si="306"/>
        <v>3.1035535323090939</v>
      </c>
      <c r="AM460" t="str">
        <f t="shared" si="288"/>
        <v>1+2665,38766243628i</v>
      </c>
      <c r="AN460">
        <f t="shared" si="307"/>
        <v>2665.3878500262467</v>
      </c>
      <c r="AO460">
        <f t="shared" si="308"/>
        <v>1.5704211468662232</v>
      </c>
      <c r="AP460" t="str">
        <f t="shared" si="289"/>
        <v>1+1872,11752480644i</v>
      </c>
      <c r="AQ460">
        <f t="shared" si="309"/>
        <v>1872.1177918836711</v>
      </c>
      <c r="AR460">
        <f t="shared" si="310"/>
        <v>1.5702621723459145</v>
      </c>
      <c r="AS460" s="42" t="str">
        <f t="shared" si="311"/>
        <v>-0,0457080257647647+1,23046812174731i</v>
      </c>
      <c r="AT460">
        <f t="shared" si="312"/>
        <v>1.8073959861730426</v>
      </c>
      <c r="AU460" s="44">
        <f t="shared" si="313"/>
        <v>92.127380083764507</v>
      </c>
      <c r="AV460" s="42" t="str">
        <f t="shared" si="290"/>
        <v>-0,00738008411474961-0,01094881324866i</v>
      </c>
      <c r="AW460" s="20">
        <f t="shared" si="314"/>
        <v>-37.585975948570535</v>
      </c>
      <c r="AX460" s="44">
        <f t="shared" si="315"/>
        <v>-123.98207145703023</v>
      </c>
    </row>
    <row r="461" spans="14:50" x14ac:dyDescent="0.3">
      <c r="N461" s="8">
        <v>43</v>
      </c>
      <c r="O461" s="35">
        <f t="shared" si="316"/>
        <v>269153.48039269145</v>
      </c>
      <c r="P461" s="34" t="str">
        <f t="shared" si="281"/>
        <v>324,571428571429</v>
      </c>
      <c r="Q461" s="4" t="str">
        <f t="shared" si="282"/>
        <v>1+38654,6558486768i</v>
      </c>
      <c r="R461" s="4">
        <f t="shared" si="291"/>
        <v>38654.655861611849</v>
      </c>
      <c r="S461" s="4">
        <f t="shared" si="292"/>
        <v>1.5707704566900458</v>
      </c>
      <c r="T461" s="4" t="str">
        <f t="shared" si="283"/>
        <v>1+0,338228238675922i</v>
      </c>
      <c r="U461" s="4">
        <f t="shared" si="293"/>
        <v>1.0556506720680929</v>
      </c>
      <c r="V461" s="4">
        <f t="shared" si="294"/>
        <v>0.32614948109026098</v>
      </c>
      <c r="W461" t="str">
        <f t="shared" si="284"/>
        <v>1-2,93600901628405i</v>
      </c>
      <c r="X461" s="4">
        <f t="shared" si="295"/>
        <v>3.1016364944495405</v>
      </c>
      <c r="Y461" s="4">
        <f t="shared" si="296"/>
        <v>-1.2425215167605204</v>
      </c>
      <c r="Z461" t="str">
        <f t="shared" si="285"/>
        <v>0,710225615970003+2,51733413056194i</v>
      </c>
      <c r="AA461" s="4">
        <f t="shared" si="297"/>
        <v>2.6156053889055988</v>
      </c>
      <c r="AB461" s="4">
        <f t="shared" si="298"/>
        <v>1.2958098393984254</v>
      </c>
      <c r="AC461" s="48" t="str">
        <f t="shared" si="299"/>
        <v>-0,00842235068459424+0,00628862709676525i</v>
      </c>
      <c r="AD461" s="20">
        <f t="shared" si="300"/>
        <v>-39.567052420718476</v>
      </c>
      <c r="AE461" s="44">
        <f t="shared" si="301"/>
        <v>143.25279729105108</v>
      </c>
      <c r="AF461" t="str">
        <f t="shared" si="286"/>
        <v>-20791,6666666667</v>
      </c>
      <c r="AG461" t="str">
        <f t="shared" si="302"/>
        <v>1691141,19337961i</v>
      </c>
      <c r="AH461">
        <f t="shared" si="303"/>
        <v>1691141.1933796101</v>
      </c>
      <c r="AI461">
        <f t="shared" si="304"/>
        <v>1.5707963267948966</v>
      </c>
      <c r="AJ461" t="str">
        <f t="shared" si="287"/>
        <v>-53348,1448730887+1984,07897975564i</v>
      </c>
      <c r="AK461">
        <f t="shared" si="305"/>
        <v>53385.027215484006</v>
      </c>
      <c r="AL461">
        <f t="shared" si="306"/>
        <v>3.1044186344695608</v>
      </c>
      <c r="AM461" t="str">
        <f t="shared" si="288"/>
        <v>1+2727,47251668263i</v>
      </c>
      <c r="AN461">
        <f t="shared" si="307"/>
        <v>2727.4727000025277</v>
      </c>
      <c r="AO461">
        <f t="shared" si="308"/>
        <v>1.570429687003267</v>
      </c>
      <c r="AP461" t="str">
        <f t="shared" si="289"/>
        <v>1+1915,72474386042i</v>
      </c>
      <c r="AQ461">
        <f t="shared" si="309"/>
        <v>1915.7250048582314</v>
      </c>
      <c r="AR461">
        <f t="shared" si="310"/>
        <v>1.5702743311833776</v>
      </c>
      <c r="AS461" s="42" t="str">
        <f t="shared" si="311"/>
        <v>-0,0436535897206717+1,20253460320547i</v>
      </c>
      <c r="AT461">
        <f t="shared" si="312"/>
        <v>1.607670945557631</v>
      </c>
      <c r="AU461" s="44">
        <f t="shared" si="313"/>
        <v>92.078999345001634</v>
      </c>
      <c r="AV461" s="42" t="str">
        <f t="shared" si="290"/>
        <v>-0,00719462584924687-0,0104026892857443i</v>
      </c>
      <c r="AW461" s="20">
        <f t="shared" si="314"/>
        <v>-37.959381475160868</v>
      </c>
      <c r="AX461" s="44">
        <f t="shared" si="315"/>
        <v>-124.66820336394736</v>
      </c>
    </row>
    <row r="462" spans="14:50" x14ac:dyDescent="0.3">
      <c r="N462" s="8">
        <v>44</v>
      </c>
      <c r="O462" s="35">
        <f t="shared" si="316"/>
        <v>275422.87033381703</v>
      </c>
      <c r="P462" s="34" t="str">
        <f t="shared" si="281"/>
        <v>324,571428571429</v>
      </c>
      <c r="Q462" s="4" t="str">
        <f t="shared" si="282"/>
        <v>1+39555,0384489753i</v>
      </c>
      <c r="R462" s="4">
        <f t="shared" si="291"/>
        <v>39555.038461615906</v>
      </c>
      <c r="S462" s="4">
        <f t="shared" si="292"/>
        <v>1.5707710455655262</v>
      </c>
      <c r="T462" s="4" t="str">
        <f t="shared" si="283"/>
        <v>1+0,346106586428534i</v>
      </c>
      <c r="U462" s="4">
        <f t="shared" si="293"/>
        <v>1.0582011950329731</v>
      </c>
      <c r="V462" s="4">
        <f t="shared" si="294"/>
        <v>0.33320209762288672</v>
      </c>
      <c r="W462" t="str">
        <f t="shared" si="284"/>
        <v>1-3,00439745163658i</v>
      </c>
      <c r="X462" s="4">
        <f t="shared" si="295"/>
        <v>3.1664497544411434</v>
      </c>
      <c r="Y462" s="4">
        <f t="shared" si="296"/>
        <v>-1.2494849381705684</v>
      </c>
      <c r="Z462" t="str">
        <f t="shared" si="285"/>
        <v>0,696568969988324+2,5759703750332i</v>
      </c>
      <c r="AA462" s="4">
        <f t="shared" si="297"/>
        <v>2.6684886552127742</v>
      </c>
      <c r="AB462" s="4">
        <f t="shared" si="298"/>
        <v>1.3067020929645257</v>
      </c>
      <c r="AC462" s="48" t="str">
        <f t="shared" si="299"/>
        <v>-0,00818892543150446+0,00625325640708308i</v>
      </c>
      <c r="AD462" s="20">
        <f t="shared" si="300"/>
        <v>-39.740320725338613</v>
      </c>
      <c r="AE462" s="44">
        <f t="shared" si="301"/>
        <v>142.63379389632433</v>
      </c>
      <c r="AF462" t="str">
        <f t="shared" si="286"/>
        <v>-20791,6666666667</v>
      </c>
      <c r="AG462" t="str">
        <f t="shared" si="302"/>
        <v>1730532,93214267i</v>
      </c>
      <c r="AH462">
        <f t="shared" si="303"/>
        <v>1730532.93214267</v>
      </c>
      <c r="AI462">
        <f t="shared" si="304"/>
        <v>1.5707963267948966</v>
      </c>
      <c r="AJ462" t="str">
        <f t="shared" si="287"/>
        <v>-55862,4126107148+2030,2941161155i</v>
      </c>
      <c r="AK462">
        <f t="shared" si="305"/>
        <v>55899.295495450402</v>
      </c>
      <c r="AL462">
        <f t="shared" si="306"/>
        <v>3.1052640961050297</v>
      </c>
      <c r="AM462" t="str">
        <f t="shared" si="288"/>
        <v>1+2791,0035129597i</v>
      </c>
      <c r="AN462">
        <f t="shared" si="307"/>
        <v>2791.0036921067281</v>
      </c>
      <c r="AO462">
        <f t="shared" si="308"/>
        <v>1.5704380327431102</v>
      </c>
      <c r="AP462" t="str">
        <f t="shared" si="289"/>
        <v>1+1960,34770553122i</v>
      </c>
      <c r="AQ462">
        <f t="shared" si="309"/>
        <v>1960.3479605879968</v>
      </c>
      <c r="AR462">
        <f t="shared" si="310"/>
        <v>1.5702862132520594</v>
      </c>
      <c r="AS462" s="42" t="str">
        <f t="shared" si="311"/>
        <v>-0,0416913756406978+1,17523190822921i</v>
      </c>
      <c r="AT462">
        <f t="shared" si="312"/>
        <v>1.4079335459864086</v>
      </c>
      <c r="AU462" s="44">
        <f t="shared" si="313"/>
        <v>92.031716929606304</v>
      </c>
      <c r="AV462" s="42" t="str">
        <f t="shared" si="290"/>
        <v>-0,00700761889368427-0,009884593323059i</v>
      </c>
      <c r="AW462" s="20">
        <f t="shared" si="314"/>
        <v>-38.332387179352203</v>
      </c>
      <c r="AX462" s="44">
        <f t="shared" si="315"/>
        <v>-125.33448917406935</v>
      </c>
    </row>
    <row r="463" spans="14:50" x14ac:dyDescent="0.3">
      <c r="N463" s="8">
        <v>45</v>
      </c>
      <c r="O463" s="35">
        <f t="shared" si="316"/>
        <v>281838.29312644573</v>
      </c>
      <c r="P463" s="34" t="str">
        <f t="shared" si="281"/>
        <v>324,571428571429</v>
      </c>
      <c r="Q463" s="4" t="str">
        <f t="shared" si="282"/>
        <v>1+40476,3936542322i</v>
      </c>
      <c r="R463" s="4">
        <f t="shared" si="291"/>
        <v>40476.393666585078</v>
      </c>
      <c r="S463" s="4">
        <f t="shared" si="292"/>
        <v>1.5707716210365641</v>
      </c>
      <c r="T463" s="4" t="str">
        <f t="shared" si="283"/>
        <v>1+0,354168444474532i</v>
      </c>
      <c r="U463" s="4">
        <f t="shared" si="293"/>
        <v>1.0608653482235668</v>
      </c>
      <c r="V463" s="4">
        <f t="shared" si="294"/>
        <v>0.34038351830524288</v>
      </c>
      <c r="W463" t="str">
        <f t="shared" si="284"/>
        <v>1-3,07437885828587i</v>
      </c>
      <c r="X463" s="4">
        <f t="shared" si="295"/>
        <v>3.2329252023941311</v>
      </c>
      <c r="Y463" s="4">
        <f t="shared" si="296"/>
        <v>-1.2563211859080834</v>
      </c>
      <c r="Z463" t="str">
        <f t="shared" si="285"/>
        <v>0,682268706110285+2,6359724330943i</v>
      </c>
      <c r="AA463" s="4">
        <f t="shared" si="297"/>
        <v>2.7228369865584106</v>
      </c>
      <c r="AB463" s="4">
        <f t="shared" si="298"/>
        <v>1.3175245100098607</v>
      </c>
      <c r="AC463" s="48" t="str">
        <f t="shared" si="299"/>
        <v>-0,00796293051741283+0,00621383798856649i</v>
      </c>
      <c r="AD463" s="20">
        <f t="shared" si="300"/>
        <v>-39.913144893556037</v>
      </c>
      <c r="AE463" s="44">
        <f t="shared" si="301"/>
        <v>142.0334590563761</v>
      </c>
      <c r="AF463" t="str">
        <f t="shared" si="286"/>
        <v>-20791,6666666667</v>
      </c>
      <c r="AG463" t="str">
        <f t="shared" si="302"/>
        <v>1770842,22237266i</v>
      </c>
      <c r="AH463">
        <f t="shared" si="303"/>
        <v>1770842.2223726599</v>
      </c>
      <c r="AI463">
        <f t="shared" si="304"/>
        <v>1.5707963267948966</v>
      </c>
      <c r="AJ463" t="str">
        <f t="shared" si="287"/>
        <v>-58495,174136226+2077,58574128984i</v>
      </c>
      <c r="AK463">
        <f t="shared" si="305"/>
        <v>58532.057538923174</v>
      </c>
      <c r="AL463">
        <f t="shared" si="306"/>
        <v>3.1060903608498935</v>
      </c>
      <c r="AM463" t="str">
        <f t="shared" si="288"/>
        <v>1+2856,01433624262i</v>
      </c>
      <c r="AN463">
        <f t="shared" si="307"/>
        <v>2856.0145113117642</v>
      </c>
      <c r="AO463">
        <f t="shared" si="308"/>
        <v>1.5704461885107694</v>
      </c>
      <c r="AP463" t="str">
        <f t="shared" si="289"/>
        <v>1+2006,01006950375i</v>
      </c>
      <c r="AQ463">
        <f t="shared" si="309"/>
        <v>2006.0103187547265</v>
      </c>
      <c r="AR463">
        <f t="shared" si="310"/>
        <v>1.5702978248519763</v>
      </c>
      <c r="AS463" s="42" t="str">
        <f t="shared" si="311"/>
        <v>-0,0398172541841426+1,14854601170219i</v>
      </c>
      <c r="AT463">
        <f t="shared" si="312"/>
        <v>1.2081843422755922</v>
      </c>
      <c r="AU463" s="44">
        <f t="shared" si="313"/>
        <v>91.985508033699361</v>
      </c>
      <c r="AV463" s="42" t="str">
        <f t="shared" si="290"/>
        <v>-0,00681981681066911-0,00939321005388599i</v>
      </c>
      <c r="AW463" s="20">
        <f t="shared" si="314"/>
        <v>-38.70496055128045</v>
      </c>
      <c r="AX463" s="44">
        <f t="shared" si="315"/>
        <v>-125.98103290992454</v>
      </c>
    </row>
    <row r="464" spans="14:50" x14ac:dyDescent="0.3">
      <c r="N464" s="8">
        <v>46</v>
      </c>
      <c r="O464" s="35">
        <f t="shared" si="316"/>
        <v>288403.1503126609</v>
      </c>
      <c r="P464" s="34" t="str">
        <f t="shared" si="281"/>
        <v>324,571428571429</v>
      </c>
      <c r="Q464" s="4" t="str">
        <f t="shared" si="282"/>
        <v>1+41419,209979173i</v>
      </c>
      <c r="R464" s="4">
        <f t="shared" si="291"/>
        <v>41419.209991244694</v>
      </c>
      <c r="S464" s="4">
        <f t="shared" si="292"/>
        <v>1.570772183408282</v>
      </c>
      <c r="T464" s="4" t="str">
        <f t="shared" si="283"/>
        <v>1+0,362418087317764i</v>
      </c>
      <c r="U464" s="4">
        <f t="shared" si="293"/>
        <v>1.0636479069763012</v>
      </c>
      <c r="V464" s="4">
        <f t="shared" si="294"/>
        <v>0.34769458695599675</v>
      </c>
      <c r="W464" t="str">
        <f t="shared" si="284"/>
        <v>1-3,14599034130003i</v>
      </c>
      <c r="X464" s="4">
        <f t="shared" si="295"/>
        <v>3.3010990938705671</v>
      </c>
      <c r="Y464" s="4">
        <f t="shared" si="296"/>
        <v>-1.2630313278742793</v>
      </c>
      <c r="Z464" t="str">
        <f t="shared" si="285"/>
        <v>0,667294491558929+2,69737211863065i</v>
      </c>
      <c r="AA464" s="4">
        <f t="shared" si="297"/>
        <v>2.7786864315411499</v>
      </c>
      <c r="AB464" s="4">
        <f t="shared" si="298"/>
        <v>1.3282785722462187</v>
      </c>
      <c r="AC464" s="48" t="str">
        <f t="shared" si="299"/>
        <v>-0,00774423029670666+0,00617070612031607i</v>
      </c>
      <c r="AD464" s="20">
        <f t="shared" si="300"/>
        <v>-40.085492265788332</v>
      </c>
      <c r="AE464" s="44">
        <f t="shared" si="301"/>
        <v>141.45169501890777</v>
      </c>
      <c r="AF464" t="str">
        <f t="shared" si="286"/>
        <v>-20791,6666666667</v>
      </c>
      <c r="AG464" t="str">
        <f t="shared" si="302"/>
        <v>1812090,43658882i</v>
      </c>
      <c r="AH464">
        <f t="shared" si="303"/>
        <v>1812090.4365888201</v>
      </c>
      <c r="AI464">
        <f t="shared" si="304"/>
        <v>1.5707963267948966</v>
      </c>
      <c r="AJ464" t="str">
        <f t="shared" si="287"/>
        <v>-61252,013889799+2125,9789299243i</v>
      </c>
      <c r="AK464">
        <f t="shared" si="305"/>
        <v>61288.897787173584</v>
      </c>
      <c r="AL464">
        <f t="shared" si="306"/>
        <v>3.1068978624690677</v>
      </c>
      <c r="AM464" t="str">
        <f t="shared" si="288"/>
        <v>1+2922,53945613045i</v>
      </c>
      <c r="AN464">
        <f t="shared" si="307"/>
        <v>2922.539627214534</v>
      </c>
      <c r="AO464">
        <f t="shared" si="308"/>
        <v>1.5704541586305367</v>
      </c>
      <c r="AP464" t="str">
        <f t="shared" si="289"/>
        <v>1+2052,73604656782i</v>
      </c>
      <c r="AQ464">
        <f t="shared" si="309"/>
        <v>2052.7362901451525</v>
      </c>
      <c r="AR464">
        <f t="shared" si="310"/>
        <v>1.57030917213974</v>
      </c>
      <c r="AS464" s="42" t="str">
        <f t="shared" si="311"/>
        <v>-0,038027279989499+1,12246318555614i</v>
      </c>
      <c r="AT464">
        <f t="shared" si="312"/>
        <v>1.0084238643959993</v>
      </c>
      <c r="AU464" s="44">
        <f t="shared" si="313"/>
        <v>91.940348404893342</v>
      </c>
      <c r="AV464" s="42" t="str">
        <f t="shared" si="290"/>
        <v>-0,00663189843514472-0,0089272685778919i</v>
      </c>
      <c r="AW464" s="20">
        <f t="shared" si="314"/>
        <v>-39.077068401392339</v>
      </c>
      <c r="AX464" s="44">
        <f t="shared" si="315"/>
        <v>-126.60795657619887</v>
      </c>
    </row>
    <row r="465" spans="14:50" x14ac:dyDescent="0.3">
      <c r="N465" s="8">
        <v>47</v>
      </c>
      <c r="O465" s="35">
        <f t="shared" si="316"/>
        <v>295120.92266663886</v>
      </c>
      <c r="P465" s="34" t="str">
        <f t="shared" si="281"/>
        <v>324,571428571429</v>
      </c>
      <c r="Q465" s="4" t="str">
        <f t="shared" si="282"/>
        <v>1+42383,9873174928i</v>
      </c>
      <c r="R465" s="4">
        <f t="shared" si="291"/>
        <v>42383.987329289703</v>
      </c>
      <c r="S465" s="4">
        <f t="shared" si="292"/>
        <v>1.5707727329788566</v>
      </c>
      <c r="T465" s="4" t="str">
        <f t="shared" si="283"/>
        <v>1+0,370859889028062i</v>
      </c>
      <c r="U465" s="4">
        <f t="shared" si="293"/>
        <v>1.066553822969055</v>
      </c>
      <c r="V465" s="4">
        <f t="shared" si="294"/>
        <v>0.3551360527266737</v>
      </c>
      <c r="W465" t="str">
        <f t="shared" si="284"/>
        <v>1-3,21926987003526i</v>
      </c>
      <c r="X465" s="4">
        <f t="shared" si="295"/>
        <v>3.3710085280397672</v>
      </c>
      <c r="Y465" s="4">
        <f t="shared" si="296"/>
        <v>-1.2696165039840741</v>
      </c>
      <c r="Z465" t="str">
        <f t="shared" si="285"/>
        <v>0,651614564017566+2,76020198656823i</v>
      </c>
      <c r="AA465" s="4">
        <f t="shared" si="297"/>
        <v>2.8360741433705519</v>
      </c>
      <c r="AB465" s="4">
        <f t="shared" si="298"/>
        <v>1.3389659116641204</v>
      </c>
      <c r="AC465" s="48" t="str">
        <f t="shared" si="299"/>
        <v>-0,00753268242709379+0,00612418072369219i</v>
      </c>
      <c r="AD465" s="20">
        <f t="shared" si="300"/>
        <v>-40.257329531057621</v>
      </c>
      <c r="AE465" s="44">
        <f t="shared" si="301"/>
        <v>140.88838587157298</v>
      </c>
      <c r="AF465" t="str">
        <f t="shared" si="286"/>
        <v>-20791,6666666667</v>
      </c>
      <c r="AG465" t="str">
        <f t="shared" si="302"/>
        <v>1854299,44514031i</v>
      </c>
      <c r="AH465">
        <f t="shared" si="303"/>
        <v>1854299.4451403101</v>
      </c>
      <c r="AI465">
        <f t="shared" si="304"/>
        <v>1.5707963267948966</v>
      </c>
      <c r="AJ465" t="str">
        <f t="shared" si="287"/>
        <v>-64138,7794981666+2175,49934072808i</v>
      </c>
      <c r="AK465">
        <f t="shared" si="305"/>
        <v>64175.663867979936</v>
      </c>
      <c r="AL465">
        <f t="shared" si="306"/>
        <v>3.1076870250674391</v>
      </c>
      <c r="AM465" t="str">
        <f t="shared" si="288"/>
        <v>1+2990,61414512229i</v>
      </c>
      <c r="AN465">
        <f t="shared" si="307"/>
        <v>2990.6143123120246</v>
      </c>
      <c r="AO465">
        <f t="shared" si="308"/>
        <v>1.5704619473282706</v>
      </c>
      <c r="AP465" t="str">
        <f t="shared" si="289"/>
        <v>1+2100,55041145494i</v>
      </c>
      <c r="AQ465">
        <f t="shared" si="309"/>
        <v>2100.5506494877759</v>
      </c>
      <c r="AR465">
        <f t="shared" si="310"/>
        <v>1.5703202611318205</v>
      </c>
      <c r="AS465" s="42" t="str">
        <f t="shared" si="311"/>
        <v>-0,0363176835580542+1,09696999348i</v>
      </c>
      <c r="AT465">
        <f t="shared" si="312"/>
        <v>0.80865261858009629</v>
      </c>
      <c r="AU465" s="44">
        <f t="shared" si="313"/>
        <v>91.89621433061042</v>
      </c>
      <c r="AV465" s="42" t="str">
        <f t="shared" si="290"/>
        <v>-0,00644447291180845-0,00848554265051137i</v>
      </c>
      <c r="AW465" s="20">
        <f t="shared" si="314"/>
        <v>-39.448676912477531</v>
      </c>
      <c r="AX465" s="44">
        <f t="shared" si="315"/>
        <v>-127.21539979781657</v>
      </c>
    </row>
    <row r="466" spans="14:50" x14ac:dyDescent="0.3">
      <c r="N466" s="8">
        <v>48</v>
      </c>
      <c r="O466" s="35">
        <f t="shared" si="316"/>
        <v>301995.17204020242</v>
      </c>
      <c r="P466" s="34" t="str">
        <f t="shared" si="281"/>
        <v>324,571428571429</v>
      </c>
      <c r="Q466" s="4" t="str">
        <f t="shared" si="282"/>
        <v>1+43371,2372069067i</v>
      </c>
      <c r="R466" s="4">
        <f t="shared" si="291"/>
        <v>43371.237218435075</v>
      </c>
      <c r="S466" s="4">
        <f t="shared" si="292"/>
        <v>1.5707732700396777</v>
      </c>
      <c r="T466" s="4" t="str">
        <f t="shared" si="283"/>
        <v>1+0,379498325560434i</v>
      </c>
      <c r="U466" s="4">
        <f t="shared" si="293"/>
        <v>1.0695882287605698</v>
      </c>
      <c r="V466" s="4">
        <f t="shared" si="294"/>
        <v>0.36270856360643339</v>
      </c>
      <c r="W466" t="str">
        <f t="shared" si="284"/>
        <v>1-3,29425629826766i</v>
      </c>
      <c r="X466" s="4">
        <f t="shared" si="295"/>
        <v>3.4426914701547315</v>
      </c>
      <c r="Y466" s="4">
        <f t="shared" si="296"/>
        <v>-1.2760779204629344</v>
      </c>
      <c r="Z466" t="str">
        <f t="shared" si="285"/>
        <v>0,635195664257634+2,82449535013469i</v>
      </c>
      <c r="AA466" s="4">
        <f t="shared" si="297"/>
        <v>2.8950384306299255</v>
      </c>
      <c r="AB466" s="4">
        <f t="shared" si="298"/>
        <v>1.3495883035317411</v>
      </c>
      <c r="AC466" s="48" t="str">
        <f t="shared" si="299"/>
        <v>-0,00732813870945117+0,00607456746973706i</v>
      </c>
      <c r="AD466" s="20">
        <f t="shared" si="300"/>
        <v>-40.428622781993809</v>
      </c>
      <c r="AE466" s="44">
        <f t="shared" si="301"/>
        <v>140.34339789771798</v>
      </c>
      <c r="AF466" t="str">
        <f t="shared" si="286"/>
        <v>-20791,6666666667</v>
      </c>
      <c r="AG466" t="str">
        <f t="shared" si="302"/>
        <v>1897491,62780217i</v>
      </c>
      <c r="AH466">
        <f t="shared" si="303"/>
        <v>1897491.6278021701</v>
      </c>
      <c r="AI466">
        <f t="shared" si="304"/>
        <v>1.5707963267948966</v>
      </c>
      <c r="AJ466" t="str">
        <f t="shared" si="287"/>
        <v>-67161,5941782201+2226,17323007845i</v>
      </c>
      <c r="AK466">
        <f t="shared" si="305"/>
        <v>67198.47899923216</v>
      </c>
      <c r="AL466">
        <f t="shared" si="306"/>
        <v>3.1084582632955566</v>
      </c>
      <c r="AM466" t="str">
        <f t="shared" si="288"/>
        <v>1+3060,27449731934i</v>
      </c>
      <c r="AN466">
        <f t="shared" si="307"/>
        <v>3060.2746607033719</v>
      </c>
      <c r="AO466">
        <f t="shared" si="308"/>
        <v>1.5704695587336381</v>
      </c>
      <c r="AP466" t="str">
        <f t="shared" si="289"/>
        <v>1+2149,4785159743i</v>
      </c>
      <c r="AQ466">
        <f t="shared" si="309"/>
        <v>2149.4787485888478</v>
      </c>
      <c r="AR466">
        <f t="shared" si="310"/>
        <v>1.5703310977077378</v>
      </c>
      <c r="AS466" s="42" t="str">
        <f t="shared" si="311"/>
        <v>-0,0346848634884383+1,0720532856526i</v>
      </c>
      <c r="AT466">
        <f t="shared" si="312"/>
        <v>0.60887108838075166</v>
      </c>
      <c r="AU466" s="44">
        <f t="shared" si="313"/>
        <v>91.85308262660827</v>
      </c>
      <c r="AV466" s="42" t="str">
        <f t="shared" si="290"/>
        <v>-0,00625808452408836-0,00806685072462427i</v>
      </c>
      <c r="AW466" s="20">
        <f t="shared" si="314"/>
        <v>-39.819751693613064</v>
      </c>
      <c r="AX466" s="44">
        <f t="shared" si="315"/>
        <v>-127.80351947567372</v>
      </c>
    </row>
    <row r="467" spans="14:50" x14ac:dyDescent="0.3">
      <c r="N467" s="8">
        <v>49</v>
      </c>
      <c r="O467" s="35">
        <f t="shared" si="316"/>
        <v>309029.54325135931</v>
      </c>
      <c r="P467" s="34" t="str">
        <f t="shared" ref="P467:P530" si="317">COMPLEX(Adc,0)</f>
        <v>324,571428571429</v>
      </c>
      <c r="Q467" s="4" t="str">
        <f t="shared" ref="Q467:Q530" si="318">IMSUM(COMPLEX(1,0),IMDIV(COMPLEX(0,2*PI()*O467),COMPLEX(wp_lf,0)))</f>
        <v>1+44381,4831003739i</v>
      </c>
      <c r="R467" s="4">
        <f t="shared" si="291"/>
        <v>44381.483111639856</v>
      </c>
      <c r="S467" s="4">
        <f t="shared" si="292"/>
        <v>1.5707737948755021</v>
      </c>
      <c r="T467" s="4" t="str">
        <f t="shared" ref="T467:T530" si="319">IMSUM(COMPLEX(1,0),IMDIV(COMPLEX(0,2*PI()*O467),COMPLEX(wz_esr,0)))</f>
        <v>1+0,388337977128272i</v>
      </c>
      <c r="U467" s="4">
        <f t="shared" si="293"/>
        <v>1.0727564422925076</v>
      </c>
      <c r="V467" s="4">
        <f t="shared" si="294"/>
        <v>0.37041265980251276</v>
      </c>
      <c r="W467" t="str">
        <f t="shared" ref="W467:W530" si="320">IMSUB(COMPLEX(1,0),IMDIV(COMPLEX(0,2*PI()*O467),COMPLEX(wz_rhp,0)))</f>
        <v>1-3,37098938479403i</v>
      </c>
      <c r="X467" s="4">
        <f t="shared" si="295"/>
        <v>3.5161867743898414</v>
      </c>
      <c r="Y467" s="4">
        <f t="shared" si="296"/>
        <v>-1.2824168443423016</v>
      </c>
      <c r="Z467" t="str">
        <f t="shared" ref="Z467:Z530" si="321">IMSUM(COMPLEX(1,0),IMDIV(COMPLEX(0,2*PI()*O467),COMPLEX(Q*(wsl/2),0)),IMDIV(IMPOWER(COMPLEX(0,2*PI()*O467),2),IMPOWER(COMPLEX(wsl/2,0),2)))</f>
        <v>0,618002965591424+2,8902862985224i</v>
      </c>
      <c r="AA467" s="4">
        <f t="shared" si="297"/>
        <v>2.9556188104872576</v>
      </c>
      <c r="AB467" s="4">
        <f t="shared" si="298"/>
        <v>1.3601476593988402</v>
      </c>
      <c r="AC467" s="48" t="str">
        <f t="shared" si="299"/>
        <v>-0,00713044589022337+0,00602215793529778i</v>
      </c>
      <c r="AD467" s="20">
        <f t="shared" si="300"/>
        <v>-40.599337571892576</v>
      </c>
      <c r="AE467" s="44">
        <f t="shared" si="301"/>
        <v>139.81657991333449</v>
      </c>
      <c r="AF467" t="str">
        <f t="shared" ref="AF467:AF530" si="322">COMPLEX(Adc_ea_iso,0)</f>
        <v>-20791,6666666667</v>
      </c>
      <c r="AG467" t="str">
        <f t="shared" si="302"/>
        <v>1941689,88564136i</v>
      </c>
      <c r="AH467">
        <f t="shared" si="303"/>
        <v>1941689.88564136</v>
      </c>
      <c r="AI467">
        <f t="shared" si="304"/>
        <v>1.5707963267948966</v>
      </c>
      <c r="AJ467" t="str">
        <f t="shared" ref="AJ467:AJ530" si="323">IMSUM(IMPRODUCT(COMPLEX(wpA_ea_iso,0),IMPOWER(COMPLEX(0,2*PI()*O467),2)),COMPLEX(0,wpB_ea_iso*2*PI()*O467),COMPLEX(1,0))</f>
        <v>-70326,8697251713+2278,02746594228i</v>
      </c>
      <c r="AK467">
        <f t="shared" si="305"/>
        <v>70363.754977096003</v>
      </c>
      <c r="AL467">
        <f t="shared" si="306"/>
        <v>3.1092119825515785</v>
      </c>
      <c r="AM467" t="str">
        <f t="shared" ref="AM467:AM530" si="324">IMSUM(COMPLEX(1,0),IMDIV(COMPLEX(0,2*PI()*O467),COMPLEX(wz1_ea_iso,0)))</f>
        <v>1+3131,55744756238i</v>
      </c>
      <c r="AN467">
        <f t="shared" si="307"/>
        <v>3131.5576072273375</v>
      </c>
      <c r="AO467">
        <f t="shared" si="308"/>
        <v>1.5704769968823038</v>
      </c>
      <c r="AP467" t="str">
        <f t="shared" ref="AP467:AP530" si="325">IMSUM(COMPLEX(1,0),IMDIV(COMPLEX(0,2*PI()*O467),COMPLEX(wz2_ea_iso,0)))</f>
        <v>1+2199,54630245453i</v>
      </c>
      <c r="AQ467">
        <f t="shared" si="309"/>
        <v>2199.5465297741248</v>
      </c>
      <c r="AR467">
        <f t="shared" si="310"/>
        <v>1.5703416876131775</v>
      </c>
      <c r="AS467" s="42" t="str">
        <f t="shared" si="311"/>
        <v>-0,0331253790475842+1,04770019350454i</v>
      </c>
      <c r="AT467">
        <f t="shared" si="312"/>
        <v>0.40907973568264144</v>
      </c>
      <c r="AU467" s="44">
        <f t="shared" si="313"/>
        <v>91.810930625713553</v>
      </c>
      <c r="AV467" s="42" t="str">
        <f t="shared" ref="AV467:AV530" si="326">IMPRODUCT(AC467,AS467)</f>
        <v>-0,00607321731123445-0,00767005580325183i</v>
      </c>
      <c r="AW467" s="20">
        <f t="shared" si="314"/>
        <v>-40.190257836209938</v>
      </c>
      <c r="AX467" s="44">
        <f t="shared" si="315"/>
        <v>-128.37248946095198</v>
      </c>
    </row>
    <row r="468" spans="14:50" x14ac:dyDescent="0.3">
      <c r="N468" s="8">
        <v>50</v>
      </c>
      <c r="O468" s="35">
        <f t="shared" si="316"/>
        <v>316227.7660168382</v>
      </c>
      <c r="P468" s="34" t="str">
        <f t="shared" si="317"/>
        <v>324,571428571429</v>
      </c>
      <c r="Q468" s="4" t="str">
        <f t="shared" si="318"/>
        <v>1+45415,2606436393i</v>
      </c>
      <c r="R468" s="4">
        <f t="shared" ref="R468:R531" si="327">IMABS(Q468)</f>
        <v>45415.260654648824</v>
      </c>
      <c r="S468" s="4">
        <f t="shared" ref="S468:S531" si="328">IMARGUMENT(Q468)</f>
        <v>1.5707743077646044</v>
      </c>
      <c r="T468" s="4" t="str">
        <f t="shared" si="319"/>
        <v>1+0,397383530631844i</v>
      </c>
      <c r="U468" s="4">
        <f t="shared" ref="U468:U531" si="329">IMABS(T468)</f>
        <v>1.0760639713406586</v>
      </c>
      <c r="V468" s="4">
        <f t="shared" ref="V468:V531" si="330">IMARGUMENT(T468)</f>
        <v>0.37824876701753052</v>
      </c>
      <c r="W468" t="str">
        <f t="shared" si="320"/>
        <v>1-3,44950981451253i</v>
      </c>
      <c r="X468" s="4">
        <f t="shared" ref="X468:X531" si="331">IMABS(W468)</f>
        <v>3.5915342070511129</v>
      </c>
      <c r="Y468" s="4">
        <f t="shared" ref="Y468:Y531" si="332">IMARGUMENT(W468)</f>
        <v>-1.2886345981596705</v>
      </c>
      <c r="Z468" t="str">
        <f t="shared" si="321"/>
        <v>0,6+2,95760971496304i</v>
      </c>
      <c r="AA468" s="4">
        <f t="shared" ref="AA468:AA531" si="333">IMABS(Z468)</f>
        <v>3.0178560645007169</v>
      </c>
      <c r="AB468" s="4">
        <f t="shared" ref="AB468:AB531" si="334">IMARGUMENT(Z468)</f>
        <v>1.3706460201294761</v>
      </c>
      <c r="AC468" s="48" t="str">
        <f t="shared" ref="AC468:AC531" si="335">(IMDIV(IMPRODUCT(P468,T468,W468),IMPRODUCT(Q468,Z468)))</f>
        <v>-0,00693944642455747+0,005967229802807i</v>
      </c>
      <c r="AD468" s="20">
        <f t="shared" ref="AD468:AD531" si="336">20*LOG(IMABS(AC468))</f>
        <v>-40.76943897403234</v>
      </c>
      <c r="AE468" s="44">
        <f t="shared" ref="AE468:AE531" si="337">(180/PI())*IMARGUMENT(AC468)</f>
        <v>139.30776358472818</v>
      </c>
      <c r="AF468" t="str">
        <f t="shared" si="322"/>
        <v>-20791,6666666667</v>
      </c>
      <c r="AG468" t="str">
        <f t="shared" ref="AG468:AG531" si="338">COMPLEX(0,1*2*PI()*O468)</f>
        <v>1986917,65315922i</v>
      </c>
      <c r="AH468">
        <f t="shared" ref="AH468:AH531" si="339">IMABS(AG468)</f>
        <v>1986917.65315922</v>
      </c>
      <c r="AI468">
        <f t="shared" ref="AI468:AI531" si="340">IMARGUMENT(AG468)</f>
        <v>1.5707963267948966</v>
      </c>
      <c r="AJ468" t="str">
        <f t="shared" si="323"/>
        <v>-73641,3201128312+2331,08954212182i</v>
      </c>
      <c r="AK468">
        <f t="shared" ref="AK468:AK531" si="341">IMABS(AJ468)</f>
        <v>73678.205776293631</v>
      </c>
      <c r="AL468">
        <f t="shared" ref="AL468:AL531" si="342">IMARGUMENT(AJ468)</f>
        <v>3.1099485791795005</v>
      </c>
      <c r="AM468" t="str">
        <f t="shared" si="324"/>
        <v>1+3204,50079101519i</v>
      </c>
      <c r="AN468">
        <f t="shared" ref="AN468:AN531" si="343">IMABS(AM468)</f>
        <v>3204.5009470457298</v>
      </c>
      <c r="AO468">
        <f t="shared" ref="AO468:AO531" si="344">IMARGUMENT(AM468)</f>
        <v>1.5704842657180689</v>
      </c>
      <c r="AP468" t="str">
        <f t="shared" si="325"/>
        <v>1+2250,78031749876i</v>
      </c>
      <c r="AQ468">
        <f t="shared" ref="AQ468:AQ531" si="345">IMABS(AP468)</f>
        <v>2250.7805396439298</v>
      </c>
      <c r="AR468">
        <f t="shared" ref="AR468:AR531" si="346">IMARGUMENT(AP468)</f>
        <v>1.5703520364630381</v>
      </c>
      <c r="AS468" s="42" t="str">
        <f t="shared" ref="AS468:AS531" si="347">IMDIV(IMPRODUCT(AF468,AM468,AP468),IMPRODUCT(AG468,AJ468))</f>
        <v>-0,0316359430640932+1,02389812451462i</v>
      </c>
      <c r="AT468">
        <f t="shared" ref="AT468:AT531" si="348">20*LOG(IMABS(AS468))</f>
        <v>0.20927900166895194</v>
      </c>
      <c r="AU468" s="44">
        <f t="shared" ref="AU468:AU531" si="349">(180/PI())*IMARGUMENT(AS468)</f>
        <v>91.769736166761206</v>
      </c>
      <c r="AV468" s="42" t="str">
        <f t="shared" si="326"/>
        <v>-0,00589029947165821-0,00729406512156604i</v>
      </c>
      <c r="AW468" s="20">
        <f t="shared" ref="AW468:AW531" si="350">20*LOG(IMABS(AV468))</f>
        <v>-40.56015997236338</v>
      </c>
      <c r="AX468" s="44">
        <f t="shared" ref="AX468:AX531" si="351">(180/PI())*IMARGUMENT(AV468)</f>
        <v>-128.9225002485106</v>
      </c>
    </row>
    <row r="469" spans="14:50" x14ac:dyDescent="0.3">
      <c r="N469" s="8">
        <v>51</v>
      </c>
      <c r="O469" s="35">
        <f t="shared" si="316"/>
        <v>323593.65692962846</v>
      </c>
      <c r="P469" s="34" t="str">
        <f t="shared" si="317"/>
        <v>324,571428571429</v>
      </c>
      <c r="Q469" s="4" t="str">
        <f t="shared" si="318"/>
        <v>1+46473,11795924i</v>
      </c>
      <c r="R469" s="4">
        <f t="shared" si="327"/>
        <v>46473.117969998908</v>
      </c>
      <c r="S469" s="4">
        <f t="shared" si="328"/>
        <v>1.5707748089789255</v>
      </c>
      <c r="T469" s="4" t="str">
        <f t="shared" si="319"/>
        <v>1+0,40663978214335i</v>
      </c>
      <c r="U469" s="4">
        <f t="shared" si="329"/>
        <v>1.0795165179012274</v>
      </c>
      <c r="V469" s="4">
        <f t="shared" si="330"/>
        <v>0.38621718964757407</v>
      </c>
      <c r="W469" t="str">
        <f t="shared" si="320"/>
        <v>1-3,52985921999436i</v>
      </c>
      <c r="X469" s="4">
        <f t="shared" si="331"/>
        <v>3.6687744701710936</v>
      </c>
      <c r="Y469" s="4">
        <f t="shared" si="332"/>
        <v>-1.294732554867712</v>
      </c>
      <c r="Z469" t="str">
        <f t="shared" si="321"/>
        <v>0,58114858077964+3,02650129522316i</v>
      </c>
      <c r="AA469" s="4">
        <f t="shared" si="333"/>
        <v>3.0817922971754039</v>
      </c>
      <c r="AB469" s="4">
        <f t="shared" si="334"/>
        <v>1.381085548984218</v>
      </c>
      <c r="AC469" s="48" t="str">
        <f t="shared" si="335"/>
        <v>-0,00675497919886835+0,0059100470988035i</v>
      </c>
      <c r="AD469" s="20">
        <f t="shared" si="336"/>
        <v>-40.938891643463187</v>
      </c>
      <c r="AE469" s="44">
        <f t="shared" si="337"/>
        <v>138.81676372683486</v>
      </c>
      <c r="AF469" t="str">
        <f t="shared" si="322"/>
        <v>-20791,6666666667</v>
      </c>
      <c r="AG469" t="str">
        <f t="shared" si="338"/>
        <v>2033198,91071675i</v>
      </c>
      <c r="AH469">
        <f t="shared" si="339"/>
        <v>2033198.91071675</v>
      </c>
      <c r="AI469">
        <f t="shared" si="340"/>
        <v>1.5707963267948966</v>
      </c>
      <c r="AJ469" t="str">
        <f t="shared" si="323"/>
        <v>-77111,9757348484+2385,38759283221i</v>
      </c>
      <c r="AK469">
        <f t="shared" si="341"/>
        <v>77148.861791343923</v>
      </c>
      <c r="AL469">
        <f t="shared" si="342"/>
        <v>3.1106684406636989</v>
      </c>
      <c r="AM469" t="str">
        <f t="shared" si="324"/>
        <v>1+3279,14320320397i</v>
      </c>
      <c r="AN469">
        <f t="shared" si="343"/>
        <v>3279.1433556828215</v>
      </c>
      <c r="AO469">
        <f t="shared" si="344"/>
        <v>1.5704913690949636</v>
      </c>
      <c r="AP469" t="str">
        <f t="shared" si="325"/>
        <v>1+2303,20772605993i</v>
      </c>
      <c r="AQ469">
        <f t="shared" si="345"/>
        <v>2303.2079431484585</v>
      </c>
      <c r="AR469">
        <f t="shared" si="346"/>
        <v>1.570362149744408</v>
      </c>
      <c r="AS469" s="42" t="str">
        <f t="shared" si="347"/>
        <v>-0,0302134151305424+1,00063475704561i</v>
      </c>
      <c r="AT469">
        <f t="shared" si="348"/>
        <v>9.4693077455863146E-3</v>
      </c>
      <c r="AU469" s="44">
        <f t="shared" si="349"/>
        <v>91.7294775837385</v>
      </c>
      <c r="AV469" s="42" t="str">
        <f t="shared" si="326"/>
        <v>-0,00570970755210576-0,00693782967594499i</v>
      </c>
      <c r="AW469" s="20">
        <f t="shared" si="350"/>
        <v>-40.929422335717604</v>
      </c>
      <c r="AX469" s="44">
        <f t="shared" si="351"/>
        <v>-129.45375868942659</v>
      </c>
    </row>
    <row r="470" spans="14:50" x14ac:dyDescent="0.3">
      <c r="N470" s="8">
        <v>52</v>
      </c>
      <c r="O470" s="35">
        <f t="shared" si="316"/>
        <v>331131.12148259126</v>
      </c>
      <c r="P470" s="34" t="str">
        <f t="shared" si="317"/>
        <v>324,571428571429</v>
      </c>
      <c r="Q470" s="4" t="str">
        <f t="shared" si="318"/>
        <v>1+47555,6159371273i</v>
      </c>
      <c r="R470" s="4">
        <f t="shared" si="327"/>
        <v>47555.615947641301</v>
      </c>
      <c r="S470" s="4">
        <f t="shared" si="328"/>
        <v>1.5707752987842158</v>
      </c>
      <c r="T470" s="4" t="str">
        <f t="shared" si="319"/>
        <v>1+0,416111639449864i</v>
      </c>
      <c r="U470" s="4">
        <f t="shared" si="329"/>
        <v>1.0831199824976241</v>
      </c>
      <c r="V470" s="4">
        <f t="shared" si="330"/>
        <v>0.39431810392783018</v>
      </c>
      <c r="W470" t="str">
        <f t="shared" si="320"/>
        <v>1-3,61208020355785i</v>
      </c>
      <c r="X470" s="4">
        <f t="shared" si="331"/>
        <v>3.7479492255011295</v>
      </c>
      <c r="Y470" s="4">
        <f t="shared" si="332"/>
        <v>-1.3007121329552775</v>
      </c>
      <c r="Z470" t="str">
        <f t="shared" si="321"/>
        <v>0,561408721542723+3,0969975665305i</v>
      </c>
      <c r="AA470" s="4">
        <f t="shared" si="333"/>
        <v>3.1474709974390671</v>
      </c>
      <c r="AB470" s="4">
        <f t="shared" si="334"/>
        <v>1.391468524769643</v>
      </c>
      <c r="AC470" s="48" t="str">
        <f t="shared" si="335"/>
        <v>-0,0065768802119964+0,0058508604664401i</v>
      </c>
      <c r="AD470" s="20">
        <f t="shared" si="336"/>
        <v>-41.107659881481389</v>
      </c>
      <c r="AE470" s="44">
        <f t="shared" si="337"/>
        <v>138.3433785825371</v>
      </c>
      <c r="AF470" t="str">
        <f t="shared" si="322"/>
        <v>-20791,6666666667</v>
      </c>
      <c r="AG470" t="str">
        <f t="shared" si="338"/>
        <v>2080558,19724932i</v>
      </c>
      <c r="AH470">
        <f t="shared" si="339"/>
        <v>2080558.1972493201</v>
      </c>
      <c r="AI470">
        <f t="shared" si="340"/>
        <v>1.5707963267948966</v>
      </c>
      <c r="AJ470" t="str">
        <f t="shared" si="323"/>
        <v>-80746,1983171166+2440,95040761866i</v>
      </c>
      <c r="AK470">
        <f t="shared" si="341"/>
        <v>80783.084748971916</v>
      </c>
      <c r="AL470">
        <f t="shared" si="342"/>
        <v>3.1113719458198044</v>
      </c>
      <c r="AM470" t="str">
        <f t="shared" si="324"/>
        <v>1+3355,5242605237i</v>
      </c>
      <c r="AN470">
        <f t="shared" si="343"/>
        <v>3355.5244095317089</v>
      </c>
      <c r="AO470">
        <f t="shared" si="344"/>
        <v>1.5704983107792891</v>
      </c>
      <c r="AP470" t="str">
        <f t="shared" si="325"/>
        <v>1+2356,85632584403i</v>
      </c>
      <c r="AQ470">
        <f t="shared" si="345"/>
        <v>2356.8565379910206</v>
      </c>
      <c r="AR470">
        <f t="shared" si="346"/>
        <v>1.5703720328194744</v>
      </c>
      <c r="AS470" s="42" t="str">
        <f t="shared" si="347"/>
        <v>-0,0288547951017863+0,977898035223629i</v>
      </c>
      <c r="AT470">
        <f t="shared" si="348"/>
        <v>-0.19034894357549309</v>
      </c>
      <c r="AU470" s="44">
        <f t="shared" si="349"/>
        <v>91.690133695132431</v>
      </c>
      <c r="AV470" s="42" t="str">
        <f t="shared" si="326"/>
        <v>-0,00553177042357323-0,00660034361714072i</v>
      </c>
      <c r="AW470" s="20">
        <f t="shared" si="350"/>
        <v>-41.298008825056883</v>
      </c>
      <c r="AX470" s="44">
        <f t="shared" si="351"/>
        <v>-129.96648772233041</v>
      </c>
    </row>
    <row r="471" spans="14:50" x14ac:dyDescent="0.3">
      <c r="N471" s="8">
        <v>53</v>
      </c>
      <c r="O471" s="35">
        <f t="shared" si="316"/>
        <v>338844.15613920329</v>
      </c>
      <c r="P471" s="34" t="str">
        <f t="shared" si="317"/>
        <v>324,571428571429</v>
      </c>
      <c r="Q471" s="4" t="str">
        <f t="shared" si="318"/>
        <v>1+48663,3285320574i</v>
      </c>
      <c r="R471" s="4">
        <f t="shared" si="327"/>
        <v>48663.328542332078</v>
      </c>
      <c r="S471" s="4">
        <f t="shared" si="328"/>
        <v>1.5707757774401767</v>
      </c>
      <c r="T471" s="4" t="str">
        <f t="shared" si="319"/>
        <v>1+0,425804124655502i</v>
      </c>
      <c r="U471" s="4">
        <f t="shared" si="329"/>
        <v>1.0868804683927475</v>
      </c>
      <c r="V471" s="4">
        <f t="shared" si="330"/>
        <v>0.40255155105539897</v>
      </c>
      <c r="W471" t="str">
        <f t="shared" si="320"/>
        <v>1-3,69621635985679i</v>
      </c>
      <c r="X471" s="4">
        <f t="shared" si="331"/>
        <v>3.8291011189145912</v>
      </c>
      <c r="Y471" s="4">
        <f t="shared" si="332"/>
        <v>-1.3065747917817321</v>
      </c>
      <c r="Z471" t="str">
        <f t="shared" si="321"/>
        <v>0,540738551401243+3,16913590694121i</v>
      </c>
      <c r="AA471" s="4">
        <f t="shared" si="333"/>
        <v>3.2149371032161116</v>
      </c>
      <c r="AB471" s="4">
        <f t="shared" si="334"/>
        <v>1.401797335070081</v>
      </c>
      <c r="AC471" s="48" t="str">
        <f t="shared" si="335"/>
        <v>-0,00640498321453827+0,00578990746741905i</v>
      </c>
      <c r="AD471" s="20">
        <f t="shared" si="336"/>
        <v>-41.275707703006134</v>
      </c>
      <c r="AE471" s="44">
        <f t="shared" si="337"/>
        <v>137.88739008373736</v>
      </c>
      <c r="AF471" t="str">
        <f t="shared" si="322"/>
        <v>-20791,6666666667</v>
      </c>
      <c r="AG471" t="str">
        <f t="shared" si="338"/>
        <v>2129020,62327751i</v>
      </c>
      <c r="AH471">
        <f t="shared" si="339"/>
        <v>2129020.6232775101</v>
      </c>
      <c r="AI471">
        <f t="shared" si="340"/>
        <v>1.5707963267948966</v>
      </c>
      <c r="AJ471" t="str">
        <f t="shared" si="323"/>
        <v>-84551,6965329805+2497,80744662102i</v>
      </c>
      <c r="AK471">
        <f t="shared" si="341"/>
        <v>84588.583323316285</v>
      </c>
      <c r="AL471">
        <f t="shared" si="342"/>
        <v>3.1120594649819528</v>
      </c>
      <c r="AM471" t="str">
        <f t="shared" si="324"/>
        <v>1+3433,68446122197i</v>
      </c>
      <c r="AN471">
        <f t="shared" si="343"/>
        <v>3433.6846068381428</v>
      </c>
      <c r="AO471">
        <f t="shared" si="344"/>
        <v>1.5705050944516159</v>
      </c>
      <c r="AP471" t="str">
        <f t="shared" si="325"/>
        <v>1+2411,75456204876i</v>
      </c>
      <c r="AQ471">
        <f t="shared" si="345"/>
        <v>2411.7547693666961</v>
      </c>
      <c r="AR471">
        <f t="shared" si="346"/>
        <v>1.5703816909283668</v>
      </c>
      <c r="AS471" s="42" t="str">
        <f t="shared" si="347"/>
        <v>-0,0275572168767916+0,955676163864922i</v>
      </c>
      <c r="AT471">
        <f t="shared" si="348"/>
        <v>-0.39017536783257867</v>
      </c>
      <c r="AU471" s="44">
        <f t="shared" si="349"/>
        <v>91.651683793478497</v>
      </c>
      <c r="AV471" s="42" t="str">
        <f t="shared" si="326"/>
        <v>-0,00535677304606066-0,00628064352386537i</v>
      </c>
      <c r="AW471" s="20">
        <f t="shared" si="350"/>
        <v>-41.665883070838717</v>
      </c>
      <c r="AX471" s="44">
        <f t="shared" si="351"/>
        <v>-130.46092612278412</v>
      </c>
    </row>
    <row r="472" spans="14:50" x14ac:dyDescent="0.3">
      <c r="N472" s="8">
        <v>54</v>
      </c>
      <c r="O472" s="35">
        <f t="shared" si="316"/>
        <v>346736.85045253241</v>
      </c>
      <c r="P472" s="34" t="str">
        <f t="shared" si="317"/>
        <v>324,571428571429</v>
      </c>
      <c r="Q472" s="4" t="str">
        <f t="shared" si="318"/>
        <v>1+49796,8430679104i</v>
      </c>
      <c r="R472" s="4">
        <f t="shared" si="327"/>
        <v>49796.843077951191</v>
      </c>
      <c r="S472" s="4">
        <f t="shared" si="328"/>
        <v>1.5707762452005976</v>
      </c>
      <c r="T472" s="4" t="str">
        <f t="shared" si="319"/>
        <v>1+0,435722376844216i</v>
      </c>
      <c r="U472" s="4">
        <f t="shared" si="329"/>
        <v>1.0908042856914217</v>
      </c>
      <c r="V472" s="4">
        <f t="shared" si="330"/>
        <v>0.4109174303218841</v>
      </c>
      <c r="W472" t="str">
        <f t="shared" si="320"/>
        <v>1-3,78231229899493i</v>
      </c>
      <c r="X472" s="4">
        <f t="shared" si="331"/>
        <v>3.9122738052350461</v>
      </c>
      <c r="Y472" s="4">
        <f t="shared" si="332"/>
        <v>-1.3123220271247968</v>
      </c>
      <c r="Z472" t="str">
        <f t="shared" si="321"/>
        <v>0,51909422615303+3,24295456515825i</v>
      </c>
      <c r="AA472" s="4">
        <f t="shared" si="333"/>
        <v>3.2842370692911538</v>
      </c>
      <c r="AB472" s="4">
        <f t="shared" si="334"/>
        <v>1.4120744695738239</v>
      </c>
      <c r="AC472" s="48" t="str">
        <f t="shared" si="335"/>
        <v>-0,00623912030631284+0,00572741290901461i</v>
      </c>
      <c r="AD472" s="20">
        <f t="shared" si="336"/>
        <v>-41.442998907067704</v>
      </c>
      <c r="AE472" s="44">
        <f t="shared" si="337"/>
        <v>137.44856409534631</v>
      </c>
      <c r="AF472" t="str">
        <f t="shared" si="322"/>
        <v>-20791,6666666667</v>
      </c>
      <c r="AG472" t="str">
        <f t="shared" si="338"/>
        <v>2178611,88422108i</v>
      </c>
      <c r="AH472">
        <f t="shared" si="339"/>
        <v>2178611.8842210802</v>
      </c>
      <c r="AI472">
        <f t="shared" si="340"/>
        <v>1.5707963267948966</v>
      </c>
      <c r="AJ472" t="str">
        <f t="shared" si="323"/>
        <v>-88536,5423543683+2555,98885619398i</v>
      </c>
      <c r="AK472">
        <f t="shared" si="341"/>
        <v>88573.429487063666</v>
      </c>
      <c r="AL472">
        <f t="shared" si="342"/>
        <v>3.1127313601864399</v>
      </c>
      <c r="AM472" t="str">
        <f t="shared" si="324"/>
        <v>1+3513,66524687176i</v>
      </c>
      <c r="AN472">
        <f t="shared" si="343"/>
        <v>3513.665389173304</v>
      </c>
      <c r="AO472">
        <f t="shared" si="344"/>
        <v>1.5705117237087345</v>
      </c>
      <c r="AP472" t="str">
        <f t="shared" si="325"/>
        <v>1+2467,93154244564i</v>
      </c>
      <c r="AQ472">
        <f t="shared" si="345"/>
        <v>2467.9317450444441</v>
      </c>
      <c r="AR472">
        <f t="shared" si="346"/>
        <v>1.5703911291919352</v>
      </c>
      <c r="AS472" s="42" t="str">
        <f t="shared" si="347"/>
        <v>-0,026317942452043+0,933957603453639i</v>
      </c>
      <c r="AT472">
        <f t="shared" si="348"/>
        <v>-0.59000959780728601</v>
      </c>
      <c r="AU472" s="44">
        <f t="shared" si="349"/>
        <v>91.614107635108923</v>
      </c>
      <c r="AV472" s="42" t="str">
        <f t="shared" si="326"/>
        <v>-0,00518496002531981-0,00597780757228141i</v>
      </c>
      <c r="AW472" s="20">
        <f t="shared" si="350"/>
        <v>-42.033008504874985</v>
      </c>
      <c r="AX472" s="44">
        <f t="shared" si="351"/>
        <v>-130.93732826954479</v>
      </c>
    </row>
    <row r="473" spans="14:50" x14ac:dyDescent="0.3">
      <c r="N473" s="8">
        <v>55</v>
      </c>
      <c r="O473" s="35">
        <f t="shared" si="316"/>
        <v>354813.38923357555</v>
      </c>
      <c r="P473" s="34" t="str">
        <f t="shared" si="317"/>
        <v>324,571428571429</v>
      </c>
      <c r="Q473" s="4" t="str">
        <f t="shared" si="318"/>
        <v>1+50956,7605490969i</v>
      </c>
      <c r="R473" s="4">
        <f t="shared" si="327"/>
        <v>50956.76055890914</v>
      </c>
      <c r="S473" s="4">
        <f t="shared" si="328"/>
        <v>1.5707767023134913</v>
      </c>
      <c r="T473" s="4" t="str">
        <f t="shared" si="319"/>
        <v>1+0,445871654804598i</v>
      </c>
      <c r="U473" s="4">
        <f t="shared" si="329"/>
        <v>1.0948979553173852</v>
      </c>
      <c r="V473" s="4">
        <f t="shared" si="330"/>
        <v>0.41941549229124259</v>
      </c>
      <c r="W473" t="str">
        <f t="shared" si="320"/>
        <v>1-3,8704136701788i</v>
      </c>
      <c r="X473" s="4">
        <f t="shared" si="331"/>
        <v>3.9975119735038853</v>
      </c>
      <c r="Y473" s="4">
        <f t="shared" si="332"/>
        <v>-1.3179553669409427</v>
      </c>
      <c r="Z473" t="str">
        <f t="shared" si="321"/>
        <v>0,496429835282334+3,3184926808113i</v>
      </c>
      <c r="AA473" s="4">
        <f t="shared" si="333"/>
        <v>3.3554189386657245</v>
      </c>
      <c r="AB473" s="4">
        <f t="shared" si="334"/>
        <v>1.4223025135034053</v>
      </c>
      <c r="AC473" s="48" t="str">
        <f t="shared" si="335"/>
        <v>-0,00607912249226112+0,00566358919208053i</v>
      </c>
      <c r="AD473" s="20">
        <f t="shared" si="336"/>
        <v>-41.609497150606487</v>
      </c>
      <c r="AE473" s="44">
        <f t="shared" si="337"/>
        <v>137.02665064372377</v>
      </c>
      <c r="AF473" t="str">
        <f t="shared" si="322"/>
        <v>-20791,6666666667</v>
      </c>
      <c r="AG473" t="str">
        <f t="shared" si="338"/>
        <v>2229358,27402299i</v>
      </c>
      <c r="AH473">
        <f t="shared" si="339"/>
        <v>2229358.2740229899</v>
      </c>
      <c r="AI473">
        <f t="shared" si="340"/>
        <v>1.5707963267948966</v>
      </c>
      <c r="AJ473" t="str">
        <f t="shared" si="323"/>
        <v>-92709,1881735236+2615,52548489099i</v>
      </c>
      <c r="AK473">
        <f t="shared" si="341"/>
        <v>92746.07563318203</v>
      </c>
      <c r="AL473">
        <f t="shared" si="342"/>
        <v>3.11338798535182</v>
      </c>
      <c r="AM473" t="str">
        <f t="shared" si="324"/>
        <v>1+3595,50902434428i</v>
      </c>
      <c r="AN473">
        <f t="shared" si="343"/>
        <v>3595.5091634066457</v>
      </c>
      <c r="AO473">
        <f t="shared" si="344"/>
        <v>1.5705182020655621</v>
      </c>
      <c r="AP473" t="str">
        <f t="shared" si="325"/>
        <v>1+2525,41705281324i</v>
      </c>
      <c r="AQ473">
        <f t="shared" si="345"/>
        <v>2525.417250800333</v>
      </c>
      <c r="AR473">
        <f t="shared" si="346"/>
        <v>1.5704003526144654</v>
      </c>
      <c r="AS473" s="42" t="str">
        <f t="shared" si="347"/>
        <v>-0,0251343562350231+0,912731065173555i</v>
      </c>
      <c r="AT473">
        <f t="shared" si="348"/>
        <v>-0.78985128275393768</v>
      </c>
      <c r="AU473" s="44">
        <f t="shared" si="349"/>
        <v>91.577385430098587</v>
      </c>
      <c r="AV473" s="42" t="str">
        <f t="shared" si="326"/>
        <v>-0,00501653896567626-0,00569095461600459i</v>
      </c>
      <c r="AW473" s="20">
        <f t="shared" si="350"/>
        <v>-42.39934843336043</v>
      </c>
      <c r="AX473" s="44">
        <f t="shared" si="351"/>
        <v>-131.39596392617759</v>
      </c>
    </row>
    <row r="474" spans="14:50" x14ac:dyDescent="0.3">
      <c r="N474" s="8">
        <v>56</v>
      </c>
      <c r="O474" s="35">
        <f t="shared" si="316"/>
        <v>363078.05477010203</v>
      </c>
      <c r="P474" s="34" t="str">
        <f t="shared" si="317"/>
        <v>324,571428571429</v>
      </c>
      <c r="Q474" s="4" t="str">
        <f t="shared" si="318"/>
        <v>1+52143,6959792194i</v>
      </c>
      <c r="R474" s="4">
        <f t="shared" si="327"/>
        <v>52143.695988808278</v>
      </c>
      <c r="S474" s="4">
        <f t="shared" si="328"/>
        <v>1.5707771490212252</v>
      </c>
      <c r="T474" s="4" t="str">
        <f t="shared" si="319"/>
        <v>1+0,45625733981817i</v>
      </c>
      <c r="U474" s="4">
        <f t="shared" si="329"/>
        <v>1.0991682128491311</v>
      </c>
      <c r="V474" s="4">
        <f t="shared" si="330"/>
        <v>0.42804533206132855</v>
      </c>
      <c r="W474" t="str">
        <f t="shared" si="320"/>
        <v>1-3,96056718592161i</v>
      </c>
      <c r="X474" s="4">
        <f t="shared" si="331"/>
        <v>4.0848613727027523</v>
      </c>
      <c r="Y474" s="4">
        <f t="shared" si="332"/>
        <v>-1.3234763673364081</v>
      </c>
      <c r="Z474" t="str">
        <f t="shared" si="321"/>
        <v>0,472697304577434+3,39579030520919i</v>
      </c>
      <c r="AA474" s="4">
        <f t="shared" si="333"/>
        <v>3.4285324176252869</v>
      </c>
      <c r="AB474" s="4">
        <f t="shared" si="334"/>
        <v>1.4324841411571381</v>
      </c>
      <c r="AC474" s="48" t="str">
        <f t="shared" si="335"/>
        <v>-0,00592482019737215+0,00559863667618958i</v>
      </c>
      <c r="AD474" s="20">
        <f t="shared" si="336"/>
        <v>-41.775166025770041</v>
      </c>
      <c r="AE474" s="44">
        <f t="shared" si="337"/>
        <v>136.62138413147335</v>
      </c>
      <c r="AF474" t="str">
        <f t="shared" si="322"/>
        <v>-20791,6666666667</v>
      </c>
      <c r="AG474" t="str">
        <f t="shared" si="338"/>
        <v>2281286,69909085i</v>
      </c>
      <c r="AH474">
        <f t="shared" si="339"/>
        <v>2281286.6990908501</v>
      </c>
      <c r="AI474">
        <f t="shared" si="340"/>
        <v>1.5707963267948966</v>
      </c>
      <c r="AJ474" t="str">
        <f t="shared" si="323"/>
        <v>-97078,4847316683+2676,44889982068i</v>
      </c>
      <c r="AK474">
        <f t="shared" si="341"/>
        <v>97115.372503585168</v>
      </c>
      <c r="AL474">
        <f t="shared" si="342"/>
        <v>3.1140296864554911</v>
      </c>
      <c r="AM474" t="str">
        <f t="shared" si="324"/>
        <v>1+3679,25918829372i</v>
      </c>
      <c r="AN474">
        <f t="shared" si="343"/>
        <v>3679.2593241906397</v>
      </c>
      <c r="AO474">
        <f t="shared" si="344"/>
        <v>1.5705245329570072</v>
      </c>
      <c r="AP474" t="str">
        <f t="shared" si="325"/>
        <v>1+2584,24157273011i</v>
      </c>
      <c r="AQ474">
        <f t="shared" si="345"/>
        <v>2584.2417662104667</v>
      </c>
      <c r="AR474">
        <f t="shared" si="346"/>
        <v>1.5704093660863314</v>
      </c>
      <c r="AS474" s="42" t="str">
        <f t="shared" si="347"/>
        <v>-0,0240039596067189+0,891985505996544i</v>
      </c>
      <c r="AT474">
        <f t="shared" si="348"/>
        <v>-0.98970008766311479</v>
      </c>
      <c r="AU474" s="44">
        <f t="shared" si="349"/>
        <v>91.541497832406407</v>
      </c>
      <c r="AV474" s="42" t="str">
        <f t="shared" si="326"/>
        <v>-0,00485168362380698-0,00541924319031949i</v>
      </c>
      <c r="AW474" s="20">
        <f t="shared" si="350"/>
        <v>-42.764866113433158</v>
      </c>
      <c r="AX474" s="44">
        <f t="shared" si="351"/>
        <v>-131.83711803612024</v>
      </c>
    </row>
    <row r="475" spans="14:50" x14ac:dyDescent="0.3">
      <c r="N475" s="8">
        <v>57</v>
      </c>
      <c r="O475" s="35">
        <f t="shared" si="316"/>
        <v>371535.2290971732</v>
      </c>
      <c r="P475" s="34" t="str">
        <f t="shared" si="317"/>
        <v>324,571428571429</v>
      </c>
      <c r="Q475" s="4" t="str">
        <f t="shared" si="318"/>
        <v>1+53358,2786871534i</v>
      </c>
      <c r="R475" s="4">
        <f t="shared" si="327"/>
        <v>53358.278696524008</v>
      </c>
      <c r="S475" s="4">
        <f t="shared" si="328"/>
        <v>1.5707775855606498</v>
      </c>
      <c r="T475" s="4" t="str">
        <f t="shared" si="319"/>
        <v>1+0,466884938512592i</v>
      </c>
      <c r="U475" s="4">
        <f t="shared" si="329"/>
        <v>1.1036220121988809</v>
      </c>
      <c r="V475" s="4">
        <f t="shared" si="330"/>
        <v>0.43680638265033306</v>
      </c>
      <c r="W475" t="str">
        <f t="shared" si="320"/>
        <v>1-4,05282064681069i</v>
      </c>
      <c r="X475" s="4">
        <f t="shared" si="331"/>
        <v>4.1743688379460462</v>
      </c>
      <c r="Y475" s="4">
        <f t="shared" si="332"/>
        <v>-1.328886608745993</v>
      </c>
      <c r="Z475" t="str">
        <f t="shared" si="321"/>
        <v>0,447846294158843+3,47488842257549i</v>
      </c>
      <c r="AA475" s="4">
        <f t="shared" si="333"/>
        <v>3.5036289547469184</v>
      </c>
      <c r="AB475" s="4">
        <f t="shared" si="334"/>
        <v>1.4426221095666971</v>
      </c>
      <c r="AC475" s="48" t="str">
        <f t="shared" si="335"/>
        <v>-0,00577604374148622+0,00553274405831462i</v>
      </c>
      <c r="AD475" s="20">
        <f t="shared" si="336"/>
        <v>-41.939969140872215</v>
      </c>
      <c r="AE475" s="44">
        <f t="shared" si="337"/>
        <v>136.23248354083654</v>
      </c>
      <c r="AF475" t="str">
        <f t="shared" si="322"/>
        <v>-20791,6666666667</v>
      </c>
      <c r="AG475" t="str">
        <f t="shared" si="338"/>
        <v>2334424,69256296i</v>
      </c>
      <c r="AH475">
        <f t="shared" si="339"/>
        <v>2334424.6925629601</v>
      </c>
      <c r="AI475">
        <f t="shared" si="340"/>
        <v>1.5707963267948966</v>
      </c>
      <c r="AJ475" t="str">
        <f t="shared" si="323"/>
        <v>-101653,699892601+2738,79140338403i</v>
      </c>
      <c r="AK475">
        <f t="shared" si="341"/>
        <v>101690.58796273252</v>
      </c>
      <c r="AL475">
        <f t="shared" si="342"/>
        <v>3.1146568017067993</v>
      </c>
      <c r="AM475" t="str">
        <f t="shared" si="324"/>
        <v>1+3764,96014416554i</v>
      </c>
      <c r="AN475">
        <f t="shared" si="343"/>
        <v>3764.9602769690687</v>
      </c>
      <c r="AO475">
        <f t="shared" si="344"/>
        <v>1.5705307197397904</v>
      </c>
      <c r="AP475" t="str">
        <f t="shared" si="325"/>
        <v>1+2644,43629173532i</v>
      </c>
      <c r="AQ475">
        <f t="shared" si="345"/>
        <v>2644.4364808115265</v>
      </c>
      <c r="AR475">
        <f t="shared" si="346"/>
        <v>1.5704181743865899</v>
      </c>
      <c r="AS475" s="42" t="str">
        <f t="shared" si="347"/>
        <v>-0,0229243657225585+0,871710123830277i</v>
      </c>
      <c r="AT475">
        <f t="shared" si="348"/>
        <v>-1.1895556925573114</v>
      </c>
      <c r="AU475" s="44">
        <f t="shared" si="349"/>
        <v>91.506425930209886</v>
      </c>
      <c r="AV475" s="42" t="str">
        <f t="shared" si="326"/>
        <v>-0,00469053686903534-0,00516187045338217i</v>
      </c>
      <c r="AW475" s="20">
        <f t="shared" si="350"/>
        <v>-43.129524833429528</v>
      </c>
      <c r="AX475" s="44">
        <f t="shared" si="351"/>
        <v>-132.26109052895353</v>
      </c>
    </row>
    <row r="476" spans="14:50" x14ac:dyDescent="0.3">
      <c r="N476" s="8">
        <v>58</v>
      </c>
      <c r="O476" s="35">
        <f t="shared" si="316"/>
        <v>380189.39632056188</v>
      </c>
      <c r="P476" s="34" t="str">
        <f t="shared" si="317"/>
        <v>324,571428571429</v>
      </c>
      <c r="Q476" s="4" t="str">
        <f t="shared" si="318"/>
        <v>1+54601,1526607275i</v>
      </c>
      <c r="R476" s="4">
        <f t="shared" si="327"/>
        <v>54601.152669884825</v>
      </c>
      <c r="S476" s="4">
        <f t="shared" si="328"/>
        <v>1.570778012163224</v>
      </c>
      <c r="T476" s="4" t="str">
        <f t="shared" si="319"/>
        <v>1+0,477760085781366i</v>
      </c>
      <c r="U476" s="4">
        <f t="shared" si="329"/>
        <v>1.1082665291191547</v>
      </c>
      <c r="V476" s="4">
        <f t="shared" si="330"/>
        <v>0.44569790855213098</v>
      </c>
      <c r="W476" t="str">
        <f t="shared" si="320"/>
        <v>1-4,14722296685214i</v>
      </c>
      <c r="X476" s="4">
        <f t="shared" si="331"/>
        <v>4.2660823171600741</v>
      </c>
      <c r="Y476" s="4">
        <f t="shared" si="332"/>
        <v>-1.3341876923160823</v>
      </c>
      <c r="Z476" t="str">
        <f t="shared" si="321"/>
        <v>0,421824091701626+3,55582897177902i</v>
      </c>
      <c r="AA476" s="4">
        <f t="shared" si="333"/>
        <v>3.5807618240931554</v>
      </c>
      <c r="AB476" s="4">
        <f t="shared" si="334"/>
        <v>1.4527192522734955</v>
      </c>
      <c r="AC476" s="48" t="str">
        <f t="shared" si="335"/>
        <v>-0,00563262377504166+0,00546608876172077i</v>
      </c>
      <c r="AD476" s="20">
        <f t="shared" si="336"/>
        <v>-42.103870205159559</v>
      </c>
      <c r="AE476" s="44">
        <f t="shared" si="337"/>
        <v>135.85965262826068</v>
      </c>
      <c r="AF476" t="str">
        <f t="shared" si="322"/>
        <v>-20791,6666666667</v>
      </c>
      <c r="AG476" t="str">
        <f t="shared" si="338"/>
        <v>2388800,42890683i</v>
      </c>
      <c r="AH476">
        <f t="shared" si="339"/>
        <v>2388800.42890683</v>
      </c>
      <c r="AI476">
        <f t="shared" si="340"/>
        <v>1.5707963267948966</v>
      </c>
      <c r="AJ476" t="str">
        <f t="shared" si="323"/>
        <v>-106444,538301089+2802,58605040165i</v>
      </c>
      <c r="AK476">
        <f t="shared" si="341"/>
        <v>106481.42665602255</v>
      </c>
      <c r="AL476">
        <f t="shared" si="342"/>
        <v>3.1152696617167179</v>
      </c>
      <c r="AM476" t="str">
        <f t="shared" si="324"/>
        <v>1+3852,65733174093i</v>
      </c>
      <c r="AN476">
        <f t="shared" si="343"/>
        <v>3852.6574615214809</v>
      </c>
      <c r="AO476">
        <f t="shared" si="344"/>
        <v>1.5705367656942235</v>
      </c>
      <c r="AP476" t="str">
        <f t="shared" si="325"/>
        <v>1+2706,03312586566i</v>
      </c>
      <c r="AQ476">
        <f t="shared" si="345"/>
        <v>2706.0333106379671</v>
      </c>
      <c r="AR476">
        <f t="shared" si="346"/>
        <v>1.5704267821855122</v>
      </c>
      <c r="AS476" s="42" t="str">
        <f t="shared" si="347"/>
        <v>-0,0218932945415855+0,851894352727069i</v>
      </c>
      <c r="AT476">
        <f t="shared" si="348"/>
        <v>-1.3894177918191175</v>
      </c>
      <c r="AU476" s="44">
        <f t="shared" si="349"/>
        <v>91.472151236430491</v>
      </c>
      <c r="AV476" s="42" t="str">
        <f t="shared" si="326"/>
        <v>-0,0045332134562659-0,00491807107624502i</v>
      </c>
      <c r="AW476" s="20">
        <f t="shared" si="350"/>
        <v>-43.493287996978665</v>
      </c>
      <c r="AX476" s="44">
        <f t="shared" si="351"/>
        <v>-132.66819613530882</v>
      </c>
    </row>
    <row r="477" spans="14:50" x14ac:dyDescent="0.3">
      <c r="N477" s="8">
        <v>59</v>
      </c>
      <c r="O477" s="35">
        <f t="shared" si="316"/>
        <v>389045.14499428123</v>
      </c>
      <c r="P477" s="34" t="str">
        <f t="shared" si="317"/>
        <v>324,571428571429</v>
      </c>
      <c r="Q477" s="4" t="str">
        <f t="shared" si="318"/>
        <v>1+55872,9768881742i</v>
      </c>
      <c r="R477" s="4">
        <f t="shared" si="327"/>
        <v>55872.976897123066</v>
      </c>
      <c r="S477" s="4">
        <f t="shared" si="328"/>
        <v>1.5707784290551379</v>
      </c>
      <c r="T477" s="4" t="str">
        <f t="shared" si="319"/>
        <v>1+0,488888547771524i</v>
      </c>
      <c r="U477" s="4">
        <f t="shared" si="329"/>
        <v>1.1131091645216789</v>
      </c>
      <c r="V477" s="4">
        <f t="shared" si="330"/>
        <v>0.45471899950699696</v>
      </c>
      <c r="W477" t="str">
        <f t="shared" si="320"/>
        <v>1-4,24382419940559i</v>
      </c>
      <c r="X477" s="4">
        <f t="shared" si="331"/>
        <v>4.360050898264892</v>
      </c>
      <c r="Y477" s="4">
        <f t="shared" si="332"/>
        <v>-1.3393812364876223</v>
      </c>
      <c r="Z477" t="str">
        <f t="shared" si="321"/>
        <v>0,394575500625514+3,63865486857035i</v>
      </c>
      <c r="AA477" s="4">
        <f t="shared" si="333"/>
        <v>3.6599862128517078</v>
      </c>
      <c r="AB477" s="4">
        <f t="shared" si="334"/>
        <v>1.4627784732244387</v>
      </c>
      <c r="AC477" s="48" t="str">
        <f t="shared" si="335"/>
        <v>-0,00549439167701734+0,00539883733200613i</v>
      </c>
      <c r="AD477" s="20">
        <f t="shared" si="336"/>
        <v>-42.266833117497846</v>
      </c>
      <c r="AE477" s="44">
        <f t="shared" si="337"/>
        <v>135.50258011300824</v>
      </c>
      <c r="AF477" t="str">
        <f t="shared" si="322"/>
        <v>-20791,6666666667</v>
      </c>
      <c r="AG477" t="str">
        <f t="shared" si="338"/>
        <v>2444442,73885762i</v>
      </c>
      <c r="AH477">
        <f t="shared" si="339"/>
        <v>2444442.7388576199</v>
      </c>
      <c r="AI477">
        <f t="shared" si="340"/>
        <v>1.5707963267948966</v>
      </c>
      <c r="AJ477" t="str">
        <f t="shared" si="323"/>
        <v>-111461,161967716+2867,86666563981i</v>
      </c>
      <c r="AK477">
        <f t="shared" si="341"/>
        <v>111498.05059464183</v>
      </c>
      <c r="AL477">
        <f t="shared" si="342"/>
        <v>3.115868589664136</v>
      </c>
      <c r="AM477" t="str">
        <f t="shared" si="324"/>
        <v>1+3942,39724922957i</v>
      </c>
      <c r="AN477">
        <f t="shared" si="343"/>
        <v>3942.3973760559556</v>
      </c>
      <c r="AO477">
        <f t="shared" si="344"/>
        <v>1.5705426740259503</v>
      </c>
      <c r="AP477" t="str">
        <f t="shared" si="325"/>
        <v>1+2769,06473457791i</v>
      </c>
      <c r="AQ477">
        <f t="shared" si="345"/>
        <v>2769.0649151442854</v>
      </c>
      <c r="AR477">
        <f t="shared" si="346"/>
        <v>1.5704351940470629</v>
      </c>
      <c r="AS477" s="42" t="str">
        <f t="shared" si="347"/>
        <v>-0,0209085680741162+0,832527858155993i</v>
      </c>
      <c r="AT477">
        <f t="shared" si="348"/>
        <v>-1.5892860935479844</v>
      </c>
      <c r="AU477" s="44">
        <f t="shared" si="349"/>
        <v>91.438655679447606</v>
      </c>
      <c r="AV477" s="42" t="str">
        <f t="shared" si="326"/>
        <v>-0,0043798026181429-0,00468711609261469i</v>
      </c>
      <c r="AW477" s="20">
        <f t="shared" si="350"/>
        <v>-43.856119211045829</v>
      </c>
      <c r="AX477" s="44">
        <f t="shared" si="351"/>
        <v>-133.05876420754413</v>
      </c>
    </row>
    <row r="478" spans="14:50" x14ac:dyDescent="0.3">
      <c r="N478" s="8">
        <v>60</v>
      </c>
      <c r="O478" s="35">
        <f t="shared" si="316"/>
        <v>398107.17055349716</v>
      </c>
      <c r="P478" s="34" t="str">
        <f t="shared" si="317"/>
        <v>324,571428571429</v>
      </c>
      <c r="Q478" s="4" t="str">
        <f t="shared" si="318"/>
        <v>1+57174,425707533i</v>
      </c>
      <c r="R478" s="4">
        <f t="shared" si="327"/>
        <v>57174.425716278165</v>
      </c>
      <c r="S478" s="4">
        <f t="shared" si="328"/>
        <v>1.5707788364574333</v>
      </c>
      <c r="T478" s="4" t="str">
        <f t="shared" si="319"/>
        <v>1+0,500276224940914i</v>
      </c>
      <c r="U478" s="4">
        <f t="shared" si="329"/>
        <v>1.1181575475938674</v>
      </c>
      <c r="V478" s="4">
        <f t="shared" si="330"/>
        <v>0.46386856453656916</v>
      </c>
      <c r="W478" t="str">
        <f t="shared" si="320"/>
        <v>1-4,34267556372321i</v>
      </c>
      <c r="X478" s="4">
        <f t="shared" si="331"/>
        <v>4.4563248368760888</v>
      </c>
      <c r="Y478" s="4">
        <f t="shared" si="332"/>
        <v>-1.3444688737742791</v>
      </c>
      <c r="Z478" t="str">
        <f t="shared" si="321"/>
        <v>0,366042723015554+3,72341002833628i</v>
      </c>
      <c r="AA478" s="4">
        <f t="shared" si="333"/>
        <v>3.7413593136970711</v>
      </c>
      <c r="AB478" s="4">
        <f t="shared" si="334"/>
        <v>1.4728027407858841</v>
      </c>
      <c r="AC478" s="48" t="str">
        <f t="shared" si="335"/>
        <v>-0,00536117991647324+0,00533114583748998i</v>
      </c>
      <c r="AD478" s="20">
        <f t="shared" si="336"/>
        <v>-42.428822059059073</v>
      </c>
      <c r="AE478" s="44">
        <f t="shared" si="337"/>
        <v>135.16093986295161</v>
      </c>
      <c r="AF478" t="str">
        <f t="shared" si="322"/>
        <v>-20791,6666666667</v>
      </c>
      <c r="AG478" t="str">
        <f t="shared" si="338"/>
        <v>2501381,12470457i</v>
      </c>
      <c r="AH478">
        <f t="shared" si="339"/>
        <v>2501381.12470457</v>
      </c>
      <c r="AI478">
        <f t="shared" si="340"/>
        <v>1.5707963267948966</v>
      </c>
      <c r="AJ478" t="str">
        <f t="shared" si="323"/>
        <v>-116714,211823868+2934,66786174478i</v>
      </c>
      <c r="AK478">
        <f t="shared" si="341"/>
        <v>116751.10071055214</v>
      </c>
      <c r="AL478">
        <f t="shared" si="342"/>
        <v>3.116453901458804</v>
      </c>
      <c r="AM478" t="str">
        <f t="shared" si="324"/>
        <v>1+4034,22747792353i</v>
      </c>
      <c r="AN478">
        <f t="shared" si="343"/>
        <v>4034.2276018629941</v>
      </c>
      <c r="AO478">
        <f t="shared" si="344"/>
        <v>1.5705484478676446</v>
      </c>
      <c r="AP478" t="str">
        <f t="shared" si="325"/>
        <v>1+2833,56453806534i</v>
      </c>
      <c r="AQ478">
        <f t="shared" si="345"/>
        <v>2833.5647145215235</v>
      </c>
      <c r="AR478">
        <f t="shared" si="346"/>
        <v>1.5704434144313169</v>
      </c>
      <c r="AS478" s="42" t="str">
        <f t="shared" si="347"/>
        <v>-0,0199681058384952+0,813600532339625i</v>
      </c>
      <c r="AT478">
        <f t="shared" si="348"/>
        <v>-1.7891603189463905</v>
      </c>
      <c r="AU478" s="44">
        <f t="shared" si="349"/>
        <v>91.405921593998301</v>
      </c>
      <c r="AV478" s="42" t="str">
        <f t="shared" si="326"/>
        <v>-0,00423037048337067-0,00446831171833459i</v>
      </c>
      <c r="AW478" s="20">
        <f t="shared" si="350"/>
        <v>-44.217982378005459</v>
      </c>
      <c r="AX478" s="44">
        <f t="shared" si="351"/>
        <v>-133.43313854305009</v>
      </c>
    </row>
    <row r="479" spans="14:50" x14ac:dyDescent="0.3">
      <c r="N479" s="8">
        <v>61</v>
      </c>
      <c r="O479" s="35">
        <f t="shared" si="316"/>
        <v>407380.27780411334</v>
      </c>
      <c r="P479" s="34" t="str">
        <f t="shared" si="317"/>
        <v>324,571428571429</v>
      </c>
      <c r="Q479" s="4" t="str">
        <f t="shared" si="318"/>
        <v>1+58506,1891641952i</v>
      </c>
      <c r="R479" s="4">
        <f t="shared" si="327"/>
        <v>58506.189172741309</v>
      </c>
      <c r="S479" s="4">
        <f t="shared" si="328"/>
        <v>1.5707792345861202</v>
      </c>
      <c r="T479" s="4" t="str">
        <f t="shared" si="319"/>
        <v>1+0,511929155186708i</v>
      </c>
      <c r="U479" s="4">
        <f t="shared" si="329"/>
        <v>1.1234195386987786</v>
      </c>
      <c r="V479" s="4">
        <f t="shared" si="330"/>
        <v>0.47314532629399397</v>
      </c>
      <c r="W479" t="str">
        <f t="shared" si="320"/>
        <v>1-4,44382947210684i</v>
      </c>
      <c r="X479" s="4">
        <f t="shared" si="331"/>
        <v>4.5549555845436469</v>
      </c>
      <c r="Y479" s="4">
        <f t="shared" si="332"/>
        <v>-1.3494522477305049</v>
      </c>
      <c r="Z479" t="str">
        <f t="shared" si="321"/>
        <v>0,336165237024974+3,8101393893844i</v>
      </c>
      <c r="AA479" s="4">
        <f t="shared" si="333"/>
        <v>3.8249404221664141</v>
      </c>
      <c r="AB479" s="4">
        <f t="shared" si="334"/>
        <v>1.4827950818728881</v>
      </c>
      <c r="AC479" s="48" t="str">
        <f t="shared" si="335"/>
        <v>-0,00523282237921072+0,00526316027140335i</v>
      </c>
      <c r="AD479" s="20">
        <f t="shared" si="336"/>
        <v>-42.589801590053618</v>
      </c>
      <c r="AE479" s="44">
        <f t="shared" si="337"/>
        <v>134.83439108093921</v>
      </c>
      <c r="AF479" t="str">
        <f t="shared" si="322"/>
        <v>-20791,6666666667</v>
      </c>
      <c r="AG479" t="str">
        <f t="shared" si="338"/>
        <v>2559645,77593354i</v>
      </c>
      <c r="AH479">
        <f t="shared" si="339"/>
        <v>2559645.77593354</v>
      </c>
      <c r="AI479">
        <f t="shared" si="340"/>
        <v>1.5707963267948966</v>
      </c>
      <c r="AJ479" t="str">
        <f t="shared" si="323"/>
        <v>-122214,83029258+3003,02505759499i</v>
      </c>
      <c r="AK479">
        <f t="shared" si="341"/>
        <v>122251.71942733842</v>
      </c>
      <c r="AL479">
        <f t="shared" si="342"/>
        <v>3.1170259059009857</v>
      </c>
      <c r="AM479" t="str">
        <f t="shared" si="324"/>
        <v>1+4128,19670742561i</v>
      </c>
      <c r="AN479">
        <f t="shared" si="343"/>
        <v>4128.1968285438679</v>
      </c>
      <c r="AO479">
        <f t="shared" si="344"/>
        <v>1.5705540902806721</v>
      </c>
      <c r="AP479" t="str">
        <f t="shared" si="325"/>
        <v>1+2899,56673497751i</v>
      </c>
      <c r="AQ479">
        <f t="shared" si="345"/>
        <v>2899.566907417061</v>
      </c>
      <c r="AR479">
        <f t="shared" si="346"/>
        <v>1.5704514476968265</v>
      </c>
      <c r="AS479" s="42" t="str">
        <f t="shared" si="347"/>
        <v>-0,0190699205179625+0,795102489656881i</v>
      </c>
      <c r="AT479">
        <f t="shared" si="348"/>
        <v>-1.9890402017332418</v>
      </c>
      <c r="AU479" s="44">
        <f t="shared" si="349"/>
        <v>91.373931712260699</v>
      </c>
      <c r="AV479" s="42" t="str">
        <f t="shared" si="326"/>
        <v>-0,00408496232839982-0,00426099814969165i</v>
      </c>
      <c r="AW479" s="20">
        <f t="shared" si="350"/>
        <v>-44.578841791786857</v>
      </c>
      <c r="AX479" s="44">
        <f t="shared" si="351"/>
        <v>-133.79167720680005</v>
      </c>
    </row>
    <row r="480" spans="14:50" x14ac:dyDescent="0.3">
      <c r="N480" s="8">
        <v>62</v>
      </c>
      <c r="O480" s="35">
        <f t="shared" si="316"/>
        <v>416869.38347033598</v>
      </c>
      <c r="P480" s="34" t="str">
        <f t="shared" si="317"/>
        <v>324,571428571429</v>
      </c>
      <c r="Q480" s="4" t="str">
        <f t="shared" si="318"/>
        <v>1+59868,9733767733i</v>
      </c>
      <c r="R480" s="4">
        <f t="shared" si="327"/>
        <v>59868.973385124875</v>
      </c>
      <c r="S480" s="4">
        <f t="shared" si="328"/>
        <v>1.570779623652292</v>
      </c>
      <c r="T480" s="4" t="str">
        <f t="shared" si="319"/>
        <v>1+0,523853517046766i</v>
      </c>
      <c r="U480" s="4">
        <f t="shared" si="329"/>
        <v>1.1289032320452743</v>
      </c>
      <c r="V480" s="4">
        <f t="shared" si="330"/>
        <v>0.48254781578190931</v>
      </c>
      <c r="W480" t="str">
        <f t="shared" si="320"/>
        <v>1-4,54733955769762i</v>
      </c>
      <c r="X480" s="4">
        <f t="shared" si="331"/>
        <v>4.6559958175455423</v>
      </c>
      <c r="Y480" s="4">
        <f t="shared" si="332"/>
        <v>-1.3543330101038689</v>
      </c>
      <c r="Z480" t="str">
        <f t="shared" si="321"/>
        <v>0,304879668500245+3,89888893676994i</v>
      </c>
      <c r="AA480" s="4">
        <f t="shared" si="333"/>
        <v>3.9107910393591547</v>
      </c>
      <c r="AB480" s="4">
        <f t="shared" si="334"/>
        <v>1.492758576189243</v>
      </c>
      <c r="AC480" s="48" t="str">
        <f t="shared" si="335"/>
        <v>-0,00510915466116898+0,00519501695358787i</v>
      </c>
      <c r="AD480" s="20">
        <f t="shared" si="336"/>
        <v>-42.749736750508362</v>
      </c>
      <c r="AE480" s="44">
        <f t="shared" si="337"/>
        <v>134.52257849533373</v>
      </c>
      <c r="AF480" t="str">
        <f t="shared" si="322"/>
        <v>-20791,6666666667</v>
      </c>
      <c r="AG480" t="str">
        <f t="shared" si="338"/>
        <v>2619267,58523383i</v>
      </c>
      <c r="AH480">
        <f t="shared" si="339"/>
        <v>2619267.5852338299</v>
      </c>
      <c r="AI480">
        <f t="shared" si="340"/>
        <v>1.5707963267948966</v>
      </c>
      <c r="AJ480" t="str">
        <f t="shared" si="323"/>
        <v>-127974,684923106+3072,97449708047i</v>
      </c>
      <c r="AK480">
        <f t="shared" si="341"/>
        <v>128011.57429477992</v>
      </c>
      <c r="AL480">
        <f t="shared" si="342"/>
        <v>3.117584904837865</v>
      </c>
      <c r="AM480" t="str">
        <f t="shared" si="324"/>
        <v>1+4224,35476146512i</v>
      </c>
      <c r="AN480">
        <f t="shared" si="343"/>
        <v>4224.3548798263892</v>
      </c>
      <c r="AO480">
        <f t="shared" si="344"/>
        <v>1.5705596042567134</v>
      </c>
      <c r="AP480" t="str">
        <f t="shared" si="325"/>
        <v>1+2967,10632055288i</v>
      </c>
      <c r="AQ480">
        <f t="shared" si="345"/>
        <v>2967.1064890672274</v>
      </c>
      <c r="AR480">
        <f t="shared" si="346"/>
        <v>1.5704592981029315</v>
      </c>
      <c r="AS480" s="42" t="str">
        <f t="shared" si="347"/>
        <v>-0,0182121138090066+0,777024062113079i</v>
      </c>
      <c r="AT480">
        <f t="shared" si="348"/>
        <v>-2.1889254875832749</v>
      </c>
      <c r="AU480" s="44">
        <f t="shared" si="349"/>
        <v>91.342669155118017</v>
      </c>
      <c r="AV480" s="42" t="str">
        <f t="shared" si="326"/>
        <v>-0,00394360466986613-0,00406454834878395i</v>
      </c>
      <c r="AW480" s="20">
        <f t="shared" si="350"/>
        <v>-44.938662238091645</v>
      </c>
      <c r="AX480" s="44">
        <f t="shared" si="351"/>
        <v>-134.13475234954828</v>
      </c>
    </row>
    <row r="481" spans="14:50" x14ac:dyDescent="0.3">
      <c r="N481" s="8">
        <v>63</v>
      </c>
      <c r="O481" s="35">
        <f t="shared" si="316"/>
        <v>426579.51880159322</v>
      </c>
      <c r="P481" s="34" t="str">
        <f t="shared" si="317"/>
        <v>324,571428571429</v>
      </c>
      <c r="Q481" s="4" t="str">
        <f t="shared" si="318"/>
        <v>1+61263,5009114951i</v>
      </c>
      <c r="R481" s="4">
        <f t="shared" si="327"/>
        <v>61263.500919656581</v>
      </c>
      <c r="S481" s="4">
        <f t="shared" si="328"/>
        <v>1.5707800038622364</v>
      </c>
      <c r="T481" s="4" t="str">
        <f t="shared" si="319"/>
        <v>1+0,536055632975582i</v>
      </c>
      <c r="U481" s="4">
        <f t="shared" si="329"/>
        <v>1.1346169581161969</v>
      </c>
      <c r="V481" s="4">
        <f t="shared" si="330"/>
        <v>0.49207436749234323</v>
      </c>
      <c r="W481" t="str">
        <f t="shared" si="320"/>
        <v>1-4,65326070291304i</v>
      </c>
      <c r="X481" s="4">
        <f t="shared" si="331"/>
        <v>4.7594994662542787</v>
      </c>
      <c r="Y481" s="4">
        <f t="shared" si="332"/>
        <v>-1.3591128181657162</v>
      </c>
      <c r="Z481" t="str">
        <f t="shared" si="321"/>
        <v>0,272119656556002+3,98970572667764i</v>
      </c>
      <c r="AA481" s="4">
        <f t="shared" si="333"/>
        <v>3.9989749802878878</v>
      </c>
      <c r="AB481" s="4">
        <f t="shared" si="334"/>
        <v>1.5026963505724384</v>
      </c>
      <c r="AC481" s="48" t="str">
        <f t="shared" si="335"/>
        <v>-0,00499001433024154+0,00512684292964991i</v>
      </c>
      <c r="AD481" s="20">
        <f t="shared" si="336"/>
        <v>-42.908593165046028</v>
      </c>
      <c r="AE481" s="44">
        <f t="shared" si="337"/>
        <v>134.22513255849285</v>
      </c>
      <c r="AF481" t="str">
        <f t="shared" si="322"/>
        <v>-20791,6666666667</v>
      </c>
      <c r="AG481" t="str">
        <f t="shared" si="338"/>
        <v>2680278,16487791i</v>
      </c>
      <c r="AH481">
        <f t="shared" si="339"/>
        <v>2680278.1648779102</v>
      </c>
      <c r="AI481">
        <f t="shared" si="340"/>
        <v>1.5707963267948966</v>
      </c>
      <c r="AJ481" t="str">
        <f t="shared" si="323"/>
        <v>-134005,993139351+3144,55326831992i</v>
      </c>
      <c r="AK481">
        <f t="shared" si="341"/>
        <v>134042.8827372833</v>
      </c>
      <c r="AL481">
        <f t="shared" si="342"/>
        <v>3.1181311933167462</v>
      </c>
      <c r="AM481" t="str">
        <f t="shared" si="324"/>
        <v>1+4322,75262431509i</v>
      </c>
      <c r="AN481">
        <f t="shared" si="343"/>
        <v>4322.7527399821274</v>
      </c>
      <c r="AO481">
        <f t="shared" si="344"/>
        <v>1.5705649927193504</v>
      </c>
      <c r="AP481" t="str">
        <f t="shared" si="325"/>
        <v>1+3036,2191051737i</v>
      </c>
      <c r="AQ481">
        <f t="shared" si="345"/>
        <v>3036.2192698521926</v>
      </c>
      <c r="AR481">
        <f t="shared" si="346"/>
        <v>1.5704669698120171</v>
      </c>
      <c r="AS481" s="42" t="str">
        <f t="shared" si="347"/>
        <v>-0,0173928724529367+0,75935579487818i</v>
      </c>
      <c r="AT481">
        <f t="shared" si="348"/>
        <v>-2.3888159335912191</v>
      </c>
      <c r="AU481" s="44">
        <f t="shared" si="349"/>
        <v>91.312117423600895</v>
      </c>
      <c r="AV481" s="42" t="str">
        <f t="shared" si="326"/>
        <v>-0,00380630720527567-0,00387836682335571i</v>
      </c>
      <c r="AW481" s="20">
        <f t="shared" si="350"/>
        <v>-45.297409098637253</v>
      </c>
      <c r="AX481" s="44">
        <f t="shared" si="351"/>
        <v>-134.4627500179063</v>
      </c>
    </row>
    <row r="482" spans="14:50" x14ac:dyDescent="0.3">
      <c r="N482" s="8">
        <v>64</v>
      </c>
      <c r="O482" s="35">
        <f t="shared" si="316"/>
        <v>436515.83224016649</v>
      </c>
      <c r="P482" s="34" t="str">
        <f t="shared" si="317"/>
        <v>324,571428571429</v>
      </c>
      <c r="Q482" s="4" t="str">
        <f t="shared" si="318"/>
        <v>1+62690,5111653184i</v>
      </c>
      <c r="R482" s="4">
        <f t="shared" si="327"/>
        <v>62690.511173294079</v>
      </c>
      <c r="S482" s="4">
        <f t="shared" si="328"/>
        <v>1.5707803754175458</v>
      </c>
      <c r="T482" s="4" t="str">
        <f t="shared" si="319"/>
        <v>1+0,548541972696536i</v>
      </c>
      <c r="U482" s="4">
        <f t="shared" si="329"/>
        <v>1.1405692858436121</v>
      </c>
      <c r="V482" s="4">
        <f t="shared" si="330"/>
        <v>0.50172311502349554</v>
      </c>
      <c r="W482" t="str">
        <f t="shared" si="320"/>
        <v>1-4,76164906854632i</v>
      </c>
      <c r="X482" s="4">
        <f t="shared" si="331"/>
        <v>4.8655217450945614</v>
      </c>
      <c r="Y482" s="4">
        <f t="shared" si="332"/>
        <v>-1.3637933322139619</v>
      </c>
      <c r="Z482" t="str">
        <f t="shared" si="321"/>
        <v>0,2378157128147+4,08263791137161i</v>
      </c>
      <c r="AA482" s="4">
        <f t="shared" si="333"/>
        <v>4.0895584882270981</v>
      </c>
      <c r="AB482" s="4">
        <f t="shared" si="334"/>
        <v>1.5126115734363845</v>
      </c>
      <c r="AC482" s="48" t="str">
        <f t="shared" si="335"/>
        <v>-0,00487524115824307+0,00505875636574591i</v>
      </c>
      <c r="AD482" s="20">
        <f t="shared" si="336"/>
        <v>-43.06633715157232</v>
      </c>
      <c r="AE482" s="44">
        <f t="shared" si="337"/>
        <v>133.94166965711207</v>
      </c>
      <c r="AF482" t="str">
        <f t="shared" si="322"/>
        <v>-20791,6666666667</v>
      </c>
      <c r="AG482" t="str">
        <f t="shared" si="338"/>
        <v>2742709,86348268i</v>
      </c>
      <c r="AH482">
        <f t="shared" si="339"/>
        <v>2742709.8634826802</v>
      </c>
      <c r="AI482">
        <f t="shared" si="340"/>
        <v>1.5707963267948966</v>
      </c>
      <c r="AJ482" t="str">
        <f t="shared" si="323"/>
        <v>-140321,548154675+3217,79932332531i</v>
      </c>
      <c r="AK482">
        <f t="shared" si="341"/>
        <v>140358.43796868774</v>
      </c>
      <c r="AL482">
        <f t="shared" si="342"/>
        <v>3.1186650597351142</v>
      </c>
      <c r="AM482" t="str">
        <f t="shared" si="324"/>
        <v>1+4423,44246782486i</v>
      </c>
      <c r="AN482">
        <f t="shared" si="343"/>
        <v>4423.4425808589949</v>
      </c>
      <c r="AO482">
        <f t="shared" si="344"/>
        <v>1.5705702585256158</v>
      </c>
      <c r="AP482" t="str">
        <f t="shared" si="325"/>
        <v>1+3106,94173335318i</v>
      </c>
      <c r="AQ482">
        <f t="shared" si="345"/>
        <v>3106.9418942831326</v>
      </c>
      <c r="AR482">
        <f t="shared" si="346"/>
        <v>1.5704744668917212</v>
      </c>
      <c r="AS482" s="42" t="str">
        <f t="shared" si="347"/>
        <v>-0,0166104644427414+0,742088441893876i</v>
      </c>
      <c r="AT482">
        <f t="shared" si="348"/>
        <v>-2.5887113077606134</v>
      </c>
      <c r="AU482" s="44">
        <f t="shared" si="349"/>
        <v>91.28226039050513</v>
      </c>
      <c r="AV482" s="42" t="str">
        <f t="shared" si="326"/>
        <v>-0,00367306460946832-0,00370188840771521i</v>
      </c>
      <c r="AW482" s="20">
        <f t="shared" si="350"/>
        <v>-45.655048459332932</v>
      </c>
      <c r="AX482" s="44">
        <f t="shared" si="351"/>
        <v>-134.77606995238276</v>
      </c>
    </row>
    <row r="483" spans="14:50" x14ac:dyDescent="0.3">
      <c r="N483" s="8">
        <v>65</v>
      </c>
      <c r="O483" s="35">
        <f t="shared" si="316"/>
        <v>446683.59215096442</v>
      </c>
      <c r="P483" s="34" t="str">
        <f t="shared" si="317"/>
        <v>324,571428571429</v>
      </c>
      <c r="Q483" s="4" t="str">
        <f t="shared" si="318"/>
        <v>1+64150,7607579689i</v>
      </c>
      <c r="R483" s="4">
        <f t="shared" si="327"/>
        <v>64150.760765763043</v>
      </c>
      <c r="S483" s="4">
        <f t="shared" si="328"/>
        <v>1.5707807385152237</v>
      </c>
      <c r="T483" s="4" t="str">
        <f t="shared" si="319"/>
        <v>1+0,561319156632228i</v>
      </c>
      <c r="U483" s="4">
        <f t="shared" si="329"/>
        <v>1.1467690245216409</v>
      </c>
      <c r="V483" s="4">
        <f t="shared" si="330"/>
        <v>0.51149198722881761</v>
      </c>
      <c r="W483" t="str">
        <f t="shared" si="320"/>
        <v>1-4,87256212354365i</v>
      </c>
      <c r="X483" s="4">
        <f t="shared" si="331"/>
        <v>4.9741191831109361</v>
      </c>
      <c r="Y483" s="4">
        <f t="shared" si="332"/>
        <v>-1.3683762132416748</v>
      </c>
      <c r="Z483" t="str">
        <f t="shared" si="321"/>
        <v>0,201895074012441+4,17773476472632i</v>
      </c>
      <c r="AA483" s="4">
        <f t="shared" si="333"/>
        <v>4.182610355425588</v>
      </c>
      <c r="AB483" s="4">
        <f t="shared" si="334"/>
        <v>1.5225074493036208</v>
      </c>
      <c r="AC483" s="48" t="str">
        <f t="shared" si="335"/>
        <v>-0,0047646773247832+0,00499086693739528i</v>
      </c>
      <c r="AD483" s="20">
        <f t="shared" si="336"/>
        <v>-43.222935833723241</v>
      </c>
      <c r="AE483" s="44">
        <f t="shared" si="337"/>
        <v>133.67179233843848</v>
      </c>
      <c r="AF483" t="str">
        <f t="shared" si="322"/>
        <v>-20791,6666666667</v>
      </c>
      <c r="AG483" t="str">
        <f t="shared" si="338"/>
        <v>2806595,78316114i</v>
      </c>
      <c r="AH483">
        <f t="shared" si="339"/>
        <v>2806595.78316114</v>
      </c>
      <c r="AI483">
        <f t="shared" si="340"/>
        <v>1.5707963267948966</v>
      </c>
      <c r="AJ483" t="str">
        <f t="shared" si="323"/>
        <v>-146934,746108008+3292,75149812455i</v>
      </c>
      <c r="AK483">
        <f t="shared" si="341"/>
        <v>146971.63612838084</v>
      </c>
      <c r="AL483">
        <f t="shared" si="342"/>
        <v>3.1191867859875835</v>
      </c>
      <c r="AM483" t="str">
        <f t="shared" si="324"/>
        <v>1+4526,47767908228i</v>
      </c>
      <c r="AN483">
        <f t="shared" si="343"/>
        <v>4526.4777895434436</v>
      </c>
      <c r="AO483">
        <f t="shared" si="344"/>
        <v>1.5705754044675089</v>
      </c>
      <c r="AP483" t="str">
        <f t="shared" si="325"/>
        <v>1+3179,31170316494i</v>
      </c>
      <c r="AQ483">
        <f t="shared" si="345"/>
        <v>3179.3118604316796</v>
      </c>
      <c r="AR483">
        <f t="shared" si="346"/>
        <v>1.5704817933170916</v>
      </c>
      <c r="AS483" s="42" t="str">
        <f t="shared" si="347"/>
        <v>-0,0158632353976412+0,725212961550263i</v>
      </c>
      <c r="AT483">
        <f t="shared" si="348"/>
        <v>-2.7886113885145751</v>
      </c>
      <c r="AU483" s="44">
        <f t="shared" si="349"/>
        <v>91.253082292182185</v>
      </c>
      <c r="AV483" s="42" t="str">
        <f t="shared" si="326"/>
        <v>-0,00354385819437488-0,00353457705060361i</v>
      </c>
      <c r="AW483" s="20">
        <f t="shared" si="350"/>
        <v>-46.011547222237823</v>
      </c>
      <c r="AX483" s="44">
        <f t="shared" si="351"/>
        <v>-135.07512536937938</v>
      </c>
    </row>
    <row r="484" spans="14:50" x14ac:dyDescent="0.3">
      <c r="N484" s="8">
        <v>66</v>
      </c>
      <c r="O484" s="35">
        <f t="shared" ref="O484:O518" si="352">10^(5+(N484/100))</f>
        <v>457088.18961487547</v>
      </c>
      <c r="P484" s="34" t="str">
        <f t="shared" si="317"/>
        <v>324,571428571429</v>
      </c>
      <c r="Q484" s="4" t="str">
        <f t="shared" si="318"/>
        <v>1+65645,0239331086i</v>
      </c>
      <c r="R484" s="4">
        <f t="shared" si="327"/>
        <v>65645.023940725325</v>
      </c>
      <c r="S484" s="4">
        <f t="shared" si="328"/>
        <v>1.5707810933477897</v>
      </c>
      <c r="T484" s="4" t="str">
        <f t="shared" si="319"/>
        <v>1+0,5743939594147i</v>
      </c>
      <c r="U484" s="4">
        <f t="shared" si="329"/>
        <v>1.1532252254490865</v>
      </c>
      <c r="V484" s="4">
        <f t="shared" si="330"/>
        <v>0.52137870495367633</v>
      </c>
      <c r="W484" t="str">
        <f t="shared" si="320"/>
        <v>1-4,98605867547483i</v>
      </c>
      <c r="X484" s="4">
        <f t="shared" si="331"/>
        <v>5.0853496551641184</v>
      </c>
      <c r="Y484" s="4">
        <f t="shared" si="332"/>
        <v>-1.3728631207649682</v>
      </c>
      <c r="Z484" t="str">
        <f t="shared" si="321"/>
        <v>0,164281547658382+4,27504670835211i</v>
      </c>
      <c r="AA484" s="4">
        <f t="shared" si="333"/>
        <v>4.2782020505690523</v>
      </c>
      <c r="AB484" s="4">
        <f t="shared" si="334"/>
        <v>1.5323872134177328</v>
      </c>
      <c r="AC484" s="48" t="str">
        <f t="shared" si="335"/>
        <v>-0,00465816759481351+0,00492327621092302i</v>
      </c>
      <c r="AD484" s="20">
        <f t="shared" si="336"/>
        <v>-43.378357256869492</v>
      </c>
      <c r="AE484" s="44">
        <f t="shared" si="337"/>
        <v>133.41508955642831</v>
      </c>
      <c r="AF484" t="str">
        <f t="shared" si="322"/>
        <v>-20791,6666666667</v>
      </c>
      <c r="AG484" t="str">
        <f t="shared" si="338"/>
        <v>2871969,7970735i</v>
      </c>
      <c r="AH484">
        <f t="shared" si="339"/>
        <v>2871969.7970735002</v>
      </c>
      <c r="AI484">
        <f t="shared" si="340"/>
        <v>1.5707963267948966</v>
      </c>
      <c r="AJ484" t="str">
        <f t="shared" si="323"/>
        <v>-153859,614478853+3369,4495333528i</v>
      </c>
      <c r="AK484">
        <f t="shared" si="341"/>
        <v>153896.50469630258</v>
      </c>
      <c r="AL484">
        <f t="shared" si="342"/>
        <v>3.1196966476098034</v>
      </c>
      <c r="AM484" t="str">
        <f t="shared" si="324"/>
        <v>1+4631,91288872014i</v>
      </c>
      <c r="AN484">
        <f t="shared" si="343"/>
        <v>4631.9129966669007</v>
      </c>
      <c r="AO484">
        <f t="shared" si="344"/>
        <v>1.5705804332734752</v>
      </c>
      <c r="AP484" t="str">
        <f t="shared" si="325"/>
        <v>1+3253,36738612486i</v>
      </c>
      <c r="AQ484">
        <f t="shared" si="345"/>
        <v>3253.3675398117721</v>
      </c>
      <c r="AR484">
        <f t="shared" si="346"/>
        <v>1.5704889529726926</v>
      </c>
      <c r="AS484" s="42" t="str">
        <f t="shared" si="347"/>
        <v>-0,0151496050980506+0,708720512432407i</v>
      </c>
      <c r="AT484">
        <f t="shared" si="348"/>
        <v>-2.9885159642288932</v>
      </c>
      <c r="AU484" s="44">
        <f t="shared" si="349"/>
        <v>91.224567720499863</v>
      </c>
      <c r="AV484" s="42" t="str">
        <f t="shared" si="326"/>
        <v>-0,00341865743950968-0,00337592461517637i</v>
      </c>
      <c r="AW484" s="20">
        <f t="shared" si="350"/>
        <v>-46.366873221098388</v>
      </c>
      <c r="AX484" s="44">
        <f t="shared" si="351"/>
        <v>-135.36034272307185</v>
      </c>
    </row>
    <row r="485" spans="14:50" x14ac:dyDescent="0.3">
      <c r="N485" s="8">
        <v>67</v>
      </c>
      <c r="O485" s="35">
        <f t="shared" si="352"/>
        <v>467735.14128719864</v>
      </c>
      <c r="P485" s="34" t="str">
        <f t="shared" si="317"/>
        <v>324,571428571429</v>
      </c>
      <c r="Q485" s="4" t="str">
        <f t="shared" si="318"/>
        <v>1+67174,0929688523i</v>
      </c>
      <c r="R485" s="4">
        <f t="shared" si="327"/>
        <v>67174.092976295651</v>
      </c>
      <c r="S485" s="4">
        <f t="shared" si="328"/>
        <v>1.5707814401033802</v>
      </c>
      <c r="T485" s="4" t="str">
        <f t="shared" si="319"/>
        <v>1+0,587773313477458i</v>
      </c>
      <c r="U485" s="4">
        <f t="shared" si="329"/>
        <v>1.1599471832959767</v>
      </c>
      <c r="V485" s="4">
        <f t="shared" si="330"/>
        <v>0.53138077841421438</v>
      </c>
      <c r="W485" t="str">
        <f t="shared" si="320"/>
        <v>1-5,10219890171405i</v>
      </c>
      <c r="X485" s="4">
        <f t="shared" si="331"/>
        <v>5.1992724137759945</v>
      </c>
      <c r="Y485" s="4">
        <f t="shared" si="332"/>
        <v>-1.3772557108036898</v>
      </c>
      <c r="Z485" t="str">
        <f t="shared" si="321"/>
        <v>0,124895350420179+4,37462533832962i</v>
      </c>
      <c r="AA485" s="4">
        <f t="shared" si="333"/>
        <v>4.3764078534012487</v>
      </c>
      <c r="AB485" s="4">
        <f t="shared" si="334"/>
        <v>1.5422541264259153</v>
      </c>
      <c r="AC485" s="48" t="str">
        <f t="shared" si="335"/>
        <v>-0,00455555947160651+0,00485607801632811i</v>
      </c>
      <c r="AD485" s="20">
        <f t="shared" si="336"/>
        <v>-43.532570507417951</v>
      </c>
      <c r="AE485" s="44">
        <f t="shared" si="337"/>
        <v>133.17113694192352</v>
      </c>
      <c r="AF485" t="str">
        <f t="shared" si="322"/>
        <v>-20791,6666666667</v>
      </c>
      <c r="AG485" t="str">
        <f t="shared" si="338"/>
        <v>2938866,56738729i</v>
      </c>
      <c r="AH485">
        <f t="shared" si="339"/>
        <v>2938866.5673872898</v>
      </c>
      <c r="AI485">
        <f t="shared" si="340"/>
        <v>1.5707963267948966</v>
      </c>
      <c r="AJ485" t="str">
        <f t="shared" si="323"/>
        <v>-161110,84184146+3447,93409532357i</v>
      </c>
      <c r="AK485">
        <f t="shared" si="341"/>
        <v>161147.73224712047</v>
      </c>
      <c r="AL485">
        <f t="shared" si="342"/>
        <v>3.1201949139193572</v>
      </c>
      <c r="AM485" t="str">
        <f t="shared" si="324"/>
        <v>1+4739,80399988222i</v>
      </c>
      <c r="AN485">
        <f t="shared" si="343"/>
        <v>4739.8041053718125</v>
      </c>
      <c r="AO485">
        <f t="shared" si="344"/>
        <v>1.5705853476098528</v>
      </c>
      <c r="AP485" t="str">
        <f t="shared" si="325"/>
        <v>1+3329,14804753632i</v>
      </c>
      <c r="AQ485">
        <f t="shared" si="345"/>
        <v>3329.1481977248914</v>
      </c>
      <c r="AR485">
        <f t="shared" si="346"/>
        <v>1.5704959496546655</v>
      </c>
      <c r="AS485" s="42" t="str">
        <f t="shared" si="347"/>
        <v>-0,0144680641739703+0,692602449137158i</v>
      </c>
      <c r="AT485">
        <f t="shared" si="348"/>
        <v>-3.1884248327857923</v>
      </c>
      <c r="AU485" s="44">
        <f t="shared" si="349"/>
        <v>91.196701614970067</v>
      </c>
      <c r="AV485" s="42" t="str">
        <f t="shared" si="326"/>
        <v>-0,00329742140052642-0,00322544969559869i</v>
      </c>
      <c r="AW485" s="20">
        <f t="shared" si="350"/>
        <v>-46.720995340203743</v>
      </c>
      <c r="AX485" s="44">
        <f t="shared" si="351"/>
        <v>-135.63216144310636</v>
      </c>
    </row>
    <row r="486" spans="14:50" x14ac:dyDescent="0.3">
      <c r="N486" s="8">
        <v>68</v>
      </c>
      <c r="O486" s="35">
        <f t="shared" si="352"/>
        <v>478630.09232263872</v>
      </c>
      <c r="P486" s="34" t="str">
        <f t="shared" si="317"/>
        <v>324,571428571429</v>
      </c>
      <c r="Q486" s="4" t="str">
        <f t="shared" si="318"/>
        <v>1+68738,7785978425i</v>
      </c>
      <c r="R486" s="4">
        <f t="shared" si="327"/>
        <v>68738.778605116415</v>
      </c>
      <c r="S486" s="4">
        <f t="shared" si="328"/>
        <v>1.5707817789658498</v>
      </c>
      <c r="T486" s="4" t="str">
        <f t="shared" si="319"/>
        <v>1+0,601464312731122i</v>
      </c>
      <c r="U486" s="4">
        <f t="shared" si="329"/>
        <v>1.1669444371901865</v>
      </c>
      <c r="V486" s="4">
        <f t="shared" si="330"/>
        <v>0.54149550527154611</v>
      </c>
      <c r="W486" t="str">
        <f t="shared" si="320"/>
        <v>1-5,22104438134655i</v>
      </c>
      <c r="X486" s="4">
        <f t="shared" si="331"/>
        <v>5.3159481216421192</v>
      </c>
      <c r="Y486" s="4">
        <f t="shared" si="332"/>
        <v>-1.3815556340083248</v>
      </c>
      <c r="Z486" t="str">
        <f t="shared" si="321"/>
        <v>0,08365293889289+4,47652345256652i</v>
      </c>
      <c r="AA486" s="4">
        <f t="shared" si="333"/>
        <v>4.4773049969332552</v>
      </c>
      <c r="AB486" s="4">
        <f t="shared" si="334"/>
        <v>1.552111469120784</v>
      </c>
      <c r="AC486" s="48" t="str">
        <f t="shared" si="335"/>
        <v>-0,0044567033269093+0,00478935881055522i</v>
      </c>
      <c r="AD486" s="20">
        <f t="shared" si="336"/>
        <v>-43.685545835087787</v>
      </c>
      <c r="AE486" s="44">
        <f t="shared" si="337"/>
        <v>132.93949710090075</v>
      </c>
      <c r="AF486" t="str">
        <f t="shared" si="322"/>
        <v>-20791,6666666667</v>
      </c>
      <c r="AG486" t="str">
        <f t="shared" si="338"/>
        <v>3007321,56365561i</v>
      </c>
      <c r="AH486">
        <f t="shared" si="339"/>
        <v>3007321.5636556102</v>
      </c>
      <c r="AI486">
        <f t="shared" si="340"/>
        <v>1.5707963267948966</v>
      </c>
      <c r="AJ486" t="str">
        <f t="shared" si="323"/>
        <v>-168703,809021255+3528,24679759049i</v>
      </c>
      <c r="AK486">
        <f t="shared" si="341"/>
        <v>168740.69960665918</v>
      </c>
      <c r="AL486">
        <f t="shared" si="342"/>
        <v>3.120681848153712</v>
      </c>
      <c r="AM486" t="str">
        <f t="shared" si="324"/>
        <v>1+4850,20821786376i</v>
      </c>
      <c r="AN486">
        <f t="shared" si="343"/>
        <v>4850.2083209521161</v>
      </c>
      <c r="AO486">
        <f t="shared" si="344"/>
        <v>1.5705901500822872</v>
      </c>
      <c r="AP486" t="str">
        <f t="shared" si="325"/>
        <v>1+3406,69386730907i</v>
      </c>
      <c r="AQ486">
        <f t="shared" si="345"/>
        <v>3406.694014078932</v>
      </c>
      <c r="AR486">
        <f t="shared" si="346"/>
        <v>1.5705027870727413</v>
      </c>
      <c r="AS486" s="42" t="str">
        <f t="shared" si="347"/>
        <v>-0,0138171709401276+0,676850318160341i</v>
      </c>
      <c r="AT486">
        <f t="shared" si="348"/>
        <v>-3.388337801147828</v>
      </c>
      <c r="AU486" s="44">
        <f t="shared" si="349"/>
        <v>91.169469255041307</v>
      </c>
      <c r="AV486" s="42" t="str">
        <f t="shared" si="326"/>
        <v>-0,00318010000301099-0,00308269645414386i</v>
      </c>
      <c r="AW486" s="20">
        <f t="shared" si="350"/>
        <v>-47.073883636235614</v>
      </c>
      <c r="AX486" s="44">
        <f t="shared" si="351"/>
        <v>-135.8910336440579</v>
      </c>
    </row>
    <row r="487" spans="14:50" x14ac:dyDescent="0.3">
      <c r="N487" s="8">
        <v>69</v>
      </c>
      <c r="O487" s="35">
        <f t="shared" si="352"/>
        <v>489778.81936844654</v>
      </c>
      <c r="P487" s="34" t="str">
        <f t="shared" si="317"/>
        <v>324,571428571429</v>
      </c>
      <c r="Q487" s="4" t="str">
        <f t="shared" si="318"/>
        <v>1+70339,9104371106i</v>
      </c>
      <c r="R487" s="4">
        <f t="shared" si="327"/>
        <v>70339.910444218927</v>
      </c>
      <c r="S487" s="4">
        <f t="shared" si="328"/>
        <v>1.570782110114868</v>
      </c>
      <c r="T487" s="4" t="str">
        <f t="shared" si="319"/>
        <v>1+0,615474216324718i</v>
      </c>
      <c r="U487" s="4">
        <f t="shared" si="329"/>
        <v>1.1742267715226584</v>
      </c>
      <c r="V487" s="4">
        <f t="shared" si="330"/>
        <v>0.55171996945247614</v>
      </c>
      <c r="W487" t="str">
        <f t="shared" si="320"/>
        <v>1-5,34265812781873i</v>
      </c>
      <c r="X487" s="4">
        <f t="shared" si="331"/>
        <v>5.43543888483235</v>
      </c>
      <c r="Y487" s="4">
        <f t="shared" si="332"/>
        <v>-1.3857645339266016</v>
      </c>
      <c r="Z487" t="str">
        <f t="shared" si="321"/>
        <v>0,0404668323921999+4,58079507879178i</v>
      </c>
      <c r="AA487" s="4">
        <f t="shared" si="333"/>
        <v>4.5809738176949732</v>
      </c>
      <c r="AB487" s="4">
        <f t="shared" si="334"/>
        <v>1.5619625372300647</v>
      </c>
      <c r="AC487" s="48" t="str">
        <f t="shared" si="335"/>
        <v>-0,0043614525099818+0,00472319803031564i</v>
      </c>
      <c r="AD487" s="20">
        <f t="shared" si="336"/>
        <v>-43.837254777780117</v>
      </c>
      <c r="AE487" s="44">
        <f t="shared" si="337"/>
        <v>132.71971994474154</v>
      </c>
      <c r="AF487" t="str">
        <f t="shared" si="322"/>
        <v>-20791,6666666667</v>
      </c>
      <c r="AG487" t="str">
        <f t="shared" si="338"/>
        <v>3077371,08162359i</v>
      </c>
      <c r="AH487">
        <f t="shared" si="339"/>
        <v>3077371.0816235901</v>
      </c>
      <c r="AI487">
        <f t="shared" si="340"/>
        <v>1.5707963267948966</v>
      </c>
      <c r="AJ487" t="str">
        <f t="shared" si="323"/>
        <v>-176654,621719631+3610,43022301136i</v>
      </c>
      <c r="AK487">
        <f t="shared" si="341"/>
        <v>176691.51247669244</v>
      </c>
      <c r="AL487">
        <f t="shared" si="342"/>
        <v>3.1211577076052683</v>
      </c>
      <c r="AM487" t="str">
        <f t="shared" si="324"/>
        <v>1+4963,18408044252i</v>
      </c>
      <c r="AN487">
        <f t="shared" si="343"/>
        <v>4963.1841811842987</v>
      </c>
      <c r="AO487">
        <f t="shared" si="344"/>
        <v>1.570594843237112</v>
      </c>
      <c r="AP487" t="str">
        <f t="shared" si="325"/>
        <v>1+3486,0459612632i</v>
      </c>
      <c r="AQ487">
        <f t="shared" si="345"/>
        <v>3486.0461046921723</v>
      </c>
      <c r="AR487">
        <f t="shared" si="346"/>
        <v>1.5705094688522065</v>
      </c>
      <c r="AS487" s="42" t="str">
        <f t="shared" si="347"/>
        <v>-0,0131955483714626+0,661455853854426i</v>
      </c>
      <c r="AT487">
        <f t="shared" si="348"/>
        <v>-3.5882546849502561</v>
      </c>
      <c r="AU487" s="44">
        <f t="shared" si="349"/>
        <v>91.142856252552789</v>
      </c>
      <c r="AV487" s="42" t="str">
        <f t="shared" si="326"/>
        <v>-0,00306663522850067-0,00294723348211257i</v>
      </c>
      <c r="AW487" s="20">
        <f t="shared" si="350"/>
        <v>-47.425509462730375</v>
      </c>
      <c r="AX487" s="44">
        <f t="shared" si="351"/>
        <v>-136.1374238027056</v>
      </c>
    </row>
    <row r="488" spans="14:50" x14ac:dyDescent="0.3">
      <c r="N488" s="8">
        <v>70</v>
      </c>
      <c r="O488" s="35">
        <f t="shared" si="352"/>
        <v>501187.23362727347</v>
      </c>
      <c r="P488" s="34" t="str">
        <f t="shared" si="317"/>
        <v>324,571428571429</v>
      </c>
      <c r="Q488" s="4" t="str">
        <f t="shared" si="318"/>
        <v>1+71978,3374279513i</v>
      </c>
      <c r="R488" s="4">
        <f t="shared" si="327"/>
        <v>71978.337434897825</v>
      </c>
      <c r="S488" s="4">
        <f t="shared" si="328"/>
        <v>1.5707824337260141</v>
      </c>
      <c r="T488" s="4" t="str">
        <f t="shared" si="319"/>
        <v>1+0,629810452494574i</v>
      </c>
      <c r="U488" s="4">
        <f t="shared" si="329"/>
        <v>1.1818042164721787</v>
      </c>
      <c r="V488" s="4">
        <f t="shared" si="330"/>
        <v>0.56205104076505696</v>
      </c>
      <c r="W488" t="str">
        <f t="shared" si="320"/>
        <v>1-5,46710462234873i</v>
      </c>
      <c r="X488" s="4">
        <f t="shared" si="331"/>
        <v>5.5578082866996095</v>
      </c>
      <c r="Y488" s="4">
        <f t="shared" si="332"/>
        <v>-1.3898840454033079</v>
      </c>
      <c r="Z488" t="str">
        <f t="shared" si="321"/>
        <v>-0,00475457260384005+4,6874955032018i</v>
      </c>
      <c r="AA488" s="4">
        <f t="shared" si="333"/>
        <v>4.6874979145059621</v>
      </c>
      <c r="AB488" s="4">
        <f t="shared" si="334"/>
        <v>1.571810636242245</v>
      </c>
      <c r="AC488" s="48" t="str">
        <f t="shared" si="335"/>
        <v>-0,00426966343719245+0,00465766843375828i</v>
      </c>
      <c r="AD488" s="20">
        <f t="shared" si="336"/>
        <v>-43.987670288597904</v>
      </c>
      <c r="AE488" s="44">
        <f t="shared" si="337"/>
        <v>132.51134305635256</v>
      </c>
      <c r="AF488" t="str">
        <f t="shared" si="322"/>
        <v>-20791,6666666667</v>
      </c>
      <c r="AG488" t="str">
        <f t="shared" si="338"/>
        <v>3149052,26247287i</v>
      </c>
      <c r="AH488">
        <f t="shared" si="339"/>
        <v>3149052.2624728698</v>
      </c>
      <c r="AI488">
        <f t="shared" si="340"/>
        <v>1.5707963267948966</v>
      </c>
      <c r="AJ488" t="str">
        <f t="shared" si="323"/>
        <v>-184980,144676307+3694,52794632617i</v>
      </c>
      <c r="AK488">
        <f t="shared" si="341"/>
        <v>185017.03559730292</v>
      </c>
      <c r="AL488">
        <f t="shared" si="342"/>
        <v>3.121622743753556</v>
      </c>
      <c r="AM488" t="str">
        <f t="shared" si="324"/>
        <v>1+5078,79148891624i</v>
      </c>
      <c r="AN488">
        <f t="shared" si="343"/>
        <v>5078.7915873648572</v>
      </c>
      <c r="AO488">
        <f t="shared" si="344"/>
        <v>1.5705994295626988</v>
      </c>
      <c r="AP488" t="str">
        <f t="shared" si="325"/>
        <v>1+3567,24640292927i</v>
      </c>
      <c r="AQ488">
        <f t="shared" si="345"/>
        <v>3567.2465430934003</v>
      </c>
      <c r="AR488">
        <f t="shared" si="346"/>
        <v>1.570515998535827</v>
      </c>
      <c r="AS488" s="42" t="str">
        <f t="shared" si="347"/>
        <v>-0,0126018812128219+0,646410974456489i</v>
      </c>
      <c r="AT488">
        <f t="shared" si="348"/>
        <v>-3.7881753081125522</v>
      </c>
      <c r="AU488" s="44">
        <f t="shared" si="349"/>
        <v>91.116848544347491</v>
      </c>
      <c r="AV488" s="42" t="str">
        <f t="shared" si="326"/>
        <v>-0,00295696219950669-0,00281865268736775i</v>
      </c>
      <c r="AW488" s="20">
        <f t="shared" si="350"/>
        <v>-47.775845596710454</v>
      </c>
      <c r="AX488" s="44">
        <f t="shared" si="351"/>
        <v>-136.37180839929991</v>
      </c>
    </row>
    <row r="489" spans="14:50" x14ac:dyDescent="0.3">
      <c r="N489" s="8">
        <v>71</v>
      </c>
      <c r="O489" s="35">
        <f t="shared" si="352"/>
        <v>512861.38399136515</v>
      </c>
      <c r="P489" s="34" t="str">
        <f t="shared" si="317"/>
        <v>324,571428571429</v>
      </c>
      <c r="Q489" s="4" t="str">
        <f t="shared" si="318"/>
        <v>1+73654,9282860418i</v>
      </c>
      <c r="R489" s="4">
        <f t="shared" si="327"/>
        <v>73654.928292830198</v>
      </c>
      <c r="S489" s="4">
        <f t="shared" si="328"/>
        <v>1.5707827499708713</v>
      </c>
      <c r="T489" s="4" t="str">
        <f t="shared" si="319"/>
        <v>1+0,644480622502866i</v>
      </c>
      <c r="U489" s="4">
        <f t="shared" si="329"/>
        <v>1.1896870482533133</v>
      </c>
      <c r="V489" s="4">
        <f t="shared" si="330"/>
        <v>0.57248537535380384</v>
      </c>
      <c r="W489" t="str">
        <f t="shared" si="320"/>
        <v>1-5,59444984811516i</v>
      </c>
      <c r="X489" s="4">
        <f t="shared" si="331"/>
        <v>5.6831214225173605</v>
      </c>
      <c r="Y489" s="4">
        <f t="shared" si="332"/>
        <v>-1.393915793106915</v>
      </c>
      <c r="Z489" t="str">
        <f t="shared" si="321"/>
        <v>-0,0521071967581499+4,79668129977393i</v>
      </c>
      <c r="AA489" s="4">
        <f t="shared" si="333"/>
        <v>4.7969643162686655</v>
      </c>
      <c r="AB489" s="4">
        <f t="shared" si="334"/>
        <v>1.5816590762559568</v>
      </c>
      <c r="AC489" s="48" t="str">
        <f t="shared" si="335"/>
        <v>-0,00418119566379695+0,00459283643043521i</v>
      </c>
      <c r="AD489" s="20">
        <f t="shared" si="336"/>
        <v>-44.13676686451241</v>
      </c>
      <c r="AE489" s="44">
        <f t="shared" si="337"/>
        <v>132.31389209576764</v>
      </c>
      <c r="AF489" t="str">
        <f t="shared" si="322"/>
        <v>-20791,6666666667</v>
      </c>
      <c r="AG489" t="str">
        <f t="shared" si="338"/>
        <v>3222403,11251433i</v>
      </c>
      <c r="AH489">
        <f t="shared" si="339"/>
        <v>3222403.1125143301</v>
      </c>
      <c r="AI489">
        <f t="shared" si="340"/>
        <v>1.5707963267948966</v>
      </c>
      <c r="AJ489" t="str">
        <f t="shared" si="323"/>
        <v>-193698,037441693+3780,58455726097i</v>
      </c>
      <c r="AK489">
        <f t="shared" si="341"/>
        <v>193734.92851924794</v>
      </c>
      <c r="AL489">
        <f t="shared" si="342"/>
        <v>3.1220772023946317</v>
      </c>
      <c r="AM489" t="str">
        <f t="shared" si="324"/>
        <v>1+5197,09173986311i</v>
      </c>
      <c r="AN489">
        <f t="shared" si="343"/>
        <v>5197.0918360707628</v>
      </c>
      <c r="AO489">
        <f t="shared" si="344"/>
        <v>1.5706039114907779</v>
      </c>
      <c r="AP489" t="str">
        <f t="shared" si="325"/>
        <v>1+3650,33824585623i</v>
      </c>
      <c r="AQ489">
        <f t="shared" si="345"/>
        <v>3650.3383828298352</v>
      </c>
      <c r="AR489">
        <f t="shared" si="346"/>
        <v>1.570522379585725</v>
      </c>
      <c r="AS489" s="42" t="str">
        <f t="shared" si="347"/>
        <v>-0,0120349132169966+0,63170777818645i</v>
      </c>
      <c r="AT489">
        <f t="shared" si="348"/>
        <v>-3.9880995024663646</v>
      </c>
      <c r="AU489" s="44">
        <f t="shared" si="349"/>
        <v>91.091432385041642</v>
      </c>
      <c r="AV489" s="42" t="str">
        <f t="shared" si="326"/>
        <v>-0,00285101017008693-0,00269656821080014i</v>
      </c>
      <c r="AW489" s="20">
        <f t="shared" si="350"/>
        <v>-48.124866366978779</v>
      </c>
      <c r="AX489" s="44">
        <f t="shared" si="351"/>
        <v>-136.59467551919064</v>
      </c>
    </row>
    <row r="490" spans="14:50" x14ac:dyDescent="0.3">
      <c r="N490" s="8">
        <v>72</v>
      </c>
      <c r="O490" s="35">
        <f t="shared" si="352"/>
        <v>524807.46024977288</v>
      </c>
      <c r="P490" s="34" t="str">
        <f t="shared" si="317"/>
        <v>324,571428571429</v>
      </c>
      <c r="Q490" s="4" t="str">
        <f t="shared" si="318"/>
        <v>1+75370,5719620482i</v>
      </c>
      <c r="R490" s="4">
        <f t="shared" si="327"/>
        <v>75370.571968682081</v>
      </c>
      <c r="S490" s="4">
        <f t="shared" si="328"/>
        <v>1.5707830590171166</v>
      </c>
      <c r="T490" s="4" t="str">
        <f t="shared" si="319"/>
        <v>1+0,659492504667922i</v>
      </c>
      <c r="U490" s="4">
        <f t="shared" si="329"/>
        <v>1.1978857890939223</v>
      </c>
      <c r="V490" s="4">
        <f t="shared" si="330"/>
        <v>0.5830194170350963</v>
      </c>
      <c r="W490" t="str">
        <f t="shared" si="320"/>
        <v>1-5,72476132524238i</v>
      </c>
      <c r="X490" s="4">
        <f t="shared" si="331"/>
        <v>5.8114449348669632</v>
      </c>
      <c r="Y490" s="4">
        <f t="shared" si="332"/>
        <v>-1.3978613901767323</v>
      </c>
      <c r="Z490" t="str">
        <f t="shared" si="321"/>
        <v>-0,10169148133527+4,90841036026281i</v>
      </c>
      <c r="AA490" s="4">
        <f t="shared" si="333"/>
        <v>4.9094636593126388</v>
      </c>
      <c r="AB490" s="4">
        <f t="shared" si="334"/>
        <v>1.5915111668406456</v>
      </c>
      <c r="AC490" s="48" t="str">
        <f t="shared" si="335"/>
        <v>-0,00409591193947376+0,0045287623991371i</v>
      </c>
      <c r="AD490" s="20">
        <f t="shared" si="336"/>
        <v>-44.284520676112791</v>
      </c>
      <c r="AE490" s="44">
        <f t="shared" si="337"/>
        <v>132.12688124863223</v>
      </c>
      <c r="AF490" t="str">
        <f t="shared" si="322"/>
        <v>-20791,6666666667</v>
      </c>
      <c r="AG490" t="str">
        <f t="shared" si="338"/>
        <v>3297462,52333961i</v>
      </c>
      <c r="AH490">
        <f t="shared" si="339"/>
        <v>3297462.5233396101</v>
      </c>
      <c r="AI490">
        <f t="shared" si="340"/>
        <v>1.5707963267948966</v>
      </c>
      <c r="AJ490" t="str">
        <f t="shared" si="323"/>
        <v>-202826,791835177+3868,64568417i</v>
      </c>
      <c r="AK490">
        <f t="shared" si="341"/>
        <v>202863.68306224715</v>
      </c>
      <c r="AL490">
        <f t="shared" si="342"/>
        <v>3.1225213237677245</v>
      </c>
      <c r="AM490" t="str">
        <f t="shared" si="324"/>
        <v>1+5318,14755764212i</v>
      </c>
      <c r="AN490">
        <f t="shared" si="343"/>
        <v>5318.1476516598195</v>
      </c>
      <c r="AO490">
        <f t="shared" si="344"/>
        <v>1.5706082913977257</v>
      </c>
      <c r="AP490" t="str">
        <f t="shared" si="325"/>
        <v>1+3735,36554643911i</v>
      </c>
      <c r="AQ490">
        <f t="shared" si="345"/>
        <v>3735.3656802948158</v>
      </c>
      <c r="AR490">
        <f t="shared" si="346"/>
        <v>1.5705286153852158</v>
      </c>
      <c r="AS490" s="42" t="str">
        <f t="shared" si="347"/>
        <v>-0,0114934445054713+0,617338539415193i</v>
      </c>
      <c r="AT490">
        <f t="shared" si="348"/>
        <v>-4.1880271074008277</v>
      </c>
      <c r="AU490" s="44">
        <f t="shared" si="349"/>
        <v>91.066594339947329</v>
      </c>
      <c r="AV490" s="42" t="str">
        <f t="shared" si="326"/>
        <v>-0,0027487034282661-0,00258061537360093i</v>
      </c>
      <c r="AW490" s="20">
        <f t="shared" si="350"/>
        <v>-48.472547783513626</v>
      </c>
      <c r="AX490" s="44">
        <f t="shared" si="351"/>
        <v>-136.80652441142036</v>
      </c>
    </row>
    <row r="491" spans="14:50" x14ac:dyDescent="0.3">
      <c r="N491" s="8">
        <v>73</v>
      </c>
      <c r="O491" s="35">
        <f t="shared" si="352"/>
        <v>537031.7963702539</v>
      </c>
      <c r="P491" s="34" t="str">
        <f t="shared" si="317"/>
        <v>324,571428571429</v>
      </c>
      <c r="Q491" s="4" t="str">
        <f t="shared" si="318"/>
        <v>1+77126,1781129563i</v>
      </c>
      <c r="R491" s="4">
        <f t="shared" si="327"/>
        <v>77126.178119439181</v>
      </c>
      <c r="S491" s="4">
        <f t="shared" si="328"/>
        <v>1.5707833610286106</v>
      </c>
      <c r="T491" s="4" t="str">
        <f t="shared" si="319"/>
        <v>1+0,674854058488368i</v>
      </c>
      <c r="U491" s="4">
        <f t="shared" si="329"/>
        <v>1.2064112069515194</v>
      </c>
      <c r="V491" s="4">
        <f t="shared" si="330"/>
        <v>0.59364939954820295</v>
      </c>
      <c r="W491" t="str">
        <f t="shared" si="320"/>
        <v>1-5,85810814660042i</v>
      </c>
      <c r="X491" s="4">
        <f t="shared" si="331"/>
        <v>5.9428470497957644</v>
      </c>
      <c r="Y491" s="4">
        <f t="shared" si="332"/>
        <v>-1.4017224369844117</v>
      </c>
      <c r="Z491" t="str">
        <f t="shared" si="321"/>
        <v>-0,15361260125065+5,02274192489519i</v>
      </c>
      <c r="AA491" s="4">
        <f t="shared" si="333"/>
        <v>5.0250903748452949</v>
      </c>
      <c r="AB491" s="4">
        <f t="shared" si="334"/>
        <v>1.601370211895911</v>
      </c>
      <c r="AC491" s="48" t="str">
        <f t="shared" si="335"/>
        <v>-0,00401367824913177+0,00446550099329407i</v>
      </c>
      <c r="AD491" s="20">
        <f t="shared" si="336"/>
        <v>-44.430909697819239</v>
      </c>
      <c r="AE491" s="44">
        <f t="shared" si="337"/>
        <v>131.9498137206686</v>
      </c>
      <c r="AF491" t="str">
        <f t="shared" si="322"/>
        <v>-20791,6666666667</v>
      </c>
      <c r="AG491" t="str">
        <f t="shared" si="338"/>
        <v>3374270,29244184i</v>
      </c>
      <c r="AH491">
        <f t="shared" si="339"/>
        <v>3374270.2924418398</v>
      </c>
      <c r="AI491">
        <f t="shared" si="340"/>
        <v>1.5707963267948966</v>
      </c>
      <c r="AJ491" t="str">
        <f t="shared" si="323"/>
        <v>-212385,77116874+3958,75801822835i</v>
      </c>
      <c r="AK491">
        <f t="shared" si="341"/>
        <v>212422.66253859844</v>
      </c>
      <c r="AL491">
        <f t="shared" si="342"/>
        <v>3.1229553426791807</v>
      </c>
      <c r="AM491" t="str">
        <f t="shared" si="324"/>
        <v>1+5442,0231276502i</v>
      </c>
      <c r="AN491">
        <f t="shared" si="343"/>
        <v>5442.0232195277949</v>
      </c>
      <c r="AO491">
        <f t="shared" si="344"/>
        <v>1.5706125716058266</v>
      </c>
      <c r="AP491" t="str">
        <f t="shared" si="325"/>
        <v>1+3822,37338727812i</v>
      </c>
      <c r="AQ491">
        <f t="shared" si="345"/>
        <v>3822.373518086898</v>
      </c>
      <c r="AR491">
        <f t="shared" si="346"/>
        <v>1.5705347092406008</v>
      </c>
      <c r="AS491" s="42" t="str">
        <f t="shared" si="347"/>
        <v>-0,0109763290465099+0,603295704902331i</v>
      </c>
      <c r="AT491">
        <f t="shared" si="348"/>
        <v>-4.3879579695231872</v>
      </c>
      <c r="AU491" s="44">
        <f t="shared" si="349"/>
        <v>91.04232127814619</v>
      </c>
      <c r="AV491" s="42" t="str">
        <f t="shared" si="326"/>
        <v>-0,00264996211634212-0,00247044965682102i</v>
      </c>
      <c r="AW491" s="20">
        <f t="shared" si="350"/>
        <v>-48.81886766734241</v>
      </c>
      <c r="AX491" s="44">
        <f t="shared" si="351"/>
        <v>-137.00786500118522</v>
      </c>
    </row>
    <row r="492" spans="14:50" x14ac:dyDescent="0.3">
      <c r="N492" s="8">
        <v>74</v>
      </c>
      <c r="O492" s="35">
        <f t="shared" si="352"/>
        <v>549540.87385762564</v>
      </c>
      <c r="P492" s="34" t="str">
        <f t="shared" si="317"/>
        <v>324,571428571429</v>
      </c>
      <c r="Q492" s="4" t="str">
        <f t="shared" si="318"/>
        <v>1+78922,6775843854i</v>
      </c>
      <c r="R492" s="4">
        <f t="shared" si="327"/>
        <v>78922.677590720719</v>
      </c>
      <c r="S492" s="4">
        <f t="shared" si="328"/>
        <v>1.5707836561654838</v>
      </c>
      <c r="T492" s="4" t="str">
        <f t="shared" si="319"/>
        <v>1+0,690573428863372i</v>
      </c>
      <c r="U492" s="4">
        <f t="shared" si="329"/>
        <v>1.2152743149808256</v>
      </c>
      <c r="V492" s="4">
        <f t="shared" si="330"/>
        <v>0.60437134975166118</v>
      </c>
      <c r="W492" t="str">
        <f t="shared" si="320"/>
        <v>1-5,99456101443899i</v>
      </c>
      <c r="X492" s="4">
        <f t="shared" si="331"/>
        <v>6.0773976137679036</v>
      </c>
      <c r="Y492" s="4">
        <f t="shared" si="332"/>
        <v>-1.405500520003808</v>
      </c>
      <c r="Z492" t="str">
        <f t="shared" si="321"/>
        <v>-0,20798068816081+5,13973661377999i</v>
      </c>
      <c r="AA492" s="4">
        <f t="shared" si="333"/>
        <v>5.1439428870933659</v>
      </c>
      <c r="AB492" s="4">
        <f t="shared" si="334"/>
        <v>1.6112395044970287</v>
      </c>
      <c r="AC492" s="48" t="str">
        <f t="shared" si="335"/>
        <v>-0,00393436384044609+0,00440310143374572i</v>
      </c>
      <c r="AD492" s="20">
        <f t="shared" si="336"/>
        <v>-44.575913837885537</v>
      </c>
      <c r="AE492" s="44">
        <f t="shared" si="337"/>
        <v>131.78218228089389</v>
      </c>
      <c r="AF492" t="str">
        <f t="shared" si="322"/>
        <v>-20791,6666666667</v>
      </c>
      <c r="AG492" t="str">
        <f t="shared" si="338"/>
        <v>3452867,14431686i</v>
      </c>
      <c r="AH492">
        <f t="shared" si="339"/>
        <v>3452867.14431686</v>
      </c>
      <c r="AI492">
        <f t="shared" si="340"/>
        <v>1.5707963267948966</v>
      </c>
      <c r="AJ492" t="str">
        <f t="shared" si="323"/>
        <v>-222395,251319142+4050,96933818832i</v>
      </c>
      <c r="AK492">
        <f t="shared" si="341"/>
        <v>222432.14282536431</v>
      </c>
      <c r="AL492">
        <f t="shared" si="342"/>
        <v>3.1233794886237547</v>
      </c>
      <c r="AM492" t="str">
        <f t="shared" si="324"/>
        <v>1+5568,78413035423i</v>
      </c>
      <c r="AN492">
        <f t="shared" si="343"/>
        <v>5568.7842201404355</v>
      </c>
      <c r="AO492">
        <f t="shared" si="344"/>
        <v>1.5706167543845027</v>
      </c>
      <c r="AP492" t="str">
        <f t="shared" si="325"/>
        <v>1+3911,40790108214i</v>
      </c>
      <c r="AQ492">
        <f t="shared" si="345"/>
        <v>3911.4080289133472</v>
      </c>
      <c r="AR492">
        <f t="shared" si="346"/>
        <v>1.5705406643829207</v>
      </c>
      <c r="AS492" s="42" t="str">
        <f t="shared" si="347"/>
        <v>-0,0104824722454173+0,589571890103129i</v>
      </c>
      <c r="AT492">
        <f t="shared" si="348"/>
        <v>-4.5878919423349611</v>
      </c>
      <c r="AU492" s="44">
        <f t="shared" si="349"/>
        <v>91.018600365710611</v>
      </c>
      <c r="AV492" s="42" t="str">
        <f t="shared" si="326"/>
        <v>-0,00255470297484841-0,0023657457143382i</v>
      </c>
      <c r="AW492" s="20">
        <f t="shared" si="350"/>
        <v>-49.163805780220507</v>
      </c>
      <c r="AX492" s="44">
        <f t="shared" si="351"/>
        <v>-137.19921735339551</v>
      </c>
    </row>
    <row r="493" spans="14:50" x14ac:dyDescent="0.3">
      <c r="N493" s="8">
        <v>75</v>
      </c>
      <c r="O493" s="35">
        <f t="shared" si="352"/>
        <v>562341.32519035018</v>
      </c>
      <c r="P493" s="34" t="str">
        <f t="shared" si="317"/>
        <v>324,571428571429</v>
      </c>
      <c r="Q493" s="4" t="str">
        <f t="shared" si="318"/>
        <v>1+80761,0229041351i</v>
      </c>
      <c r="R493" s="4">
        <f t="shared" si="327"/>
        <v>80761.02291032621</v>
      </c>
      <c r="S493" s="4">
        <f t="shared" si="328"/>
        <v>1.5707839445842213</v>
      </c>
      <c r="T493" s="4" t="str">
        <f t="shared" si="319"/>
        <v>1+0,706658950411182i</v>
      </c>
      <c r="U493" s="4">
        <f t="shared" si="329"/>
        <v>1.2244863707678553</v>
      </c>
      <c r="V493" s="4">
        <f t="shared" si="330"/>
        <v>0.61518109178817149</v>
      </c>
      <c r="W493" t="str">
        <f t="shared" si="320"/>
        <v>1-6,13419227787484i</v>
      </c>
      <c r="X493" s="4">
        <f t="shared" si="331"/>
        <v>6.2151681314296985</v>
      </c>
      <c r="Y493" s="4">
        <f t="shared" si="332"/>
        <v>-1.4091972107833362</v>
      </c>
      <c r="Z493" t="str">
        <f t="shared" si="321"/>
        <v>-0,26491106406736+5,25945645904989i</v>
      </c>
      <c r="AA493" s="4">
        <f t="shared" si="333"/>
        <v>5.2661238227473257</v>
      </c>
      <c r="AB493" s="4">
        <f t="shared" si="334"/>
        <v>1.6211223217141877</v>
      </c>
      <c r="AC493" s="48" t="str">
        <f t="shared" si="335"/>
        <v>-0,00385784123951307+0,00434160778878329i</v>
      </c>
      <c r="AD493" s="20">
        <f t="shared" si="336"/>
        <v>-44.719515067468485</v>
      </c>
      <c r="AE493" s="44">
        <f t="shared" si="337"/>
        <v>131.62346985596031</v>
      </c>
      <c r="AF493" t="str">
        <f t="shared" si="322"/>
        <v>-20791,6666666667</v>
      </c>
      <c r="AG493" t="str">
        <f t="shared" si="338"/>
        <v>3533294,75205591i</v>
      </c>
      <c r="AH493">
        <f t="shared" si="339"/>
        <v>3533294.75205591</v>
      </c>
      <c r="AI493">
        <f t="shared" si="340"/>
        <v>1.5707963267948966</v>
      </c>
      <c r="AJ493" t="str">
        <f t="shared" si="323"/>
        <v>-232876,463735776+4145,32853571231i</v>
      </c>
      <c r="AK493">
        <f t="shared" si="341"/>
        <v>232913.35537222671</v>
      </c>
      <c r="AL493">
        <f t="shared" si="342"/>
        <v>3.1237939859033008</v>
      </c>
      <c r="AM493" t="str">
        <f t="shared" si="324"/>
        <v>1+5698,49777611577i</v>
      </c>
      <c r="AN493">
        <f t="shared" si="343"/>
        <v>5698.4978638581915</v>
      </c>
      <c r="AO493">
        <f t="shared" si="344"/>
        <v>1.570620841951518</v>
      </c>
      <c r="AP493" t="str">
        <f t="shared" si="325"/>
        <v>1+4002,51629512893i</v>
      </c>
      <c r="AQ493">
        <f t="shared" si="345"/>
        <v>4002.5164200503436</v>
      </c>
      <c r="AR493">
        <f t="shared" si="346"/>
        <v>1.5705464839696694</v>
      </c>
      <c r="AS493" s="42" t="str">
        <f t="shared" si="347"/>
        <v>-0,0100108286420507+0,576159875544144i</v>
      </c>
      <c r="AT493">
        <f t="shared" si="348"/>
        <v>-4.7878288859223996</v>
      </c>
      <c r="AU493" s="44">
        <f t="shared" si="349"/>
        <v>90.995419059070628</v>
      </c>
      <c r="AV493" s="42" t="str">
        <f t="shared" si="326"/>
        <v>-0,00246284001566987-0,00226619642003142i</v>
      </c>
      <c r="AW493" s="20">
        <f t="shared" si="350"/>
        <v>-49.507343953390873</v>
      </c>
      <c r="AX493" s="44">
        <f t="shared" si="351"/>
        <v>-137.38111108496909</v>
      </c>
    </row>
    <row r="494" spans="14:50" x14ac:dyDescent="0.3">
      <c r="N494" s="8">
        <v>76</v>
      </c>
      <c r="O494" s="35">
        <f t="shared" si="352"/>
        <v>575439.93733715697</v>
      </c>
      <c r="P494" s="34" t="str">
        <f t="shared" si="317"/>
        <v>324,571428571429</v>
      </c>
      <c r="Q494" s="4" t="str">
        <f t="shared" si="318"/>
        <v>1+82642,1887872267i</v>
      </c>
      <c r="R494" s="4">
        <f t="shared" si="327"/>
        <v>82642.188793276888</v>
      </c>
      <c r="S494" s="4">
        <f t="shared" si="328"/>
        <v>1.570784226437747</v>
      </c>
      <c r="T494" s="4" t="str">
        <f t="shared" si="319"/>
        <v>1+0,723119151888234i</v>
      </c>
      <c r="U494" s="4">
        <f t="shared" si="329"/>
        <v>1.2340588753489676</v>
      </c>
      <c r="V494" s="4">
        <f t="shared" si="330"/>
        <v>0.62607425223402813</v>
      </c>
      <c r="W494" t="str">
        <f t="shared" si="320"/>
        <v>1-6,27707597125203i</v>
      </c>
      <c r="X494" s="4">
        <f t="shared" si="331"/>
        <v>6.3562318042114869</v>
      </c>
      <c r="Y494" s="4">
        <f t="shared" si="332"/>
        <v>-1.4128140650151424</v>
      </c>
      <c r="Z494" t="str">
        <f t="shared" si="321"/>
        <v>-0,32452448593037+5,38196493775149i</v>
      </c>
      <c r="AA494" s="4">
        <f t="shared" si="333"/>
        <v>5.3917402323512187</v>
      </c>
      <c r="AB494" s="4">
        <f t="shared" si="334"/>
        <v>1.6310219193932629</v>
      </c>
      <c r="AC494" s="48" t="str">
        <f t="shared" si="335"/>
        <v>-0,00378398625595203+0,00428105924145556i</v>
      </c>
      <c r="AD494" s="20">
        <f t="shared" si="336"/>
        <v>-44.861697547996123</v>
      </c>
      <c r="AE494" s="44">
        <f t="shared" si="337"/>
        <v>131.47315017756407</v>
      </c>
      <c r="AF494" t="str">
        <f t="shared" si="322"/>
        <v>-20791,6666666667</v>
      </c>
      <c r="AG494" t="str">
        <f t="shared" si="338"/>
        <v>3615595,75944117i</v>
      </c>
      <c r="AH494">
        <f t="shared" si="339"/>
        <v>3615595.7594411699</v>
      </c>
      <c r="AI494">
        <f t="shared" si="340"/>
        <v>1.5707963267948966</v>
      </c>
      <c r="AJ494" t="str">
        <f t="shared" si="323"/>
        <v>-243851,640475419+4241,88564129584i</v>
      </c>
      <c r="AK494">
        <f t="shared" si="341"/>
        <v>243888.53223623871</v>
      </c>
      <c r="AL494">
        <f t="shared" si="342"/>
        <v>3.1241990537429079</v>
      </c>
      <c r="AM494" t="str">
        <f t="shared" si="324"/>
        <v>1+5831,23284082671i</v>
      </c>
      <c r="AN494">
        <f t="shared" si="343"/>
        <v>5831.2329265718708</v>
      </c>
      <c r="AO494">
        <f t="shared" si="344"/>
        <v>1.5706248364741542</v>
      </c>
      <c r="AP494" t="str">
        <f t="shared" si="325"/>
        <v>1+4095,74687629496i</v>
      </c>
      <c r="AQ494">
        <f t="shared" si="345"/>
        <v>4095.7469983728147</v>
      </c>
      <c r="AR494">
        <f t="shared" si="346"/>
        <v>1.5705521710864672</v>
      </c>
      <c r="AS494" s="42" t="str">
        <f t="shared" si="347"/>
        <v>-0,00956039971085431+0,563052603267005i</v>
      </c>
      <c r="AT494">
        <f t="shared" si="348"/>
        <v>-4.9877686666610392</v>
      </c>
      <c r="AU494" s="44">
        <f t="shared" si="349"/>
        <v>90.972765098523013</v>
      </c>
      <c r="AV494" s="42" t="str">
        <f t="shared" si="326"/>
        <v>-0,00237428512953454-0,00217151194967452i</v>
      </c>
      <c r="AW494" s="20">
        <f t="shared" si="350"/>
        <v>-49.84946621465717</v>
      </c>
      <c r="AX494" s="44">
        <f t="shared" si="351"/>
        <v>-137.55408472391289</v>
      </c>
    </row>
    <row r="495" spans="14:50" x14ac:dyDescent="0.3">
      <c r="N495" s="8">
        <v>77</v>
      </c>
      <c r="O495" s="35">
        <f t="shared" si="352"/>
        <v>588843.65535558888</v>
      </c>
      <c r="P495" s="34" t="str">
        <f t="shared" si="317"/>
        <v>324,571428571429</v>
      </c>
      <c r="Q495" s="4" t="str">
        <f t="shared" si="318"/>
        <v>1+84567,1726527122i</v>
      </c>
      <c r="R495" s="4">
        <f t="shared" si="327"/>
        <v>84567.172658624651</v>
      </c>
      <c r="S495" s="4">
        <f t="shared" si="328"/>
        <v>1.5707845018755031</v>
      </c>
      <c r="T495" s="4" t="str">
        <f t="shared" si="319"/>
        <v>1+0,739962760711232i</v>
      </c>
      <c r="U495" s="4">
        <f t="shared" si="329"/>
        <v>1.2440035720364262</v>
      </c>
      <c r="V495" s="4">
        <f t="shared" si="330"/>
        <v>0.63704626624139327</v>
      </c>
      <c r="W495" t="str">
        <f t="shared" si="320"/>
        <v>1-6,42328785339611i</v>
      </c>
      <c r="X495" s="4">
        <f t="shared" si="331"/>
        <v>6.50066356978932</v>
      </c>
      <c r="Y495" s="4">
        <f t="shared" si="332"/>
        <v>-1.4163526216956159</v>
      </c>
      <c r="Z495" t="str">
        <f t="shared" si="321"/>
        <v>-0,38694740181013+5,50732700550182i</v>
      </c>
      <c r="AA495" s="4">
        <f t="shared" si="333"/>
        <v>5.5209038243114916</v>
      </c>
      <c r="AB495" s="4">
        <f t="shared" si="334"/>
        <v>1.640941526886357</v>
      </c>
      <c r="AC495" s="48" t="str">
        <f t="shared" si="335"/>
        <v>-0,00371267797871381+0,0042214903442106i</v>
      </c>
      <c r="AD495" s="20">
        <f t="shared" si="336"/>
        <v>-45.00244775602971</v>
      </c>
      <c r="AE495" s="44">
        <f t="shared" si="337"/>
        <v>131.33068848438413</v>
      </c>
      <c r="AF495" t="str">
        <f t="shared" si="322"/>
        <v>-20791,6666666667</v>
      </c>
      <c r="AG495" t="str">
        <f t="shared" si="338"/>
        <v>3699813,80355616i</v>
      </c>
      <c r="AH495">
        <f t="shared" si="339"/>
        <v>3699813.8035561601</v>
      </c>
      <c r="AI495">
        <f t="shared" si="340"/>
        <v>1.5707963267948966</v>
      </c>
      <c r="AJ495" t="str">
        <f t="shared" si="323"/>
        <v>-255344,061359403+4340,69185079438i</v>
      </c>
      <c r="AK495">
        <f t="shared" si="341"/>
        <v>255380.95323899569</v>
      </c>
      <c r="AL495">
        <f t="shared" si="342"/>
        <v>3.1245949064045284</v>
      </c>
      <c r="AM495" t="str">
        <f t="shared" si="324"/>
        <v>1+5967,05970237537i</v>
      </c>
      <c r="AN495">
        <f t="shared" si="343"/>
        <v>5967.059786168732</v>
      </c>
      <c r="AO495">
        <f t="shared" si="344"/>
        <v>1.5706287400703596</v>
      </c>
      <c r="AP495" t="str">
        <f t="shared" si="325"/>
        <v>1+4191,14907666842i</v>
      </c>
      <c r="AQ495">
        <f t="shared" si="345"/>
        <v>4191.149195967444</v>
      </c>
      <c r="AR495">
        <f t="shared" si="346"/>
        <v>1.5705577287486971</v>
      </c>
      <c r="AS495" s="42" t="str">
        <f t="shared" si="347"/>
        <v>-0,00913023175890412+0,55024317333977i</v>
      </c>
      <c r="AT495">
        <f t="shared" si="348"/>
        <v>-5.1877111569332479</v>
      </c>
      <c r="AU495" s="44">
        <f t="shared" si="349"/>
        <v>90.95062650188035</v>
      </c>
      <c r="AV495" s="42" t="str">
        <f t="shared" si="326"/>
        <v>-0,0022889486328298-0,00208141889780679i</v>
      </c>
      <c r="AW495" s="20">
        <f t="shared" si="350"/>
        <v>-50.19015891296295</v>
      </c>
      <c r="AX495" s="44">
        <f t="shared" si="351"/>
        <v>-137.7186850137355</v>
      </c>
    </row>
    <row r="496" spans="14:50" x14ac:dyDescent="0.3">
      <c r="N496" s="8">
        <v>78</v>
      </c>
      <c r="O496" s="35">
        <f t="shared" si="352"/>
        <v>602559.58607435878</v>
      </c>
      <c r="P496" s="34" t="str">
        <f t="shared" si="317"/>
        <v>324,571428571429</v>
      </c>
      <c r="Q496" s="4" t="str">
        <f t="shared" si="318"/>
        <v>1+86536,995152517i</v>
      </c>
      <c r="R496" s="4">
        <f t="shared" si="327"/>
        <v>86536.995158294885</v>
      </c>
      <c r="S496" s="4">
        <f t="shared" si="328"/>
        <v>1.5707847710435305</v>
      </c>
      <c r="T496" s="4" t="str">
        <f t="shared" si="319"/>
        <v>1+0,757198707584524i</v>
      </c>
      <c r="U496" s="4">
        <f t="shared" si="329"/>
        <v>1.2543324450749385</v>
      </c>
      <c r="V496" s="4">
        <f t="shared" si="330"/>
        <v>0.6480923846733514</v>
      </c>
      <c r="W496" t="str">
        <f t="shared" si="320"/>
        <v>1-6,57290544778233i</v>
      </c>
      <c r="X496" s="4">
        <f t="shared" si="331"/>
        <v>6.6485401424287591</v>
      </c>
      <c r="Y496" s="4">
        <f t="shared" si="332"/>
        <v>-1.4198144023719208</v>
      </c>
      <c r="Z496" t="str">
        <f t="shared" si="321"/>
        <v>-0,45231221908041+5,63560913092856i</v>
      </c>
      <c r="AA496" s="4">
        <f t="shared" si="333"/>
        <v>5.6537312122292134</v>
      </c>
      <c r="AB496" s="4">
        <f t="shared" si="334"/>
        <v>1.6508843417207586</v>
      </c>
      <c r="AC496" s="48" t="str">
        <f t="shared" si="335"/>
        <v>-0,00364379876379096+0,00416293126101784i</v>
      </c>
      <c r="AD496" s="20">
        <f t="shared" si="336"/>
        <v>-45.141754604781255</v>
      </c>
      <c r="AE496" s="44">
        <f t="shared" si="337"/>
        <v>131.19554227950161</v>
      </c>
      <c r="AF496" t="str">
        <f t="shared" si="322"/>
        <v>-20791,6666666667</v>
      </c>
      <c r="AG496" t="str">
        <f t="shared" si="338"/>
        <v>3785993,53792262i</v>
      </c>
      <c r="AH496">
        <f t="shared" si="339"/>
        <v>3785993.5379226198</v>
      </c>
      <c r="AI496">
        <f t="shared" si="340"/>
        <v>1.5707963267948966</v>
      </c>
      <c r="AJ496" t="str">
        <f t="shared" si="323"/>
        <v>-267378,103353238+4441,79955256807i</v>
      </c>
      <c r="AK496">
        <f t="shared" si="341"/>
        <v>267414.99534625956</v>
      </c>
      <c r="AL496">
        <f t="shared" si="342"/>
        <v>3.1249817532981532</v>
      </c>
      <c r="AM496" t="str">
        <f t="shared" si="324"/>
        <v>1+6106,0503779616i</v>
      </c>
      <c r="AN496">
        <f t="shared" si="343"/>
        <v>6106.0504598475927</v>
      </c>
      <c r="AO496">
        <f t="shared" si="344"/>
        <v>1.5706325548098719</v>
      </c>
      <c r="AP496" t="str">
        <f t="shared" si="325"/>
        <v>1+4288,77347975874i</v>
      </c>
      <c r="AQ496">
        <f t="shared" si="345"/>
        <v>4288.7735963421865</v>
      </c>
      <c r="AR496">
        <f t="shared" si="346"/>
        <v>1.570563159903104</v>
      </c>
      <c r="AS496" s="42" t="str">
        <f t="shared" si="347"/>
        <v>-0,00871941391763745+0,537724840435184i</v>
      </c>
      <c r="AT496">
        <f t="shared" si="348"/>
        <v>-5.3876562348585209</v>
      </c>
      <c r="AU496" s="44">
        <f t="shared" si="349"/>
        <v>90.928991558257295</v>
      </c>
      <c r="AV496" s="42" t="str">
        <f t="shared" si="326"/>
        <v>-0,00220673975841939-0,0019956594296129i</v>
      </c>
      <c r="AW496" s="20">
        <f t="shared" si="350"/>
        <v>-50.52941083963978</v>
      </c>
      <c r="AX496" s="44">
        <f t="shared" si="351"/>
        <v>-137.87546616224114</v>
      </c>
    </row>
    <row r="497" spans="14:50" x14ac:dyDescent="0.3">
      <c r="N497" s="8">
        <v>79</v>
      </c>
      <c r="O497" s="35">
        <f t="shared" si="352"/>
        <v>616595.00186148309</v>
      </c>
      <c r="P497" s="34" t="str">
        <f t="shared" si="317"/>
        <v>324,571428571429</v>
      </c>
      <c r="Q497" s="4" t="str">
        <f t="shared" si="318"/>
        <v>1+88552,7007126043i</v>
      </c>
      <c r="R497" s="4">
        <f t="shared" si="327"/>
        <v>88552.700718250664</v>
      </c>
      <c r="S497" s="4">
        <f t="shared" si="328"/>
        <v>1.5707850340845455</v>
      </c>
      <c r="T497" s="4" t="str">
        <f t="shared" si="319"/>
        <v>1+0,774836131235288i</v>
      </c>
      <c r="U497" s="4">
        <f t="shared" si="329"/>
        <v>1.2650577181566336</v>
      </c>
      <c r="V497" s="4">
        <f t="shared" si="330"/>
        <v>0.6592076822230567</v>
      </c>
      <c r="W497" t="str">
        <f t="shared" si="320"/>
        <v>1-6,72600808363965i</v>
      </c>
      <c r="X497" s="4">
        <f t="shared" si="331"/>
        <v>6.799940054234737</v>
      </c>
      <c r="Y497" s="4">
        <f t="shared" si="332"/>
        <v>-1.4232009104694558</v>
      </c>
      <c r="Z497" t="str">
        <f t="shared" si="321"/>
        <v>-0,52075758528225+5,76687933091263i</v>
      </c>
      <c r="AA497" s="4">
        <f t="shared" si="333"/>
        <v>5.7903441762935222</v>
      </c>
      <c r="AB497" s="4">
        <f t="shared" si="334"/>
        <v>1.6608535241956479</v>
      </c>
      <c r="AC497" s="48" t="str">
        <f t="shared" si="335"/>
        <v>-0,00357723421495721+0,00410540799717807i</v>
      </c>
      <c r="AD497" s="20">
        <f t="shared" si="336"/>
        <v>-45.279609561427762</v>
      </c>
      <c r="AE497" s="44">
        <f t="shared" si="337"/>
        <v>131.06716214370914</v>
      </c>
      <c r="AF497" t="str">
        <f t="shared" si="322"/>
        <v>-20791,6666666667</v>
      </c>
      <c r="AG497" t="str">
        <f t="shared" si="338"/>
        <v>3874180,65617644i</v>
      </c>
      <c r="AH497">
        <f t="shared" si="339"/>
        <v>3874180.65617644</v>
      </c>
      <c r="AI497">
        <f t="shared" si="340"/>
        <v>1.5707963267948966</v>
      </c>
      <c r="AJ497" t="str">
        <f t="shared" si="323"/>
        <v>-279979,292273429+4545,2623552587i</v>
      </c>
      <c r="AK497">
        <f t="shared" si="341"/>
        <v>280016.18437477556</v>
      </c>
      <c r="AL497">
        <f t="shared" si="342"/>
        <v>3.1253597990905706</v>
      </c>
      <c r="AM497" t="str">
        <f t="shared" si="324"/>
        <v>1+6248,27856228136i</v>
      </c>
      <c r="AN497">
        <f t="shared" si="343"/>
        <v>6248.2786423034004</v>
      </c>
      <c r="AO497">
        <f t="shared" si="344"/>
        <v>1.5706362827153162</v>
      </c>
      <c r="AP497" t="str">
        <f t="shared" si="325"/>
        <v>1+4388,67184731667i</v>
      </c>
      <c r="AQ497">
        <f t="shared" si="345"/>
        <v>4388.671961246353</v>
      </c>
      <c r="AR497">
        <f t="shared" si="346"/>
        <v>1.5705684674293565</v>
      </c>
      <c r="AS497" s="42" t="str">
        <f t="shared" si="347"/>
        <v>-0,00832707622413272+0,525491010475156i</v>
      </c>
      <c r="AT497">
        <f t="shared" si="348"/>
        <v>-5.5876037840358341</v>
      </c>
      <c r="AU497" s="44">
        <f t="shared" si="349"/>
        <v>90.907848821991408</v>
      </c>
      <c r="AV497" s="42" t="str">
        <f t="shared" si="326"/>
        <v>-0,00212756709487037-0,00191399046764783i</v>
      </c>
      <c r="AW497" s="20">
        <f t="shared" si="350"/>
        <v>-50.867213345463597</v>
      </c>
      <c r="AX497" s="44">
        <f t="shared" si="351"/>
        <v>-138.02498903429952</v>
      </c>
    </row>
    <row r="498" spans="14:50" x14ac:dyDescent="0.3">
      <c r="N498" s="8">
        <v>80</v>
      </c>
      <c r="O498" s="35">
        <f t="shared" si="352"/>
        <v>630957.34448019415</v>
      </c>
      <c r="P498" s="34" t="str">
        <f t="shared" si="317"/>
        <v>324,571428571429</v>
      </c>
      <c r="Q498" s="4" t="str">
        <f t="shared" si="318"/>
        <v>1+90615,3580867429i</v>
      </c>
      <c r="R498" s="4">
        <f t="shared" si="327"/>
        <v>90615.358092260722</v>
      </c>
      <c r="S498" s="4">
        <f t="shared" si="328"/>
        <v>1.570785291138016</v>
      </c>
      <c r="T498" s="4" t="str">
        <f t="shared" si="319"/>
        <v>1+0,792884383259i</v>
      </c>
      <c r="U498" s="4">
        <f t="shared" si="329"/>
        <v>1.2761918528246468</v>
      </c>
      <c r="V498" s="4">
        <f t="shared" si="330"/>
        <v>0.67038706649917934</v>
      </c>
      <c r="W498" t="str">
        <f t="shared" si="320"/>
        <v>1-6,88267693801215i</v>
      </c>
      <c r="X498" s="4">
        <f t="shared" si="331"/>
        <v>6.9549436973310073</v>
      </c>
      <c r="Y498" s="4">
        <f t="shared" si="332"/>
        <v>-1.4265136306953312</v>
      </c>
      <c r="Z498" t="str">
        <f t="shared" si="321"/>
        <v>-0,59242868221399+5,90120720665161i</v>
      </c>
      <c r="AA498" s="4">
        <f t="shared" si="333"/>
        <v>5.93086993950691</v>
      </c>
      <c r="AB498" s="4">
        <f t="shared" si="334"/>
        <v>1.6708521918965979</v>
      </c>
      <c r="AC498" s="48" t="str">
        <f t="shared" si="335"/>
        <v>-0,00351287315859907+0,00404894261708883i</v>
      </c>
      <c r="AD498" s="20">
        <f t="shared" si="336"/>
        <v>-45.416006759344057</v>
      </c>
      <c r="AE498" s="44">
        <f t="shared" si="337"/>
        <v>130.94499260453847</v>
      </c>
      <c r="AF498" t="str">
        <f t="shared" si="322"/>
        <v>-20791,6666666667</v>
      </c>
      <c r="AG498" t="str">
        <f t="shared" si="338"/>
        <v>3964421,916295i</v>
      </c>
      <c r="AH498">
        <f t="shared" si="339"/>
        <v>3964421.9162949999</v>
      </c>
      <c r="AI498">
        <f t="shared" si="340"/>
        <v>1.5707963267948966</v>
      </c>
      <c r="AJ498" t="str">
        <f t="shared" si="323"/>
        <v>-293174,356931141+4651,13511621375i</v>
      </c>
      <c r="AK498">
        <f t="shared" si="341"/>
        <v>293211.24913593836</v>
      </c>
      <c r="AL498">
        <f t="shared" si="342"/>
        <v>3.1257292438117648</v>
      </c>
      <c r="AM498" t="str">
        <f t="shared" si="324"/>
        <v>1+6393,81966660057i</v>
      </c>
      <c r="AN498">
        <f t="shared" si="343"/>
        <v>6393.8197448010851</v>
      </c>
      <c r="AO498">
        <f t="shared" si="344"/>
        <v>1.570639925763277</v>
      </c>
      <c r="AP498" t="str">
        <f t="shared" si="325"/>
        <v>1+4490,89714677898i</v>
      </c>
      <c r="AQ498">
        <f t="shared" si="345"/>
        <v>4490.8972581153075</v>
      </c>
      <c r="AR498">
        <f t="shared" si="346"/>
        <v>1.570573654141574</v>
      </c>
      <c r="AS498" s="42" t="str">
        <f t="shared" si="347"/>
        <v>-0,0079523877879817+0,513535237340722i</v>
      </c>
      <c r="AT498">
        <f t="shared" si="348"/>
        <v>-5.7875536932975278</v>
      </c>
      <c r="AU498" s="44">
        <f t="shared" si="349"/>
        <v>90.887187106695905</v>
      </c>
      <c r="AV498" s="42" t="str">
        <f t="shared" si="326"/>
        <v>-0,00205133897823851-0,0018361829130714i</v>
      </c>
      <c r="AW498" s="20">
        <f t="shared" si="350"/>
        <v>-51.203560452641582</v>
      </c>
      <c r="AX498" s="44">
        <f t="shared" si="351"/>
        <v>-138.16782028876571</v>
      </c>
    </row>
    <row r="499" spans="14:50" x14ac:dyDescent="0.3">
      <c r="N499" s="8">
        <v>81</v>
      </c>
      <c r="O499" s="35">
        <f t="shared" si="352"/>
        <v>645654.22903465747</v>
      </c>
      <c r="P499" s="34" t="str">
        <f t="shared" si="317"/>
        <v>324,571428571429</v>
      </c>
      <c r="Q499" s="4" t="str">
        <f t="shared" si="318"/>
        <v>1+92726,0609231753i</v>
      </c>
      <c r="R499" s="4">
        <f t="shared" si="327"/>
        <v>92726.060928567531</v>
      </c>
      <c r="S499" s="4">
        <f t="shared" si="328"/>
        <v>1.5707855423402353</v>
      </c>
      <c r="T499" s="4" t="str">
        <f t="shared" si="319"/>
        <v>1+0,811353033077784i</v>
      </c>
      <c r="U499" s="4">
        <f t="shared" si="329"/>
        <v>1.2877475467980979</v>
      </c>
      <c r="V499" s="4">
        <f t="shared" si="330"/>
        <v>0.68162528805066391</v>
      </c>
      <c r="W499" t="str">
        <f t="shared" si="320"/>
        <v>1-7,04299507880021i</v>
      </c>
      <c r="X499" s="4">
        <f t="shared" si="331"/>
        <v>7.1136333669935494</v>
      </c>
      <c r="Y499" s="4">
        <f t="shared" si="332"/>
        <v>-1.4297540285131585</v>
      </c>
      <c r="Z499" t="str">
        <f t="shared" si="321"/>
        <v>-0,66747753388135+6,03866398056329i</v>
      </c>
      <c r="AA499" s="4">
        <f t="shared" si="333"/>
        <v>6.0754414595475126</v>
      </c>
      <c r="AB499" s="4">
        <f t="shared" si="334"/>
        <v>1.6808834141188003</v>
      </c>
      <c r="AC499" s="48" t="str">
        <f t="shared" si="335"/>
        <v>-0,0034506076136362+0,00399355345028197i</v>
      </c>
      <c r="AD499" s="20">
        <f t="shared" si="336"/>
        <v>-45.550943104374319</v>
      </c>
      <c r="AE499" s="44">
        <f t="shared" si="337"/>
        <v>130.82847306024959</v>
      </c>
      <c r="AF499" t="str">
        <f t="shared" si="322"/>
        <v>-20791,6666666667</v>
      </c>
      <c r="AG499" t="str">
        <f t="shared" si="338"/>
        <v>4056765,16538892i</v>
      </c>
      <c r="AH499">
        <f t="shared" si="339"/>
        <v>4056765.1653889199</v>
      </c>
      <c r="AI499">
        <f t="shared" si="340"/>
        <v>1.5707963267948966</v>
      </c>
      <c r="AJ499" t="str">
        <f t="shared" si="323"/>
        <v>-306991,285827612+4759,47397057247i</v>
      </c>
      <c r="AK499">
        <f t="shared" si="341"/>
        <v>307028.17813120532</v>
      </c>
      <c r="AL499">
        <f t="shared" si="342"/>
        <v>3.1260902829589985</v>
      </c>
      <c r="AM499" t="str">
        <f t="shared" si="324"/>
        <v>1+6542,75085873924i</v>
      </c>
      <c r="AN499">
        <f t="shared" si="343"/>
        <v>6542.7509351596955</v>
      </c>
      <c r="AO499">
        <f t="shared" si="344"/>
        <v>1.570643485885346</v>
      </c>
      <c r="AP499" t="str">
        <f t="shared" si="325"/>
        <v>1+4595,50357935257i</v>
      </c>
      <c r="AQ499">
        <f t="shared" si="345"/>
        <v>4595.5036881545739</v>
      </c>
      <c r="AR499">
        <f t="shared" si="346"/>
        <v>1.5705787227898189</v>
      </c>
      <c r="AS499" s="42" t="str">
        <f t="shared" si="347"/>
        <v>-0,00759455503996873+0,501851219646712i</v>
      </c>
      <c r="AT499">
        <f t="shared" si="348"/>
        <v>-5.9875058564744377</v>
      </c>
      <c r="AU499" s="44">
        <f t="shared" si="349"/>
        <v>90.866995479441798</v>
      </c>
      <c r="AV499" s="42" t="str">
        <f t="shared" si="326"/>
        <v>-0,00197796384030525-0,00176202090090878i</v>
      </c>
      <c r="AW499" s="20">
        <f t="shared" si="350"/>
        <v>-51.538448960848754</v>
      </c>
      <c r="AX499" s="44">
        <f t="shared" si="351"/>
        <v>-138.30453146030868</v>
      </c>
    </row>
    <row r="500" spans="14:50" x14ac:dyDescent="0.3">
      <c r="N500" s="8">
        <v>82</v>
      </c>
      <c r="O500" s="35">
        <f t="shared" si="352"/>
        <v>660693.44800759677</v>
      </c>
      <c r="P500" s="34" t="str">
        <f t="shared" si="317"/>
        <v>324,571428571429</v>
      </c>
      <c r="Q500" s="4" t="str">
        <f t="shared" si="318"/>
        <v>1+94885,9283444834i</v>
      </c>
      <c r="R500" s="4">
        <f t="shared" si="327"/>
        <v>94885.928349752881</v>
      </c>
      <c r="S500" s="4">
        <f t="shared" si="328"/>
        <v>1.5707857878243938</v>
      </c>
      <c r="T500" s="4" t="str">
        <f t="shared" si="319"/>
        <v>1+0,83025187301423i</v>
      </c>
      <c r="U500" s="4">
        <f t="shared" si="329"/>
        <v>1.2997377322535639</v>
      </c>
      <c r="V500" s="4">
        <f t="shared" si="330"/>
        <v>0.69291695129445097</v>
      </c>
      <c r="W500" t="str">
        <f t="shared" si="320"/>
        <v>1-7,20704750880408i</v>
      </c>
      <c r="X500" s="4">
        <f t="shared" si="331"/>
        <v>7.2760933057623083</v>
      </c>
      <c r="Y500" s="4">
        <f t="shared" si="332"/>
        <v>-1.4329235496846449</v>
      </c>
      <c r="Z500" t="str">
        <f t="shared" si="321"/>
        <v>-0,74606332896067+6,17932253404861i</v>
      </c>
      <c r="AA500" s="4">
        <f t="shared" si="333"/>
        <v>6.224197737108037</v>
      </c>
      <c r="AB500" s="4">
        <f t="shared" si="334"/>
        <v>1.6909502061909492</v>
      </c>
      <c r="AC500" s="48" t="str">
        <f t="shared" si="335"/>
        <v>-0,00339033275746486+0,00393925528609749i</v>
      </c>
      <c r="AD500" s="20">
        <f t="shared" si="336"/>
        <v>-45.684418374261796</v>
      </c>
      <c r="AE500" s="44">
        <f t="shared" si="337"/>
        <v>130.7170387574219</v>
      </c>
      <c r="AF500" t="str">
        <f t="shared" si="322"/>
        <v>-20791,6666666667</v>
      </c>
      <c r="AG500" t="str">
        <f t="shared" si="338"/>
        <v>4151259,36507115i</v>
      </c>
      <c r="AH500">
        <f t="shared" si="339"/>
        <v>4151259.36507115</v>
      </c>
      <c r="AI500">
        <f t="shared" si="340"/>
        <v>1.5707963267948966</v>
      </c>
      <c r="AJ500" t="str">
        <f t="shared" si="323"/>
        <v>-321459,386521492+4870,33636102945i</v>
      </c>
      <c r="AK500">
        <f t="shared" si="341"/>
        <v>321496.27891943563</v>
      </c>
      <c r="AL500">
        <f t="shared" si="342"/>
        <v>3.1264431075986194</v>
      </c>
      <c r="AM500" t="str">
        <f t="shared" si="324"/>
        <v>1+6695,15110398675i</v>
      </c>
      <c r="AN500">
        <f t="shared" si="343"/>
        <v>6695.1511786676629</v>
      </c>
      <c r="AO500">
        <f t="shared" si="344"/>
        <v>1.5706469649691466</v>
      </c>
      <c r="AP500" t="str">
        <f t="shared" si="325"/>
        <v>1+4702,5466087526i</v>
      </c>
      <c r="AQ500">
        <f t="shared" si="345"/>
        <v>4702.5467150779668</v>
      </c>
      <c r="AR500">
        <f t="shared" si="346"/>
        <v>1.5705836760615546</v>
      </c>
      <c r="AS500" s="42" t="str">
        <f t="shared" si="347"/>
        <v>-0,00725282005893837+0,490432797580374i</v>
      </c>
      <c r="AT500">
        <f t="shared" si="348"/>
        <v>-6.1874601721709794</v>
      </c>
      <c r="AU500" s="44">
        <f t="shared" si="349"/>
        <v>90.847263255066878</v>
      </c>
      <c r="AV500" s="42" t="str">
        <f t="shared" si="326"/>
        <v>-0,00190735051691425-0,00169130108872816i</v>
      </c>
      <c r="AW500" s="20">
        <f t="shared" si="350"/>
        <v>-51.871878546432782</v>
      </c>
      <c r="AX500" s="44">
        <f t="shared" si="351"/>
        <v>-138.43569798751122</v>
      </c>
    </row>
    <row r="501" spans="14:50" x14ac:dyDescent="0.3">
      <c r="N501" s="8">
        <v>83</v>
      </c>
      <c r="O501" s="35">
        <f t="shared" si="352"/>
        <v>676082.97539198259</v>
      </c>
      <c r="P501" s="34" t="str">
        <f t="shared" si="317"/>
        <v>324,571428571429</v>
      </c>
      <c r="Q501" s="4" t="str">
        <f t="shared" si="318"/>
        <v>1+97096,1055409637i</v>
      </c>
      <c r="R501" s="4">
        <f t="shared" si="327"/>
        <v>97096.105546113235</v>
      </c>
      <c r="S501" s="4">
        <f t="shared" si="328"/>
        <v>1.5707860277206507</v>
      </c>
      <c r="T501" s="4" t="str">
        <f t="shared" si="319"/>
        <v>1+0,849590923483432i</v>
      </c>
      <c r="U501" s="4">
        <f t="shared" si="329"/>
        <v>1.3121755741002921</v>
      </c>
      <c r="V501" s="4">
        <f t="shared" si="330"/>
        <v>0.70425652630062774</v>
      </c>
      <c r="W501" t="str">
        <f t="shared" si="320"/>
        <v>1-7,37492121079368i</v>
      </c>
      <c r="X501" s="4">
        <f t="shared" si="331"/>
        <v>7.4424097485568828</v>
      </c>
      <c r="Y501" s="4">
        <f t="shared" si="332"/>
        <v>-1.4360236198736951</v>
      </c>
      <c r="Z501" t="str">
        <f t="shared" si="321"/>
        <v>-0,82835275845951+6,3232574461345i</v>
      </c>
      <c r="AA501" s="4">
        <f t="shared" si="333"/>
        <v>6.3772841415874577</v>
      </c>
      <c r="AB501" s="4">
        <f t="shared" si="334"/>
        <v>1.7010555236929086</v>
      </c>
      <c r="AC501" s="48" t="str">
        <f t="shared" si="335"/>
        <v>-0,00333194688879465+0,00388605955739797i</v>
      </c>
      <c r="AD501" s="20">
        <f t="shared" si="336"/>
        <v>-45.816435310371666</v>
      </c>
      <c r="AE501" s="44">
        <f t="shared" si="337"/>
        <v>130.61012182017592</v>
      </c>
      <c r="AF501" t="str">
        <f t="shared" si="322"/>
        <v>-20791,6666666667</v>
      </c>
      <c r="AG501" t="str">
        <f t="shared" si="338"/>
        <v>4247954,61741716i</v>
      </c>
      <c r="AH501">
        <f t="shared" si="339"/>
        <v>4247954.6174171604</v>
      </c>
      <c r="AI501">
        <f t="shared" si="340"/>
        <v>1.5707963267948966</v>
      </c>
      <c r="AJ501" t="str">
        <f t="shared" si="323"/>
        <v>-336609,347794132+4983,78106829159i</v>
      </c>
      <c r="AK501">
        <f t="shared" si="341"/>
        <v>336646.24028218054</v>
      </c>
      <c r="AL501">
        <f t="shared" si="342"/>
        <v>3.1267879044656457</v>
      </c>
      <c r="AM501" t="str">
        <f t="shared" si="324"/>
        <v>1+6851,10120697039i</v>
      </c>
      <c r="AN501">
        <f t="shared" si="343"/>
        <v>6851.1012799513583</v>
      </c>
      <c r="AO501">
        <f t="shared" si="344"/>
        <v>1.5706503648593348</v>
      </c>
      <c r="AP501" t="str">
        <f t="shared" si="325"/>
        <v>1+4812,08299061016i</v>
      </c>
      <c r="AQ501">
        <f t="shared" si="345"/>
        <v>4812.0830945152657</v>
      </c>
      <c r="AR501">
        <f t="shared" si="346"/>
        <v>1.5705885165830702</v>
      </c>
      <c r="AS501" s="42" t="str">
        <f t="shared" si="347"/>
        <v>-0,00692645897338436+0,479273949803039i</v>
      </c>
      <c r="AT501">
        <f t="shared" si="348"/>
        <v>-6.3874165435512378</v>
      </c>
      <c r="AU501" s="44">
        <f t="shared" si="349"/>
        <v>90.827979990609037</v>
      </c>
      <c r="AV501" s="42" t="str">
        <f t="shared" si="326"/>
        <v>-0,00183940851981724-0,001623831978019i</v>
      </c>
      <c r="AW501" s="20">
        <f t="shared" si="350"/>
        <v>-52.20385185392292</v>
      </c>
      <c r="AX501" s="44">
        <f t="shared" si="351"/>
        <v>-138.5618981892151</v>
      </c>
    </row>
    <row r="502" spans="14:50" x14ac:dyDescent="0.3">
      <c r="N502" s="8">
        <v>84</v>
      </c>
      <c r="O502" s="35">
        <f t="shared" si="352"/>
        <v>691830.97091893724</v>
      </c>
      <c r="P502" s="34" t="str">
        <f t="shared" si="317"/>
        <v>324,571428571429</v>
      </c>
      <c r="Q502" s="4" t="str">
        <f t="shared" si="318"/>
        <v>1+99357,7643778206i</v>
      </c>
      <c r="R502" s="4">
        <f t="shared" si="327"/>
        <v>99357.764382852911</v>
      </c>
      <c r="S502" s="4">
        <f t="shared" si="328"/>
        <v>1.5707862621562021</v>
      </c>
      <c r="T502" s="4" t="str">
        <f t="shared" si="319"/>
        <v>1+0,86938043830593i</v>
      </c>
      <c r="U502" s="4">
        <f t="shared" si="329"/>
        <v>1.3250744682881075</v>
      </c>
      <c r="V502" s="4">
        <f t="shared" si="330"/>
        <v>0.71563836138035886</v>
      </c>
      <c r="W502" t="str">
        <f t="shared" si="320"/>
        <v>1-7,54670519362787i</v>
      </c>
      <c r="X502" s="4">
        <f t="shared" si="331"/>
        <v>7.6126709688209875</v>
      </c>
      <c r="Y502" s="4">
        <f t="shared" si="332"/>
        <v>-1.4390556443089024</v>
      </c>
      <c r="Z502" t="str">
        <f t="shared" si="321"/>
        <v>-0,91452036929056+6,47054503301653i</v>
      </c>
      <c r="AA502" s="4">
        <f t="shared" si="333"/>
        <v>6.5348527550467601</v>
      </c>
      <c r="AB502" s="4">
        <f t="shared" si="334"/>
        <v>1.7112022565615133</v>
      </c>
      <c r="AC502" s="48" t="str">
        <f t="shared" si="335"/>
        <v>-0,00327535138818791+0,0038339745137641i</v>
      </c>
      <c r="AD502" s="20">
        <f t="shared" si="336"/>
        <v>-45.946999700863827</v>
      </c>
      <c r="AE502" s="44">
        <f t="shared" si="337"/>
        <v>130.50715232845513</v>
      </c>
      <c r="AF502" t="str">
        <f t="shared" si="322"/>
        <v>-20791,6666666667</v>
      </c>
      <c r="AG502" t="str">
        <f t="shared" si="338"/>
        <v>4346902,19152965i</v>
      </c>
      <c r="AH502">
        <f t="shared" si="339"/>
        <v>4346902.1915296502</v>
      </c>
      <c r="AI502">
        <f t="shared" si="340"/>
        <v>1.5707963267948966</v>
      </c>
      <c r="AJ502" t="str">
        <f t="shared" si="323"/>
        <v>-352473,304744578+5099,86824224427i</v>
      </c>
      <c r="AK502">
        <f t="shared" si="341"/>
        <v>352510.19731867674</v>
      </c>
      <c r="AL502">
        <f t="shared" si="342"/>
        <v>3.1271248560611657</v>
      </c>
      <c r="AM502" t="str">
        <f t="shared" si="324"/>
        <v>1+7010,68385449902i</v>
      </c>
      <c r="AN502">
        <f t="shared" si="343"/>
        <v>7010.6839258187374</v>
      </c>
      <c r="AO502">
        <f t="shared" si="344"/>
        <v>1.5706536873585775</v>
      </c>
      <c r="AP502" t="str">
        <f t="shared" si="325"/>
        <v>1+4924,17080256479i</v>
      </c>
      <c r="AQ502">
        <f t="shared" si="345"/>
        <v>4924.1709041047279</v>
      </c>
      <c r="AR502">
        <f t="shared" si="346"/>
        <v>1.5705932469208737</v>
      </c>
      <c r="AS502" s="42" t="str">
        <f t="shared" si="347"/>
        <v>-0,00661478043445248+0,4683687904141i</v>
      </c>
      <c r="AT502">
        <f t="shared" si="348"/>
        <v>-6.5873748781335904</v>
      </c>
      <c r="AU502" s="44">
        <f t="shared" si="349"/>
        <v>90.809135479861368</v>
      </c>
      <c r="AV502" s="42" t="str">
        <f t="shared" si="326"/>
        <v>-0,00177404827521164-0,00155943326746655i</v>
      </c>
      <c r="AW502" s="20">
        <f t="shared" si="350"/>
        <v>-52.534374578997415</v>
      </c>
      <c r="AX502" s="44">
        <f t="shared" si="351"/>
        <v>-138.68371219168355</v>
      </c>
    </row>
    <row r="503" spans="14:50" x14ac:dyDescent="0.3">
      <c r="N503" s="8">
        <v>85</v>
      </c>
      <c r="O503" s="35">
        <f t="shared" si="352"/>
        <v>707945.78438413853</v>
      </c>
      <c r="P503" s="34" t="str">
        <f t="shared" si="317"/>
        <v>324,571428571429</v>
      </c>
      <c r="Q503" s="4" t="str">
        <f t="shared" si="318"/>
        <v>1+101672,104016506i</v>
      </c>
      <c r="R503" s="4">
        <f t="shared" si="327"/>
        <v>101672.10402142376</v>
      </c>
      <c r="S503" s="4">
        <f t="shared" si="328"/>
        <v>1.5707864912553489</v>
      </c>
      <c r="T503" s="4" t="str">
        <f t="shared" si="319"/>
        <v>1+0,88963091014443i</v>
      </c>
      <c r="U503" s="4">
        <f t="shared" si="329"/>
        <v>1.3384480401884888</v>
      </c>
      <c r="V503" s="4">
        <f t="shared" si="330"/>
        <v>0.72705669641334181</v>
      </c>
      <c r="W503" t="str">
        <f t="shared" si="320"/>
        <v>1-7,72249053944818i</v>
      </c>
      <c r="X503" s="4">
        <f t="shared" si="331"/>
        <v>7.786967325722296</v>
      </c>
      <c r="Y503" s="4">
        <f t="shared" si="332"/>
        <v>-1.4420210075005246</v>
      </c>
      <c r="Z503" t="str">
        <f t="shared" si="321"/>
        <v>-1,0047489345091+6,62126338852286i</v>
      </c>
      <c r="AA503" s="4">
        <f t="shared" si="333"/>
        <v>6.6970627353781298</v>
      </c>
      <c r="AB503" s="4">
        <f t="shared" si="334"/>
        <v>1.7213932230803735</v>
      </c>
      <c r="AC503" s="48" t="str">
        <f t="shared" si="335"/>
        <v>-0,00322045067705045+0,00378300538464419i</v>
      </c>
      <c r="AD503" s="20">
        <f t="shared" si="336"/>
        <v>-46.076120454505592</v>
      </c>
      <c r="AE503" s="44">
        <f t="shared" si="337"/>
        <v>130.4075594422041</v>
      </c>
      <c r="AF503" t="str">
        <f t="shared" si="322"/>
        <v>-20791,6666666667</v>
      </c>
      <c r="AG503" t="str">
        <f t="shared" si="338"/>
        <v>4448154,55072215i</v>
      </c>
      <c r="AH503">
        <f t="shared" si="339"/>
        <v>4448154.5507221501</v>
      </c>
      <c r="AI503">
        <f t="shared" si="340"/>
        <v>1.5707963267948966</v>
      </c>
      <c r="AJ503" t="str">
        <f t="shared" si="323"/>
        <v>-369084,906952441+5218,65943384374i</v>
      </c>
      <c r="AK503">
        <f t="shared" si="341"/>
        <v>369121.79960871785</v>
      </c>
      <c r="AL503">
        <f t="shared" si="342"/>
        <v>3.1274541407476022</v>
      </c>
      <c r="AM503" t="str">
        <f t="shared" si="324"/>
        <v>1+7173,98365940468i</v>
      </c>
      <c r="AN503">
        <f t="shared" si="343"/>
        <v>7173.9837291009626</v>
      </c>
      <c r="AO503">
        <f t="shared" si="344"/>
        <v>1.5706569342285068</v>
      </c>
      <c r="AP503" t="str">
        <f t="shared" si="325"/>
        <v>1+5038,86947505805i</v>
      </c>
      <c r="AQ503">
        <f t="shared" si="345"/>
        <v>5038.8695742866566</v>
      </c>
      <c r="AR503">
        <f t="shared" si="346"/>
        <v>1.5705978695830516</v>
      </c>
      <c r="AS503" s="42" t="str">
        <f t="shared" si="347"/>
        <v>-0,0063171241571852+0,457711565976321i</v>
      </c>
      <c r="AT503">
        <f t="shared" si="348"/>
        <v>-6.7873350875954275</v>
      </c>
      <c r="AU503" s="44">
        <f t="shared" si="349"/>
        <v>90.790719748046754</v>
      </c>
      <c r="AV503" s="42" t="str">
        <f t="shared" si="326"/>
        <v>-0,00171118133193333-0,00149793523724436i</v>
      </c>
      <c r="AW503" s="20">
        <f t="shared" si="350"/>
        <v>-52.863455542101015</v>
      </c>
      <c r="AX503" s="44">
        <f t="shared" si="351"/>
        <v>-138.80172080974921</v>
      </c>
    </row>
    <row r="504" spans="14:50" x14ac:dyDescent="0.3">
      <c r="N504" s="8">
        <v>86</v>
      </c>
      <c r="O504" s="35">
        <f t="shared" si="352"/>
        <v>724435.96007499192</v>
      </c>
      <c r="P504" s="34" t="str">
        <f t="shared" si="317"/>
        <v>324,571428571429</v>
      </c>
      <c r="Q504" s="4" t="str">
        <f t="shared" si="318"/>
        <v>1+104040,351550531i</v>
      </c>
      <c r="R504" s="4">
        <f t="shared" si="327"/>
        <v>104040.35155533683</v>
      </c>
      <c r="S504" s="4">
        <f t="shared" si="328"/>
        <v>1.5707867151395623</v>
      </c>
      <c r="T504" s="4" t="str">
        <f t="shared" si="319"/>
        <v>1+0,910353076067146i</v>
      </c>
      <c r="U504" s="4">
        <f t="shared" si="329"/>
        <v>1.3523101430903026</v>
      </c>
      <c r="V504" s="4">
        <f t="shared" si="330"/>
        <v>0.7385056768432976</v>
      </c>
      <c r="W504" t="str">
        <f t="shared" si="320"/>
        <v>1-7,90237045197175i</v>
      </c>
      <c r="X504" s="4">
        <f t="shared" si="331"/>
        <v>7.9653913124338214</v>
      </c>
      <c r="Y504" s="4">
        <f t="shared" si="332"/>
        <v>-1.4449210730082174</v>
      </c>
      <c r="Z504" t="str">
        <f t="shared" si="321"/>
        <v>-1,09922984099911+6,77549242552058i</v>
      </c>
      <c r="AA504" s="4">
        <f t="shared" si="333"/>
        <v>6.86408069967346</v>
      </c>
      <c r="AB504" s="4">
        <f t="shared" si="334"/>
        <v>1.7316311637510726</v>
      </c>
      <c r="AC504" s="48" t="str">
        <f t="shared" si="335"/>
        <v>-0,00316715217576335+0,00373315453295894i</v>
      </c>
      <c r="AD504" s="20">
        <f t="shared" si="336"/>
        <v>-46.203809664356243</v>
      </c>
      <c r="AE504" s="44">
        <f t="shared" si="337"/>
        <v>130.31077256770925</v>
      </c>
      <c r="AF504" t="str">
        <f t="shared" si="322"/>
        <v>-20791,6666666667</v>
      </c>
      <c r="AG504" t="str">
        <f t="shared" si="338"/>
        <v>4551765,38033573i</v>
      </c>
      <c r="AH504">
        <f t="shared" si="339"/>
        <v>4551765.3803357296</v>
      </c>
      <c r="AI504">
        <f t="shared" si="340"/>
        <v>1.5707963267948966</v>
      </c>
      <c r="AJ504" t="str">
        <f t="shared" si="323"/>
        <v>-386479,38985316+5340,21762775215i</v>
      </c>
      <c r="AK504">
        <f t="shared" si="341"/>
        <v>386516.28258791706</v>
      </c>
      <c r="AL504">
        <f t="shared" si="342"/>
        <v>3.1277759328418822</v>
      </c>
      <c r="AM504" t="str">
        <f t="shared" si="324"/>
        <v>1+7341,08720540546i</v>
      </c>
      <c r="AN504">
        <f t="shared" si="343"/>
        <v>7341.0872735152625</v>
      </c>
      <c r="AO504">
        <f t="shared" si="344"/>
        <v>1.5706601071906563</v>
      </c>
      <c r="AP504" t="str">
        <f t="shared" si="325"/>
        <v>1+5156,23982284431i</v>
      </c>
      <c r="AQ504">
        <f t="shared" si="345"/>
        <v>5156.2399198141975</v>
      </c>
      <c r="AR504">
        <f t="shared" si="346"/>
        <v>1.5706023870205998</v>
      </c>
      <c r="AS504" s="42" t="str">
        <f t="shared" si="347"/>
        <v>-0,00603285952698246+0,447296652601678i</v>
      </c>
      <c r="AT504">
        <f t="shared" si="348"/>
        <v>-6.9872970875861142</v>
      </c>
      <c r="AU504" s="44">
        <f t="shared" si="349"/>
        <v>90.772723046609286</v>
      </c>
      <c r="AV504" s="42" t="str">
        <f t="shared" si="326"/>
        <v>-0,00165072054206036-0,00143917816338893i</v>
      </c>
      <c r="AW504" s="20">
        <f t="shared" si="350"/>
        <v>-53.191106751942343</v>
      </c>
      <c r="AX504" s="44">
        <f t="shared" si="351"/>
        <v>-138.91650438568143</v>
      </c>
    </row>
    <row r="505" spans="14:50" x14ac:dyDescent="0.3">
      <c r="N505" s="8">
        <v>87</v>
      </c>
      <c r="O505" s="35">
        <f t="shared" si="352"/>
        <v>741310.24130091805</v>
      </c>
      <c r="P505" s="34" t="str">
        <f t="shared" si="317"/>
        <v>324,571428571429</v>
      </c>
      <c r="Q505" s="4" t="str">
        <f t="shared" si="318"/>
        <v>1+106463,762656084i</v>
      </c>
      <c r="R505" s="4">
        <f t="shared" si="327"/>
        <v>106463.76266078043</v>
      </c>
      <c r="S505" s="4">
        <f t="shared" si="328"/>
        <v>1.5707869339275489</v>
      </c>
      <c r="T505" s="4" t="str">
        <f t="shared" si="319"/>
        <v>1+0,931557923240736i</v>
      </c>
      <c r="U505" s="4">
        <f t="shared" si="329"/>
        <v>1.3666748568524238</v>
      </c>
      <c r="V505" s="4">
        <f t="shared" si="330"/>
        <v>0.74997936826251321</v>
      </c>
      <c r="W505" t="str">
        <f t="shared" si="320"/>
        <v>1-8,08644030590917i</v>
      </c>
      <c r="X505" s="4">
        <f t="shared" si="331"/>
        <v>8.1480376055239443</v>
      </c>
      <c r="Y505" s="4">
        <f t="shared" si="332"/>
        <v>-1.4477571832559897</v>
      </c>
      <c r="Z505" t="str">
        <f t="shared" si="321"/>
        <v>-1,1981634954305+6,93331391828651i</v>
      </c>
      <c r="AA505" s="4">
        <f t="shared" si="333"/>
        <v>7.0360811288164991</v>
      </c>
      <c r="AB505" s="4">
        <f t="shared" si="334"/>
        <v>1.7419187350449437</v>
      </c>
      <c r="AC505" s="48" t="str">
        <f t="shared" si="335"/>
        <v>-0,00311536626158725+0,00368442159968804i</v>
      </c>
      <c r="AD505" s="20">
        <f t="shared" si="336"/>
        <v>-46.330082660607026</v>
      </c>
      <c r="AE505" s="44">
        <f t="shared" si="337"/>
        <v>130.21622256182775</v>
      </c>
      <c r="AF505" t="str">
        <f t="shared" si="322"/>
        <v>-20791,6666666667</v>
      </c>
      <c r="AG505" t="str">
        <f t="shared" si="338"/>
        <v>4657789,61620368i</v>
      </c>
      <c r="AH505">
        <f t="shared" si="339"/>
        <v>4657789.6162036797</v>
      </c>
      <c r="AI505">
        <f t="shared" si="340"/>
        <v>1.5707963267948966</v>
      </c>
      <c r="AJ505" t="str">
        <f t="shared" si="323"/>
        <v>-404693,649477082+5464,60727573292i</v>
      </c>
      <c r="AK505">
        <f t="shared" si="341"/>
        <v>404730.54228678782</v>
      </c>
      <c r="AL505">
        <f t="shared" si="342"/>
        <v>3.1280904027065528</v>
      </c>
      <c r="AM505" t="str">
        <f t="shared" si="324"/>
        <v>1+7512,08309301329i</v>
      </c>
      <c r="AN505">
        <f t="shared" si="343"/>
        <v>7512.0831595727232</v>
      </c>
      <c r="AO505">
        <f t="shared" si="344"/>
        <v>1.5706632079273719</v>
      </c>
      <c r="AP505" t="str">
        <f t="shared" si="325"/>
        <v>1+5276,34407723553i</v>
      </c>
      <c r="AQ505">
        <f t="shared" si="345"/>
        <v>5276.3441719981129</v>
      </c>
      <c r="AR505">
        <f t="shared" si="346"/>
        <v>1.5706068016287231</v>
      </c>
      <c r="AS505" s="42" t="str">
        <f t="shared" si="347"/>
        <v>-0,00576138426838015+0,437118553096797i</v>
      </c>
      <c r="AT505">
        <f t="shared" si="348"/>
        <v>-7.1872607975483982</v>
      </c>
      <c r="AU505" s="44">
        <f t="shared" si="349"/>
        <v>90.755135848120474</v>
      </c>
      <c r="AV505" s="42" t="str">
        <f t="shared" si="326"/>
        <v>-0,00159258021648447-0,00138301176127412i</v>
      </c>
      <c r="AW505" s="20">
        <f t="shared" si="350"/>
        <v>-53.517343458155423</v>
      </c>
      <c r="AX505" s="44">
        <f t="shared" si="351"/>
        <v>-139.02864159005171</v>
      </c>
    </row>
    <row r="506" spans="14:50" x14ac:dyDescent="0.3">
      <c r="N506" s="8">
        <v>88</v>
      </c>
      <c r="O506" s="35">
        <f t="shared" si="352"/>
        <v>758577.57502918423</v>
      </c>
      <c r="P506" s="34" t="str">
        <f t="shared" si="317"/>
        <v>324,571428571429</v>
      </c>
      <c r="Q506" s="4" t="str">
        <f t="shared" si="318"/>
        <v>1+108943,622257812i</v>
      </c>
      <c r="R506" s="4">
        <f t="shared" si="327"/>
        <v>108943.62226240155</v>
      </c>
      <c r="S506" s="4">
        <f t="shared" si="328"/>
        <v>1.5707871477353128</v>
      </c>
      <c r="T506" s="4" t="str">
        <f t="shared" si="319"/>
        <v>1+0,953256694755858i</v>
      </c>
      <c r="U506" s="4">
        <f t="shared" si="329"/>
        <v>1.3815564867557399</v>
      </c>
      <c r="V506" s="4">
        <f t="shared" si="330"/>
        <v>0.76147177149968881</v>
      </c>
      <c r="W506" t="str">
        <f t="shared" si="320"/>
        <v>1-8,27479769753349i</v>
      </c>
      <c r="X506" s="4">
        <f t="shared" si="331"/>
        <v>8.3350031154826532</v>
      </c>
      <c r="Y506" s="4">
        <f t="shared" si="332"/>
        <v>-1.4505306593910299</v>
      </c>
      <c r="Z506" t="str">
        <f t="shared" si="321"/>
        <v>-1,30175974934864+7,09481154586521i</v>
      </c>
      <c r="AA506" s="4">
        <f t="shared" si="333"/>
        <v>7.2132467943615035</v>
      </c>
      <c r="AB506" s="4">
        <f t="shared" si="334"/>
        <v>1.7522585030364857</v>
      </c>
      <c r="AC506" s="48" t="str">
        <f t="shared" si="335"/>
        <v>-0,00306500622691271+0,00363680363998679i</v>
      </c>
      <c r="AD506" s="20">
        <f t="shared" si="336"/>
        <v>-46.454958051922041</v>
      </c>
      <c r="AE506" s="44">
        <f t="shared" si="337"/>
        <v>130.12334296931994</v>
      </c>
      <c r="AF506" t="str">
        <f t="shared" si="322"/>
        <v>-20791,6666666667</v>
      </c>
      <c r="AG506" t="str">
        <f t="shared" si="338"/>
        <v>4766283,47377929i</v>
      </c>
      <c r="AH506">
        <f t="shared" si="339"/>
        <v>4766283.47377929</v>
      </c>
      <c r="AI506">
        <f t="shared" si="340"/>
        <v>1.5707963267948966</v>
      </c>
      <c r="AJ506" t="str">
        <f t="shared" si="323"/>
        <v>-423766,320710906+5591,89433082392i</v>
      </c>
      <c r="AK506">
        <f t="shared" si="341"/>
        <v>423803.21359218779</v>
      </c>
      <c r="AL506">
        <f t="shared" si="342"/>
        <v>3.1283977168388923</v>
      </c>
      <c r="AM506" t="str">
        <f t="shared" si="324"/>
        <v>1+7687,06198651123i</v>
      </c>
      <c r="AN506">
        <f t="shared" si="343"/>
        <v>7687.0620515555865</v>
      </c>
      <c r="AO506">
        <f t="shared" si="344"/>
        <v>1.5706662380827054</v>
      </c>
      <c r="AP506" t="str">
        <f t="shared" si="325"/>
        <v>1+5399,24591909718i</v>
      </c>
      <c r="AQ506">
        <f t="shared" si="345"/>
        <v>5399.246011702704</v>
      </c>
      <c r="AR506">
        <f t="shared" si="346"/>
        <v>1.5706111157481042</v>
      </c>
      <c r="AS506" s="42" t="str">
        <f t="shared" si="347"/>
        <v>-0,00550212317337675+0,427171894167057i</v>
      </c>
      <c r="AT506">
        <f t="shared" si="348"/>
        <v>-7.387226140548413</v>
      </c>
      <c r="AU506" s="44">
        <f t="shared" si="349"/>
        <v>90.73794884129741</v>
      </c>
      <c r="AV506" s="42" t="str">
        <f t="shared" si="326"/>
        <v>-0,00153667625781916-0,00132929465716872i</v>
      </c>
      <c r="AW506" s="20">
        <f t="shared" si="350"/>
        <v>-53.842184192470469</v>
      </c>
      <c r="AX506" s="44">
        <f t="shared" si="351"/>
        <v>-139.13870818938256</v>
      </c>
    </row>
    <row r="507" spans="14:50" x14ac:dyDescent="0.3">
      <c r="N507" s="8">
        <v>89</v>
      </c>
      <c r="O507" s="35">
        <f t="shared" si="352"/>
        <v>776247.11662869214</v>
      </c>
      <c r="P507" s="34" t="str">
        <f t="shared" si="317"/>
        <v>324,571428571429</v>
      </c>
      <c r="Q507" s="4" t="str">
        <f t="shared" si="318"/>
        <v>1+111481,245210101i</v>
      </c>
      <c r="R507" s="4">
        <f t="shared" si="327"/>
        <v>111481.24521458604</v>
      </c>
      <c r="S507" s="4">
        <f t="shared" si="328"/>
        <v>1.570787356676218</v>
      </c>
      <c r="T507" s="4" t="str">
        <f t="shared" si="319"/>
        <v>1+0,975460895588384i</v>
      </c>
      <c r="U507" s="4">
        <f t="shared" si="329"/>
        <v>1.3969695625968708</v>
      </c>
      <c r="V507" s="4">
        <f t="shared" si="330"/>
        <v>0.77297683811946316</v>
      </c>
      <c r="W507" t="str">
        <f t="shared" si="320"/>
        <v>1-8,46754249642694i</v>
      </c>
      <c r="X507" s="4">
        <f t="shared" si="331"/>
        <v>8.5263870384117677</v>
      </c>
      <c r="Y507" s="4">
        <f t="shared" si="332"/>
        <v>-1.4532428011832175</v>
      </c>
      <c r="Z507" t="str">
        <f t="shared" si="321"/>
        <v>-1,41023834429744+7,26007093643646i</v>
      </c>
      <c r="AA507" s="4">
        <f t="shared" si="333"/>
        <v>7.3957692087987823</v>
      </c>
      <c r="AB507" s="4">
        <f t="shared" si="334"/>
        <v>1.7626529369214827</v>
      </c>
      <c r="AC507" s="48" t="str">
        <f t="shared" si="335"/>
        <v>-0,00301598823837515+0,00359029525140118i</v>
      </c>
      <c r="AD507" s="20">
        <f t="shared" si="336"/>
        <v>-46.578457754690803</v>
      </c>
      <c r="AE507" s="44">
        <f t="shared" si="337"/>
        <v>130.03157128804628</v>
      </c>
      <c r="AF507" t="str">
        <f t="shared" si="322"/>
        <v>-20791,6666666667</v>
      </c>
      <c r="AG507" t="str">
        <f t="shared" si="338"/>
        <v>4877304,47794192i</v>
      </c>
      <c r="AH507">
        <f t="shared" si="339"/>
        <v>4877304.47794192</v>
      </c>
      <c r="AI507">
        <f t="shared" si="340"/>
        <v>1.5707963267948966</v>
      </c>
      <c r="AJ507" t="str">
        <f t="shared" si="323"/>
        <v>-443737,85924743+5722,14628230659i</v>
      </c>
      <c r="AK507">
        <f t="shared" si="341"/>
        <v>443774.7521970669</v>
      </c>
      <c r="AL507">
        <f t="shared" si="342"/>
        <v>3.1286980379580487</v>
      </c>
      <c r="AM507" t="str">
        <f t="shared" si="324"/>
        <v>1+7866,11666202472i</v>
      </c>
      <c r="AN507">
        <f t="shared" si="343"/>
        <v>7866.1167255884866</v>
      </c>
      <c r="AO507">
        <f t="shared" si="344"/>
        <v>1.5706691992632849</v>
      </c>
      <c r="AP507" t="str">
        <f t="shared" si="325"/>
        <v>1+5525,01051261261i</v>
      </c>
      <c r="AQ507">
        <f t="shared" si="345"/>
        <v>5525.010603110175</v>
      </c>
      <c r="AR507">
        <f t="shared" si="346"/>
        <v>1.5706153316661458</v>
      </c>
      <c r="AS507" s="42" t="str">
        <f t="shared" si="347"/>
        <v>-0,00525452688666257+0,417451423678534i</v>
      </c>
      <c r="AT507">
        <f t="shared" si="348"/>
        <v>-7.5871930431120314</v>
      </c>
      <c r="AU507" s="44">
        <f t="shared" si="349"/>
        <v>90.721152926131253</v>
      </c>
      <c r="AV507" s="42" t="str">
        <f t="shared" si="326"/>
        <v>-0,0014829262728353-0,00127789388683696i</v>
      </c>
      <c r="AW507" s="20">
        <f t="shared" si="350"/>
        <v>-54.165650797802854</v>
      </c>
      <c r="AX507" s="44">
        <f t="shared" si="351"/>
        <v>-139.24727578582252</v>
      </c>
    </row>
    <row r="508" spans="14:50" x14ac:dyDescent="0.3">
      <c r="N508" s="8">
        <v>90</v>
      </c>
      <c r="O508" s="35">
        <f t="shared" si="352"/>
        <v>794328.23472428333</v>
      </c>
      <c r="P508" s="34" t="str">
        <f t="shared" si="317"/>
        <v>324,571428571429</v>
      </c>
      <c r="Q508" s="4" t="str">
        <f t="shared" si="318"/>
        <v>1+114077,976994229i</v>
      </c>
      <c r="R508" s="4">
        <f t="shared" si="327"/>
        <v>114077.97699861196</v>
      </c>
      <c r="S508" s="4">
        <f t="shared" si="328"/>
        <v>1.5707875608610475</v>
      </c>
      <c r="T508" s="4" t="str">
        <f t="shared" si="319"/>
        <v>1+0,998182298699504i</v>
      </c>
      <c r="U508" s="4">
        <f t="shared" si="329"/>
        <v>1.4129288380654652</v>
      </c>
      <c r="V508" s="4">
        <f t="shared" si="330"/>
        <v>0.7844884862372169</v>
      </c>
      <c r="W508" t="str">
        <f t="shared" si="320"/>
        <v>1-8,66477689843319i</v>
      </c>
      <c r="X508" s="4">
        <f t="shared" si="331"/>
        <v>8.7222909089081355</v>
      </c>
      <c r="Y508" s="4">
        <f t="shared" si="332"/>
        <v>-1.4558948869623209</v>
      </c>
      <c r="Z508" t="str">
        <f t="shared" si="321"/>
        <v>-1,52382937792079+7,42917971271661i</v>
      </c>
      <c r="AA508" s="4">
        <f t="shared" si="333"/>
        <v>7.5838491003483526</v>
      </c>
      <c r="AB508" s="4">
        <f t="shared" si="334"/>
        <v>1.7731044024252063</v>
      </c>
      <c r="AC508" s="48" t="str">
        <f t="shared" si="335"/>
        <v>-0,00296823129729485+0,00354488869476564i</v>
      </c>
      <c r="AD508" s="20">
        <f t="shared" si="336"/>
        <v>-46.700607009682436</v>
      </c>
      <c r="AE508" s="44">
        <f t="shared" si="337"/>
        <v>129.94035025636495</v>
      </c>
      <c r="AF508" t="str">
        <f t="shared" si="322"/>
        <v>-20791,6666666667</v>
      </c>
      <c r="AG508" t="str">
        <f t="shared" si="338"/>
        <v>4990911,49349752i</v>
      </c>
      <c r="AH508">
        <f t="shared" si="339"/>
        <v>4990911.4934975198</v>
      </c>
      <c r="AI508">
        <f t="shared" si="340"/>
        <v>1.5707963267948966</v>
      </c>
      <c r="AJ508" t="str">
        <f t="shared" si="323"/>
        <v>-464650,627397526+5855,43219148972i</v>
      </c>
      <c r="AK508">
        <f t="shared" si="341"/>
        <v>464687.52041244198</v>
      </c>
      <c r="AL508">
        <f t="shared" si="342"/>
        <v>3.1289915250902518</v>
      </c>
      <c r="AM508" t="str">
        <f t="shared" si="324"/>
        <v>1+8049,34205671279i</v>
      </c>
      <c r="AN508">
        <f t="shared" si="343"/>
        <v>8049.342118829667</v>
      </c>
      <c r="AO508">
        <f t="shared" si="344"/>
        <v>1.5706720930391673</v>
      </c>
      <c r="AP508" t="str">
        <f t="shared" si="325"/>
        <v>1+5653,70453983399i</v>
      </c>
      <c r="AQ508">
        <f t="shared" si="345"/>
        <v>5653.7046282715783</v>
      </c>
      <c r="AR508">
        <f t="shared" si="346"/>
        <v>1.5706194516181826</v>
      </c>
      <c r="AS508" s="42" t="str">
        <f t="shared" si="347"/>
        <v>-0,0050180707452158+0,407952007976709i</v>
      </c>
      <c r="AT508">
        <f t="shared" si="348"/>
        <v>-7.7871614350702689</v>
      </c>
      <c r="AU508" s="44">
        <f t="shared" si="349"/>
        <v>90.704739209123048</v>
      </c>
      <c r="AV508" s="42" t="str">
        <f t="shared" si="326"/>
        <v>-0,00143124966644559-0,001228684420125i</v>
      </c>
      <c r="AW508" s="20">
        <f t="shared" si="350"/>
        <v>-54.487768444752689</v>
      </c>
      <c r="AX508" s="44">
        <f t="shared" si="351"/>
        <v>-139.35491053451193</v>
      </c>
    </row>
    <row r="509" spans="14:50" x14ac:dyDescent="0.3">
      <c r="N509" s="8">
        <v>91</v>
      </c>
      <c r="O509" s="35">
        <f t="shared" si="352"/>
        <v>812830.51616410096</v>
      </c>
      <c r="P509" s="34" t="str">
        <f t="shared" si="317"/>
        <v>324,571428571429</v>
      </c>
      <c r="Q509" s="4" t="str">
        <f t="shared" si="318"/>
        <v>1+116735,19443176i</v>
      </c>
      <c r="R509" s="4">
        <f t="shared" si="327"/>
        <v>116735.1944360432</v>
      </c>
      <c r="S509" s="4">
        <f t="shared" si="328"/>
        <v>1.5707877603980629</v>
      </c>
      <c r="T509" s="4" t="str">
        <f t="shared" si="319"/>
        <v>1+1,0214329512779i</v>
      </c>
      <c r="U509" s="4">
        <f t="shared" si="329"/>
        <v>1.4294492904458977</v>
      </c>
      <c r="V509" s="4">
        <f t="shared" si="330"/>
        <v>0.79600061654894549</v>
      </c>
      <c r="W509" t="str">
        <f t="shared" si="320"/>
        <v>1-8,86660547984285i</v>
      </c>
      <c r="X509" s="4">
        <f t="shared" si="331"/>
        <v>8.9228186541686068</v>
      </c>
      <c r="Y509" s="4">
        <f t="shared" si="332"/>
        <v>-1.4584881735900308</v>
      </c>
      <c r="Z509" t="str">
        <f t="shared" si="321"/>
        <v>-1,6427737920304+7,60222753841725i</v>
      </c>
      <c r="AA509" s="4">
        <f t="shared" si="333"/>
        <v>7.7776969134604075</v>
      </c>
      <c r="AB509" s="4">
        <f t="shared" si="334"/>
        <v>1.7836151551082746</v>
      </c>
      <c r="AC509" s="48" t="str">
        <f t="shared" si="335"/>
        <v>-0,00292165720184879+0,00350057400838212i</v>
      </c>
      <c r="AD509" s="20">
        <f t="shared" si="336"/>
        <v>-46.821434385670706</v>
      </c>
      <c r="AE509" s="44">
        <f t="shared" si="337"/>
        <v>129.8491291567218</v>
      </c>
      <c r="AF509" t="str">
        <f t="shared" si="322"/>
        <v>-20791,6666666667</v>
      </c>
      <c r="AG509" t="str">
        <f t="shared" si="338"/>
        <v>5107164,75638948i</v>
      </c>
      <c r="AH509">
        <f t="shared" si="339"/>
        <v>5107164.7563894801</v>
      </c>
      <c r="AI509">
        <f t="shared" si="340"/>
        <v>1.5707963267948966</v>
      </c>
      <c r="AJ509" t="str">
        <f t="shared" si="323"/>
        <v>-486548,983946258+5991,82272832657i</v>
      </c>
      <c r="AK509">
        <f t="shared" si="341"/>
        <v>486585.87702351552</v>
      </c>
      <c r="AL509">
        <f t="shared" si="342"/>
        <v>3.1292783336521404</v>
      </c>
      <c r="AM509" t="str">
        <f t="shared" si="324"/>
        <v>1+8236,83531910495i</v>
      </c>
      <c r="AN509">
        <f t="shared" si="343"/>
        <v>8236.8353798078751</v>
      </c>
      <c r="AO509">
        <f t="shared" si="344"/>
        <v>1.5706749209446706</v>
      </c>
      <c r="AP509" t="str">
        <f t="shared" si="325"/>
        <v>1+5785,396236038i</v>
      </c>
      <c r="AQ509">
        <f t="shared" si="345"/>
        <v>5785.3963224625031</v>
      </c>
      <c r="AR509">
        <f t="shared" si="346"/>
        <v>1.5706234777886674</v>
      </c>
      <c r="AS509" s="42" t="str">
        <f t="shared" si="347"/>
        <v>-0,00479225366984946+0,398668629261188i</v>
      </c>
      <c r="AT509">
        <f t="shared" si="348"/>
        <v>-7.9871312494098294</v>
      </c>
      <c r="AU509" s="44">
        <f t="shared" si="349"/>
        <v>90.688698998625199</v>
      </c>
      <c r="AV509" s="42" t="str">
        <f t="shared" si="326"/>
        <v>-0,00138156771910144-0,00118154871047038i</v>
      </c>
      <c r="AW509" s="20">
        <f t="shared" si="350"/>
        <v>-54.808565635080548</v>
      </c>
      <c r="AX509" s="44">
        <f t="shared" si="351"/>
        <v>-139.46217184465308</v>
      </c>
    </row>
    <row r="510" spans="14:50" x14ac:dyDescent="0.3">
      <c r="N510" s="8">
        <v>92</v>
      </c>
      <c r="O510" s="35">
        <f t="shared" si="352"/>
        <v>831763.77110267128</v>
      </c>
      <c r="P510" s="34" t="str">
        <f t="shared" si="317"/>
        <v>324,571428571429</v>
      </c>
      <c r="Q510" s="4" t="str">
        <f t="shared" si="318"/>
        <v>1+119454,306414551i</v>
      </c>
      <c r="R510" s="4">
        <f t="shared" si="327"/>
        <v>119454.3064187367</v>
      </c>
      <c r="S510" s="4">
        <f t="shared" si="328"/>
        <v>1.570787955393061</v>
      </c>
      <c r="T510" s="4" t="str">
        <f t="shared" si="319"/>
        <v>1+1,04522518112732i</v>
      </c>
      <c r="U510" s="4">
        <f t="shared" si="329"/>
        <v>1.4465461206828627</v>
      </c>
      <c r="V510" s="4">
        <f t="shared" si="330"/>
        <v>0.80750712847346962</v>
      </c>
      <c r="W510" t="str">
        <f t="shared" si="320"/>
        <v>1-9,0731352528413i</v>
      </c>
      <c r="X510" s="4">
        <f t="shared" si="331"/>
        <v>9.1280766493468697</v>
      </c>
      <c r="Y510" s="4">
        <f t="shared" si="332"/>
        <v>-1.4610238964641511</v>
      </c>
      <c r="Z510" t="str">
        <f t="shared" si="321"/>
        <v>-1,76732388367576+7,77930616578613i</v>
      </c>
      <c r="AA510" s="4">
        <f t="shared" si="333"/>
        <v>7.9775333362417777</v>
      </c>
      <c r="AB510" s="4">
        <f t="shared" si="334"/>
        <v>1.7941873335803771</v>
      </c>
      <c r="AC510" s="48" t="str">
        <f t="shared" si="335"/>
        <v>-0,00287619051132447+0,00345733911609141i</v>
      </c>
      <c r="AD510" s="20">
        <f t="shared" si="336"/>
        <v>-46.940971769686399</v>
      </c>
      <c r="AE510" s="44">
        <f t="shared" si="337"/>
        <v>129.75736512911118</v>
      </c>
      <c r="AF510" t="str">
        <f t="shared" si="322"/>
        <v>-20791,6666666667</v>
      </c>
      <c r="AG510" t="str">
        <f t="shared" si="338"/>
        <v>5226125,90563659i</v>
      </c>
      <c r="AH510">
        <f t="shared" si="339"/>
        <v>5226125.90563659</v>
      </c>
      <c r="AI510">
        <f t="shared" si="340"/>
        <v>1.5707963267948966</v>
      </c>
      <c r="AJ510" t="str">
        <f t="shared" si="323"/>
        <v>-509479,378243833+6131,39020888511i</v>
      </c>
      <c r="AK510">
        <f t="shared" si="341"/>
        <v>509516.27138062654</v>
      </c>
      <c r="AL510">
        <f t="shared" si="342"/>
        <v>3.1295586155322401</v>
      </c>
      <c r="AM510" t="str">
        <f t="shared" si="324"/>
        <v>1+8428,69586061069i</v>
      </c>
      <c r="AN510">
        <f t="shared" si="343"/>
        <v>8428.6959199318462</v>
      </c>
      <c r="AO510">
        <f t="shared" si="344"/>
        <v>1.5706776844791879</v>
      </c>
      <c r="AP510" t="str">
        <f t="shared" si="325"/>
        <v>1+5920,15542590513i</v>
      </c>
      <c r="AQ510">
        <f t="shared" si="345"/>
        <v>5920.1555103623723</v>
      </c>
      <c r="AR510">
        <f t="shared" si="346"/>
        <v>1.5706274123123285</v>
      </c>
      <c r="AS510" s="42" t="str">
        <f t="shared" si="347"/>
        <v>-0,00457659710639221+0,389596383015327i</v>
      </c>
      <c r="AT510">
        <f t="shared" si="348"/>
        <v>-8.1871024221320372</v>
      </c>
      <c r="AU510" s="44">
        <f t="shared" si="349"/>
        <v>90.673023800286032</v>
      </c>
      <c r="AV510" s="42" t="str">
        <f t="shared" si="326"/>
        <v>-0,00133380364931506-0,00113637626826954i</v>
      </c>
      <c r="AW510" s="20">
        <f t="shared" si="350"/>
        <v>-55.128074191818435</v>
      </c>
      <c r="AX510" s="44">
        <f t="shared" si="351"/>
        <v>-139.56961107060269</v>
      </c>
    </row>
    <row r="511" spans="14:50" x14ac:dyDescent="0.3">
      <c r="N511" s="8">
        <v>93</v>
      </c>
      <c r="O511" s="35">
        <f t="shared" si="352"/>
        <v>851138.03820237669</v>
      </c>
      <c r="P511" s="34" t="str">
        <f t="shared" si="317"/>
        <v>324,571428571429</v>
      </c>
      <c r="Q511" s="4" t="str">
        <f t="shared" si="318"/>
        <v>1+122236,754651768i</v>
      </c>
      <c r="R511" s="4">
        <f t="shared" si="327"/>
        <v>122236.75465585841</v>
      </c>
      <c r="S511" s="4">
        <f t="shared" si="328"/>
        <v>1.5707881459494313</v>
      </c>
      <c r="T511" s="4" t="str">
        <f t="shared" si="319"/>
        <v>1+1,06957160320297i</v>
      </c>
      <c r="U511" s="4">
        <f t="shared" si="329"/>
        <v>1.4642347538486347</v>
      </c>
      <c r="V511" s="4">
        <f t="shared" si="330"/>
        <v>0.81900193630290474</v>
      </c>
      <c r="W511" t="str">
        <f t="shared" si="320"/>
        <v>1-9,28447572224797i</v>
      </c>
      <c r="X511" s="4">
        <f t="shared" si="331"/>
        <v>9.338173774192251</v>
      </c>
      <c r="Y511" s="4">
        <f t="shared" si="332"/>
        <v>-1.4635032695524128</v>
      </c>
      <c r="Z511" t="str">
        <f t="shared" si="321"/>
        <v>-1,89774384029997+7,9605094842554i</v>
      </c>
      <c r="AA511" s="4">
        <f t="shared" si="333"/>
        <v>8.1835898560666305</v>
      </c>
      <c r="AB511" s="4">
        <f t="shared" si="334"/>
        <v>1.8048229526345962</v>
      </c>
      <c r="AC511" s="48" t="str">
        <f t="shared" si="335"/>
        <v>-0,00283175851275117+0,00341516992985567i</v>
      </c>
      <c r="AD511" s="20">
        <f t="shared" si="336"/>
        <v>-47.0592543436452</v>
      </c>
      <c r="AE511" s="44">
        <f t="shared" si="337"/>
        <v>129.66452448786458</v>
      </c>
      <c r="AF511" t="str">
        <f t="shared" si="322"/>
        <v>-20791,6666666667</v>
      </c>
      <c r="AG511" t="str">
        <f t="shared" si="338"/>
        <v>5347858,01601483i</v>
      </c>
      <c r="AH511">
        <f t="shared" si="339"/>
        <v>5347858.0160148302</v>
      </c>
      <c r="AI511">
        <f t="shared" si="340"/>
        <v>1.5707963267948966</v>
      </c>
      <c r="AJ511" t="str">
        <f t="shared" si="323"/>
        <v>-533490,448730887+6274,20863369097i</v>
      </c>
      <c r="AK511">
        <f t="shared" si="341"/>
        <v>533527.34192453744</v>
      </c>
      <c r="AL511">
        <f t="shared" si="342"/>
        <v>3.1298325191706327</v>
      </c>
      <c r="AM511" t="str">
        <f t="shared" si="324"/>
        <v>1+8625,02540822871i</v>
      </c>
      <c r="AN511">
        <f t="shared" si="343"/>
        <v>8625.0254661995532</v>
      </c>
      <c r="AO511">
        <f t="shared" si="344"/>
        <v>1.5706803851079811</v>
      </c>
      <c r="AP511" t="str">
        <f t="shared" si="325"/>
        <v>1+6058,0535605416i</v>
      </c>
      <c r="AQ511">
        <f t="shared" si="345"/>
        <v>6058.0536430763595</v>
      </c>
      <c r="AR511">
        <f t="shared" si="346"/>
        <v>1.5706312572753021</v>
      </c>
      <c r="AS511" s="42" t="str">
        <f t="shared" si="347"/>
        <v>-0,00437064401429364+0,380730475489977i</v>
      </c>
      <c r="AT511">
        <f t="shared" si="348"/>
        <v>-8.3870748921167877</v>
      </c>
      <c r="AU511" s="44">
        <f t="shared" si="349"/>
        <v>90.65770531259551</v>
      </c>
      <c r="AV511" s="42" t="str">
        <f t="shared" si="326"/>
        <v>-0,00128788266287934-0,00109306325704426i</v>
      </c>
      <c r="AW511" s="20">
        <f t="shared" si="350"/>
        <v>-55.446329235761993</v>
      </c>
      <c r="AX511" s="44">
        <f t="shared" si="351"/>
        <v>-139.67777019953996</v>
      </c>
    </row>
    <row r="512" spans="14:50" x14ac:dyDescent="0.3">
      <c r="N512" s="8">
        <v>94</v>
      </c>
      <c r="O512" s="35">
        <f t="shared" si="352"/>
        <v>870963.58995608077</v>
      </c>
      <c r="P512" s="34" t="str">
        <f t="shared" si="317"/>
        <v>324,571428571429</v>
      </c>
      <c r="Q512" s="4" t="str">
        <f t="shared" si="318"/>
        <v>1+125084,014434296i</v>
      </c>
      <c r="R512" s="4">
        <f t="shared" si="327"/>
        <v>125084.01443829332</v>
      </c>
      <c r="S512" s="4">
        <f t="shared" si="328"/>
        <v>1.570788332168209</v>
      </c>
      <c r="T512" s="4" t="str">
        <f t="shared" si="319"/>
        <v>1+1,09448512630009i</v>
      </c>
      <c r="U512" s="4">
        <f t="shared" si="329"/>
        <v>1.4825308400475601</v>
      </c>
      <c r="V512" s="4">
        <f t="shared" si="330"/>
        <v>0.83047898525715502</v>
      </c>
      <c r="W512" t="str">
        <f t="shared" si="320"/>
        <v>1-9,50073894357714i</v>
      </c>
      <c r="X512" s="4">
        <f t="shared" si="331"/>
        <v>9.5532214710014589</v>
      </c>
      <c r="Y512" s="4">
        <f t="shared" si="332"/>
        <v>-1.4659274854535256</v>
      </c>
      <c r="Z512" t="str">
        <f t="shared" si="321"/>
        <v>-2,03431030011674+8,14593357022303i</v>
      </c>
      <c r="AA512" s="4">
        <f t="shared" si="333"/>
        <v>8.3961093446695667</v>
      </c>
      <c r="AB512" s="4">
        <f t="shared" si="334"/>
        <v>1.8155238963178728</v>
      </c>
      <c r="AC512" s="48" t="str">
        <f t="shared" si="335"/>
        <v>-0,00278829119014799+0,00337405044747892i</v>
      </c>
      <c r="AD512" s="20">
        <f t="shared" si="336"/>
        <v>-47.17632054719143</v>
      </c>
      <c r="AE512" s="44">
        <f t="shared" si="337"/>
        <v>129.57008403503687</v>
      </c>
      <c r="AF512" t="str">
        <f t="shared" si="322"/>
        <v>-20791,6666666667</v>
      </c>
      <c r="AG512" t="str">
        <f t="shared" si="338"/>
        <v>5472425,63150043i</v>
      </c>
      <c r="AH512">
        <f t="shared" si="339"/>
        <v>5472425.6315004304</v>
      </c>
      <c r="AI512">
        <f t="shared" si="340"/>
        <v>1.5707963267948966</v>
      </c>
      <c r="AJ512" t="str">
        <f t="shared" si="323"/>
        <v>-558633,126107144+6420,35372696338i</v>
      </c>
      <c r="AK512">
        <f t="shared" si="341"/>
        <v>558670.01935509266</v>
      </c>
      <c r="AL512">
        <f t="shared" si="342"/>
        <v>3.1301001896368539</v>
      </c>
      <c r="AM512" t="str">
        <f t="shared" si="324"/>
        <v>1+8825,92805848389i</v>
      </c>
      <c r="AN512">
        <f t="shared" si="343"/>
        <v>8825.9281151351552</v>
      </c>
      <c r="AO512">
        <f t="shared" si="344"/>
        <v>1.5706830242629595</v>
      </c>
      <c r="AP512" t="str">
        <f t="shared" si="325"/>
        <v>1+6199,16375536369i</v>
      </c>
      <c r="AQ512">
        <f t="shared" si="345"/>
        <v>6199.1638360197303</v>
      </c>
      <c r="AR512">
        <f t="shared" si="346"/>
        <v>1.5706350147162376</v>
      </c>
      <c r="AS512" s="42" t="str">
        <f t="shared" si="347"/>
        <v>-0,00417395790053842+0,372066221240308i</v>
      </c>
      <c r="AT512">
        <f t="shared" si="348"/>
        <v>-8.5870486009934552</v>
      </c>
      <c r="AU512" s="44">
        <f t="shared" si="349"/>
        <v>90.642735422529853</v>
      </c>
      <c r="AV512" s="42" t="str">
        <f t="shared" si="326"/>
        <v>-0,00124373199022553-0,00105151211135807i</v>
      </c>
      <c r="AW512" s="20">
        <f t="shared" si="350"/>
        <v>-55.763369148184907</v>
      </c>
      <c r="AX512" s="44">
        <f t="shared" si="351"/>
        <v>-139.7871805424333</v>
      </c>
    </row>
    <row r="513" spans="14:50" x14ac:dyDescent="0.3">
      <c r="N513" s="8">
        <v>95</v>
      </c>
      <c r="O513" s="35">
        <f t="shared" si="352"/>
        <v>891250.93813374708</v>
      </c>
      <c r="P513" s="34" t="str">
        <f t="shared" si="317"/>
        <v>324,571428571429</v>
      </c>
      <c r="Q513" s="4" t="str">
        <f t="shared" si="318"/>
        <v>1+127997,59541696i</v>
      </c>
      <c r="R513" s="4">
        <f t="shared" si="327"/>
        <v>127997.59542086632</v>
      </c>
      <c r="S513" s="4">
        <f t="shared" si="328"/>
        <v>1.5707885141481299</v>
      </c>
      <c r="T513" s="4" t="str">
        <f t="shared" si="319"/>
        <v>1+1,1199789598984i</v>
      </c>
      <c r="U513" s="4">
        <f t="shared" si="329"/>
        <v>1.5014502557910807</v>
      </c>
      <c r="V513" s="4">
        <f t="shared" si="330"/>
        <v>0.84193226733945747</v>
      </c>
      <c r="W513" t="str">
        <f t="shared" si="320"/>
        <v>1-9,72203958245136i</v>
      </c>
      <c r="X513" s="4">
        <f t="shared" si="331"/>
        <v>9.7733338039151736</v>
      </c>
      <c r="Y513" s="4">
        <f t="shared" si="332"/>
        <v>-1.4682977154832257</v>
      </c>
      <c r="Z513" t="str">
        <f t="shared" si="321"/>
        <v>-2,17731293889714+8,33567673799378i</v>
      </c>
      <c r="AA513" s="4">
        <f t="shared" si="333"/>
        <v>8.615346674059003</v>
      </c>
      <c r="AB513" s="4">
        <f t="shared" si="334"/>
        <v>1.8262919109559952</v>
      </c>
      <c r="AC513" s="48" t="str">
        <f t="shared" si="335"/>
        <v>-0,00274572119657273+0,00333396284609512i</v>
      </c>
      <c r="AD513" s="20">
        <f t="shared" si="336"/>
        <v>-47.292212026694173</v>
      </c>
      <c r="AE513" s="44">
        <f t="shared" si="337"/>
        <v>129.47353236356773</v>
      </c>
      <c r="AF513" t="str">
        <f t="shared" si="322"/>
        <v>-20791,6666666667</v>
      </c>
      <c r="AG513" t="str">
        <f t="shared" si="338"/>
        <v>5599894,79949198i</v>
      </c>
      <c r="AH513">
        <f t="shared" si="339"/>
        <v>5599894.7994919801</v>
      </c>
      <c r="AI513">
        <f t="shared" si="340"/>
        <v>1.5707963267948966</v>
      </c>
      <c r="AJ513" t="str">
        <f t="shared" si="323"/>
        <v>-584960,741362258+6569,90297676525i</v>
      </c>
      <c r="AK513">
        <f t="shared" si="341"/>
        <v>584997.63466206135</v>
      </c>
      <c r="AL513">
        <f t="shared" si="342"/>
        <v>3.1303617687060581</v>
      </c>
      <c r="AM513" t="str">
        <f t="shared" si="324"/>
        <v>1+9031,51033262066i</v>
      </c>
      <c r="AN513">
        <f t="shared" si="343"/>
        <v>9031.5103879823855</v>
      </c>
      <c r="AO513">
        <f t="shared" si="344"/>
        <v>1.5706856033434378</v>
      </c>
      <c r="AP513" t="str">
        <f t="shared" si="325"/>
        <v>1+6343,56082886451i</v>
      </c>
      <c r="AQ513">
        <f t="shared" si="345"/>
        <v>6343.560907684594</v>
      </c>
      <c r="AR513">
        <f t="shared" si="346"/>
        <v>1.5706386866273796</v>
      </c>
      <c r="AS513" s="42" t="str">
        <f t="shared" si="347"/>
        <v>-0,00398612189684964+0,363599040714851i</v>
      </c>
      <c r="AT513">
        <f t="shared" si="348"/>
        <v>-8.787023493016946</v>
      </c>
      <c r="AU513" s="44">
        <f t="shared" si="349"/>
        <v>90.628106201293122</v>
      </c>
      <c r="AV513" s="42" t="str">
        <f t="shared" si="326"/>
        <v>-0,00120128091323484-0,00101163117544838i</v>
      </c>
      <c r="AW513" s="20">
        <f t="shared" si="350"/>
        <v>-56.079235519711112</v>
      </c>
      <c r="AX513" s="44">
        <f t="shared" si="351"/>
        <v>-139.89836143513921</v>
      </c>
    </row>
    <row r="514" spans="14:50" x14ac:dyDescent="0.3">
      <c r="N514" s="8">
        <v>96</v>
      </c>
      <c r="O514" s="35">
        <f t="shared" si="352"/>
        <v>912010.83935591124</v>
      </c>
      <c r="P514" s="34" t="str">
        <f t="shared" si="317"/>
        <v>324,571428571429</v>
      </c>
      <c r="Q514" s="4" t="str">
        <f t="shared" si="318"/>
        <v>1+130979,042418962i</v>
      </c>
      <c r="R514" s="4">
        <f t="shared" si="327"/>
        <v>130979.0424227794</v>
      </c>
      <c r="S514" s="4">
        <f t="shared" si="328"/>
        <v>1.5707886919856819</v>
      </c>
      <c r="T514" s="4" t="str">
        <f t="shared" si="319"/>
        <v>1+1,14606662116592i</v>
      </c>
      <c r="U514" s="4">
        <f t="shared" si="329"/>
        <v>1.5210091058736857</v>
      </c>
      <c r="V514" s="4">
        <f t="shared" si="330"/>
        <v>0.85335583689225447</v>
      </c>
      <c r="W514" t="str">
        <f t="shared" si="320"/>
        <v>1-9,94849497539858i</v>
      </c>
      <c r="X514" s="4">
        <f t="shared" si="331"/>
        <v>9.998627519591416</v>
      </c>
      <c r="Y514" s="4">
        <f t="shared" si="332"/>
        <v>-1.4706151097832068</v>
      </c>
      <c r="Z514" t="str">
        <f t="shared" si="321"/>
        <v>-2,3270550844107+8,52983959190673i</v>
      </c>
      <c r="AA514" s="4">
        <f t="shared" si="333"/>
        <v>8.8415693646287288</v>
      </c>
      <c r="AB514" s="4">
        <f t="shared" si="334"/>
        <v>1.8371285981544536</v>
      </c>
      <c r="AC514" s="48" t="str">
        <f t="shared" si="335"/>
        <v>-0,00270398382909934+0,00329488757205555i</v>
      </c>
      <c r="AD514" s="20">
        <f t="shared" si="336"/>
        <v>-47.406973570425734</v>
      </c>
      <c r="AE514" s="44">
        <f t="shared" si="337"/>
        <v>129.37437114334435</v>
      </c>
      <c r="AF514" t="str">
        <f t="shared" si="322"/>
        <v>-20791,6666666667</v>
      </c>
      <c r="AG514" t="str">
        <f t="shared" si="338"/>
        <v>5730333,10582958i</v>
      </c>
      <c r="AH514">
        <f t="shared" si="339"/>
        <v>5730333.1058295798</v>
      </c>
      <c r="AI514">
        <f t="shared" si="340"/>
        <v>1.5707963267948966</v>
      </c>
      <c r="AJ514" t="str">
        <f t="shared" si="323"/>
        <v>-612529,138897988+6722,93567608836i</v>
      </c>
      <c r="AK514">
        <f t="shared" si="341"/>
        <v>612566.03224731248</v>
      </c>
      <c r="AL514">
        <f t="shared" si="342"/>
        <v>3.1306173949334881</v>
      </c>
      <c r="AM514" t="str">
        <f t="shared" si="324"/>
        <v>1+9241,88123308194i</v>
      </c>
      <c r="AN514">
        <f t="shared" si="343"/>
        <v>9241.8812871834798</v>
      </c>
      <c r="AO514">
        <f t="shared" si="344"/>
        <v>1.5706881237168786</v>
      </c>
      <c r="AP514" t="str">
        <f t="shared" si="325"/>
        <v>1+6491,32134228375i</v>
      </c>
      <c r="AQ514">
        <f t="shared" si="345"/>
        <v>6491.3214193096692</v>
      </c>
      <c r="AR514">
        <f t="shared" si="346"/>
        <v>1.5706422749556239</v>
      </c>
      <c r="AS514" s="42" t="str">
        <f t="shared" si="347"/>
        <v>-0,00380673787824899+0,355324457895767i</v>
      </c>
      <c r="AT514">
        <f t="shared" si="348"/>
        <v>-8.9869995149500443</v>
      </c>
      <c r="AU514" s="44">
        <f t="shared" si="349"/>
        <v>90.613809900153385</v>
      </c>
      <c r="AV514" s="42" t="str">
        <f t="shared" si="326"/>
        <v>-0,00116046078270373-0,000973334361558759i</v>
      </c>
      <c r="AW514" s="20">
        <f t="shared" si="350"/>
        <v>-56.393973085375791</v>
      </c>
      <c r="AX514" s="44">
        <f t="shared" si="351"/>
        <v>-140.0118189565022</v>
      </c>
    </row>
    <row r="515" spans="14:50" x14ac:dyDescent="0.3">
      <c r="N515" s="8">
        <v>97</v>
      </c>
      <c r="O515" s="35">
        <f t="shared" si="352"/>
        <v>933254.30079699249</v>
      </c>
      <c r="P515" s="34" t="str">
        <f t="shared" si="317"/>
        <v>324,571428571429</v>
      </c>
      <c r="Q515" s="4" t="str">
        <f t="shared" si="318"/>
        <v>1+134029,936242967i</v>
      </c>
      <c r="R515" s="4">
        <f t="shared" si="327"/>
        <v>134029.9362466975</v>
      </c>
      <c r="S515" s="4">
        <f t="shared" si="328"/>
        <v>1.5707888657751572</v>
      </c>
      <c r="T515" s="4" t="str">
        <f t="shared" si="319"/>
        <v>1+1,17276194212596i</v>
      </c>
      <c r="U515" s="4">
        <f t="shared" si="329"/>
        <v>1.5412237257773622</v>
      </c>
      <c r="V515" s="4">
        <f t="shared" si="330"/>
        <v>0.86474382575632658</v>
      </c>
      <c r="W515" t="str">
        <f t="shared" si="320"/>
        <v>1-10,1802251920657i</v>
      </c>
      <c r="X515" s="4">
        <f t="shared" si="331"/>
        <v>10.229222109289109</v>
      </c>
      <c r="Y515" s="4">
        <f t="shared" si="332"/>
        <v>-1.4728807974509552</v>
      </c>
      <c r="Z515" t="str">
        <f t="shared" si="321"/>
        <v>-2,48385435982434+8,72852507967709i</v>
      </c>
      <c r="AA515" s="4">
        <f t="shared" si="333"/>
        <v>9.0750582668856907</v>
      </c>
      <c r="AB515" s="4">
        <f t="shared" si="334"/>
        <v>1.8480354077995598</v>
      </c>
      <c r="AC515" s="48" t="str">
        <f t="shared" si="335"/>
        <v>-0,00266301700679467+0,00325680342784388i</v>
      </c>
      <c r="AD515" s="20">
        <f t="shared" si="336"/>
        <v>-47.520653030049274</v>
      </c>
      <c r="AE515" s="44">
        <f t="shared" si="337"/>
        <v>129.2721163833202</v>
      </c>
      <c r="AF515" t="str">
        <f t="shared" si="322"/>
        <v>-20791,6666666667</v>
      </c>
      <c r="AG515" t="str">
        <f t="shared" si="338"/>
        <v>5863809,71062982i</v>
      </c>
      <c r="AH515">
        <f t="shared" si="339"/>
        <v>5863809.7106298199</v>
      </c>
      <c r="AI515">
        <f t="shared" si="340"/>
        <v>1.5707963267948966</v>
      </c>
      <c r="AJ515" t="str">
        <f t="shared" si="323"/>
        <v>-641396,794981666+6879,53296489549i</v>
      </c>
      <c r="AK515">
        <f t="shared" si="341"/>
        <v>641433.68837828306</v>
      </c>
      <c r="AL515">
        <f t="shared" si="342"/>
        <v>3.1308672037272824</v>
      </c>
      <c r="AM515" t="str">
        <f t="shared" si="324"/>
        <v>1+9457,15230130377i</v>
      </c>
      <c r="AN515">
        <f t="shared" si="343"/>
        <v>9457.1523541738079</v>
      </c>
      <c r="AO515">
        <f t="shared" si="344"/>
        <v>1.5706905867196168</v>
      </c>
      <c r="AP515" t="str">
        <f t="shared" si="325"/>
        <v>1+6642,52364020146i</v>
      </c>
      <c r="AQ515">
        <f t="shared" si="345"/>
        <v>6642.5237154740553</v>
      </c>
      <c r="AR515">
        <f t="shared" si="346"/>
        <v>1.5706457816035491</v>
      </c>
      <c r="AS515" s="42" t="str">
        <f t="shared" si="347"/>
        <v>-0,00363542562112884+0,347238097989485i</v>
      </c>
      <c r="AT515">
        <f t="shared" si="348"/>
        <v>-9.1869766159502237</v>
      </c>
      <c r="AU515" s="44">
        <f t="shared" si="349"/>
        <v>90.599838946371875</v>
      </c>
      <c r="AV515" s="42" t="str">
        <f t="shared" si="326"/>
        <v>-0,00112120502755414-0,000936540826977597i</v>
      </c>
      <c r="AW515" s="20">
        <f t="shared" si="350"/>
        <v>-56.707629645999504</v>
      </c>
      <c r="AX515" s="44">
        <f t="shared" si="351"/>
        <v>-140.1280446703079</v>
      </c>
    </row>
    <row r="516" spans="14:50" x14ac:dyDescent="0.3">
      <c r="N516" s="8">
        <v>98</v>
      </c>
      <c r="O516" s="35">
        <f t="shared" si="352"/>
        <v>954992.58602143743</v>
      </c>
      <c r="P516" s="34" t="str">
        <f t="shared" si="317"/>
        <v>324,571428571429</v>
      </c>
      <c r="Q516" s="4" t="str">
        <f t="shared" si="318"/>
        <v>1+137151,894513265i</v>
      </c>
      <c r="R516" s="4">
        <f t="shared" si="327"/>
        <v>137151.8945169106</v>
      </c>
      <c r="S516" s="4">
        <f t="shared" si="328"/>
        <v>1.5707890356087009</v>
      </c>
      <c r="T516" s="4" t="str">
        <f t="shared" si="319"/>
        <v>1+1,20007907699107i</v>
      </c>
      <c r="U516" s="4">
        <f t="shared" si="329"/>
        <v>1.5621106846288897</v>
      </c>
      <c r="V516" s="4">
        <f t="shared" si="330"/>
        <v>0.87609045794074758</v>
      </c>
      <c r="W516" t="str">
        <f t="shared" si="320"/>
        <v>1-10,4173530988808i</v>
      </c>
      <c r="X516" s="4">
        <f t="shared" si="331"/>
        <v>10.465239872394777</v>
      </c>
      <c r="Y516" s="4">
        <f t="shared" si="332"/>
        <v>-1.4750958866886255</v>
      </c>
      <c r="Z516" t="str">
        <f t="shared" si="321"/>
        <v>-2,64804335742365+8,93183854698037i</v>
      </c>
      <c r="AA516" s="4">
        <f t="shared" si="333"/>
        <v>9.3161082782522389</v>
      </c>
      <c r="AB516" s="4">
        <f t="shared" si="334"/>
        <v>1.8590136310872634</v>
      </c>
      <c r="AC516" s="48" t="str">
        <f t="shared" si="335"/>
        <v>-0,00262276125170886+0,00321968765664271i</v>
      </c>
      <c r="AD516" s="20">
        <f t="shared" si="336"/>
        <v>-47.63330122863276</v>
      </c>
      <c r="AE516" s="44">
        <f t="shared" si="337"/>
        <v>129.1662996629284</v>
      </c>
      <c r="AF516" t="str">
        <f t="shared" si="322"/>
        <v>-20791,6666666667</v>
      </c>
      <c r="AG516" t="str">
        <f t="shared" si="338"/>
        <v>6000395,38495533i</v>
      </c>
      <c r="AH516">
        <f t="shared" si="339"/>
        <v>6000395.3849553298</v>
      </c>
      <c r="AI516">
        <f t="shared" si="340"/>
        <v>1.5707963267948966</v>
      </c>
      <c r="AJ516" t="str">
        <f t="shared" si="323"/>
        <v>-671624,941782199+7039,77787314199i</v>
      </c>
      <c r="AK516">
        <f t="shared" si="341"/>
        <v>671661.83522398036</v>
      </c>
      <c r="AL516">
        <f t="shared" si="342"/>
        <v>3.1311113274196596</v>
      </c>
      <c r="AM516" t="str">
        <f t="shared" si="324"/>
        <v>1+9677,43767685595i</v>
      </c>
      <c r="AN516">
        <f t="shared" si="343"/>
        <v>9677.43772852252</v>
      </c>
      <c r="AO516">
        <f t="shared" si="344"/>
        <v>1.5706929936575691</v>
      </c>
      <c r="AP516" t="str">
        <f t="shared" si="325"/>
        <v>1+6797,2478920774i</v>
      </c>
      <c r="AQ516">
        <f t="shared" si="345"/>
        <v>6797.2479656365831</v>
      </c>
      <c r="AR516">
        <f t="shared" si="346"/>
        <v>1.5706492084304258</v>
      </c>
      <c r="AS516" s="42" t="str">
        <f t="shared" si="347"/>
        <v>-0,00347182199907082+0,339335685166712i</v>
      </c>
      <c r="AT516">
        <f t="shared" si="348"/>
        <v>-9.3869547474624646</v>
      </c>
      <c r="AU516" s="44">
        <f t="shared" si="349"/>
        <v>90.586185939222901</v>
      </c>
      <c r="AV516" s="42" t="str">
        <f t="shared" si="326"/>
        <v>-0,00108344915677767-0,000901174668813798i</v>
      </c>
      <c r="AW516" s="20">
        <f t="shared" si="350"/>
        <v>-57.0202559760952</v>
      </c>
      <c r="AX516" s="44">
        <f t="shared" si="351"/>
        <v>-140.24751439784882</v>
      </c>
    </row>
    <row r="517" spans="14:50" x14ac:dyDescent="0.3">
      <c r="N517" s="8">
        <v>99</v>
      </c>
      <c r="O517" s="35">
        <f t="shared" si="352"/>
        <v>977237.22095581202</v>
      </c>
      <c r="P517" s="34" t="str">
        <f t="shared" si="317"/>
        <v>324,571428571429</v>
      </c>
      <c r="Q517" s="4" t="str">
        <f t="shared" si="318"/>
        <v>1+140346,572533453i</v>
      </c>
      <c r="R517" s="4">
        <f t="shared" si="327"/>
        <v>140346.5725370156</v>
      </c>
      <c r="S517" s="4">
        <f t="shared" si="328"/>
        <v>1.5707892015763614</v>
      </c>
      <c r="T517" s="4" t="str">
        <f t="shared" si="319"/>
        <v>1+1,22803250966771i</v>
      </c>
      <c r="U517" s="4">
        <f t="shared" si="329"/>
        <v>1.583686788730895</v>
      </c>
      <c r="V517" s="4">
        <f t="shared" si="330"/>
        <v>0.88739006371686935</v>
      </c>
      <c r="W517" t="str">
        <f t="shared" si="320"/>
        <v>1-10,6600044241989i</v>
      </c>
      <c r="X517" s="4">
        <f t="shared" si="331"/>
        <v>10.706805981427895</v>
      </c>
      <c r="Y517" s="4">
        <f t="shared" si="332"/>
        <v>-1.4772614649692197</v>
      </c>
      <c r="Z517" t="str">
        <f t="shared" si="321"/>
        <v>-2,81997034408576+9,13988779330813i</v>
      </c>
      <c r="AA517" s="4">
        <f t="shared" si="333"/>
        <v>9.5650290964422133</v>
      </c>
      <c r="AB517" s="4">
        <f t="shared" si="334"/>
        <v>1.8700643936102541</v>
      </c>
      <c r="AC517" s="48" t="str">
        <f t="shared" si="335"/>
        <v>-0,0025831596728358+0,00318351602516624i</v>
      </c>
      <c r="AD517" s="20">
        <f t="shared" si="336"/>
        <v>-47.744971855496004</v>
      </c>
      <c r="AE517" s="44">
        <f t="shared" si="337"/>
        <v>129.05646932616358</v>
      </c>
      <c r="AF517" t="str">
        <f t="shared" si="322"/>
        <v>-20791,6666666667</v>
      </c>
      <c r="AG517" t="str">
        <f t="shared" si="338"/>
        <v>6140162,54833857i</v>
      </c>
      <c r="AH517">
        <f t="shared" si="339"/>
        <v>6140162.5483385697</v>
      </c>
      <c r="AI517">
        <f t="shared" si="340"/>
        <v>1.5707963267948966</v>
      </c>
      <c r="AJ517" t="str">
        <f t="shared" si="323"/>
        <v>-703277,697251713+7203,75536479932i</v>
      </c>
      <c r="AK517">
        <f t="shared" si="341"/>
        <v>703314.59073662618</v>
      </c>
      <c r="AL517">
        <f t="shared" si="342"/>
        <v>3.1313498953365095</v>
      </c>
      <c r="AM517" t="str">
        <f t="shared" si="324"/>
        <v>1+9902,85415796044i</v>
      </c>
      <c r="AN517">
        <f t="shared" si="343"/>
        <v>9902.8542084509354</v>
      </c>
      <c r="AO517">
        <f t="shared" si="344"/>
        <v>1.5706953458069259</v>
      </c>
      <c r="AP517" t="str">
        <f t="shared" si="325"/>
        <v>1+6955,57613475793i</v>
      </c>
      <c r="AQ517">
        <f t="shared" si="345"/>
        <v>6955.5762066427005</v>
      </c>
      <c r="AR517">
        <f t="shared" si="346"/>
        <v>1.5706525572532029</v>
      </c>
      <c r="AS517" s="42" t="str">
        <f t="shared" si="347"/>
        <v>-0,0033155802147259+0,331613040350979i</v>
      </c>
      <c r="AT517">
        <f t="shared" si="348"/>
        <v>-9.5869338631160232</v>
      </c>
      <c r="AU517" s="44">
        <f t="shared" si="349"/>
        <v>90.572843646102555</v>
      </c>
      <c r="AV517" s="42" t="str">
        <f t="shared" si="326"/>
        <v>-0,00104713075500871-0,000867164635567424i</v>
      </c>
      <c r="AW517" s="20">
        <f t="shared" si="350"/>
        <v>-57.331905718612035</v>
      </c>
      <c r="AX517" s="44">
        <f t="shared" si="351"/>
        <v>-140.37068702773388</v>
      </c>
    </row>
    <row r="518" spans="14:50" x14ac:dyDescent="0.3">
      <c r="N518" s="8">
        <v>100</v>
      </c>
      <c r="O518" s="35">
        <f t="shared" si="352"/>
        <v>1000000</v>
      </c>
      <c r="P518" s="34" t="str">
        <f t="shared" si="317"/>
        <v>324,571428571429</v>
      </c>
      <c r="Q518" s="4" t="str">
        <f t="shared" si="318"/>
        <v>1+143615,664164105i</v>
      </c>
      <c r="R518" s="4">
        <f t="shared" si="327"/>
        <v>143615.66416758651</v>
      </c>
      <c r="S518" s="4">
        <f t="shared" si="328"/>
        <v>1.5707893637661365</v>
      </c>
      <c r="T518" s="4" t="str">
        <f t="shared" si="319"/>
        <v>1+1,25663706143592i</v>
      </c>
      <c r="U518" s="4">
        <f t="shared" si="329"/>
        <v>1.6059690856844984</v>
      </c>
      <c r="V518" s="4">
        <f t="shared" si="330"/>
        <v>0.89863709305634321</v>
      </c>
      <c r="W518" t="str">
        <f t="shared" si="320"/>
        <v>1-10,9083078249646i</v>
      </c>
      <c r="X518" s="4">
        <f t="shared" si="331"/>
        <v>10.954048548558836</v>
      </c>
      <c r="Y518" s="4">
        <f t="shared" si="332"/>
        <v>-1.4793785992184305</v>
      </c>
      <c r="Z518" t="str">
        <f t="shared" si="321"/>
        <v>-3,00000000000001+9,35278312912461i</v>
      </c>
      <c r="AA518" s="4">
        <f t="shared" si="333"/>
        <v>9.8221460109508634</v>
      </c>
      <c r="AB518" s="4">
        <f t="shared" si="334"/>
        <v>1.8811886485369791</v>
      </c>
      <c r="AC518" s="48" t="str">
        <f t="shared" si="335"/>
        <v>-0,00254415795294291+0,00314826290535971i</v>
      </c>
      <c r="AD518" s="20">
        <f t="shared" si="336"/>
        <v>-47.85572134828427</v>
      </c>
      <c r="AE518" s="44">
        <f t="shared" si="337"/>
        <v>128.94219163191423</v>
      </c>
      <c r="AF518" t="str">
        <f t="shared" si="322"/>
        <v>-20791,6666666667</v>
      </c>
      <c r="AG518" t="str">
        <f t="shared" si="338"/>
        <v>6283185,30717959i</v>
      </c>
      <c r="AH518">
        <f t="shared" si="339"/>
        <v>6283185.3071795898</v>
      </c>
      <c r="AI518">
        <f t="shared" si="340"/>
        <v>1.5707963267948966</v>
      </c>
      <c r="AJ518" t="str">
        <f t="shared" si="323"/>
        <v>-736422,201128314+7371,55238290402i</v>
      </c>
      <c r="AK518">
        <f t="shared" si="341"/>
        <v>736459.09465441795</v>
      </c>
      <c r="AL518">
        <f t="shared" si="342"/>
        <v>3.1315830338654327</v>
      </c>
      <c r="AM518" t="str">
        <f t="shared" si="324"/>
        <v>1+10133,5212634192i</v>
      </c>
      <c r="AN518">
        <f t="shared" si="343"/>
        <v>10133.521312760389</v>
      </c>
      <c r="AO518">
        <f t="shared" si="344"/>
        <v>1.5706976444148277</v>
      </c>
      <c r="AP518" t="str">
        <f t="shared" si="325"/>
        <v>1+7117,59231597304i</v>
      </c>
      <c r="AQ518">
        <f t="shared" si="345"/>
        <v>7117.5923862215141</v>
      </c>
      <c r="AR518">
        <f t="shared" si="346"/>
        <v>1.5706558298474702</v>
      </c>
      <c r="AS518" s="42" t="str">
        <f t="shared" si="347"/>
        <v>-0,00316636906614414+0,32406607905476i</v>
      </c>
      <c r="AT518">
        <f t="shared" si="348"/>
        <v>-9.7869139186262242</v>
      </c>
      <c r="AU518" s="44">
        <f t="shared" si="349"/>
        <v>90.559804998724459</v>
      </c>
      <c r="AV518" s="42" t="str">
        <f t="shared" si="326"/>
        <v>-0,00101218947253189-0,000834443854581813i</v>
      </c>
      <c r="AW518" s="20">
        <f t="shared" si="350"/>
        <v>-57.642635266910467</v>
      </c>
      <c r="AX518" s="44">
        <f t="shared" si="351"/>
        <v>-140.49800336936144</v>
      </c>
    </row>
    <row r="519" spans="14:50" x14ac:dyDescent="0.3">
      <c r="N519" s="8">
        <v>1</v>
      </c>
      <c r="O519" s="35">
        <f>10^(6+(N519/100))</f>
        <v>1023292.9922807553</v>
      </c>
      <c r="P519" s="34" t="str">
        <f t="shared" si="317"/>
        <v>324,571428571429</v>
      </c>
      <c r="Q519" s="4" t="str">
        <f t="shared" si="318"/>
        <v>1+146960,902720875i</v>
      </c>
      <c r="R519" s="4">
        <f t="shared" si="327"/>
        <v>146960.90272427726</v>
      </c>
      <c r="S519" s="4">
        <f t="shared" si="328"/>
        <v>1.5707895222640216</v>
      </c>
      <c r="T519" s="4" t="str">
        <f t="shared" si="319"/>
        <v>1+1,28590789880766i</v>
      </c>
      <c r="U519" s="4">
        <f t="shared" si="329"/>
        <v>1.6289748691173633</v>
      </c>
      <c r="V519" s="4">
        <f t="shared" si="330"/>
        <v>0.90982612834030963</v>
      </c>
      <c r="W519" t="str">
        <f t="shared" si="320"/>
        <v>1-11,1623949549276i</v>
      </c>
      <c r="X519" s="4">
        <f t="shared" si="331"/>
        <v>11.207098693675947</v>
      </c>
      <c r="Y519" s="4">
        <f t="shared" si="332"/>
        <v>-1.4814483360106225</v>
      </c>
      <c r="Z519" t="str">
        <f t="shared" si="321"/>
        <v>-3,18851419220362+9,57063743435489i</v>
      </c>
      <c r="AA519" s="4">
        <f t="shared" si="333"/>
        <v>10.087800734241286</v>
      </c>
      <c r="AB519" s="4">
        <f t="shared" si="334"/>
        <v>1.892387169919294</v>
      </c>
      <c r="AC519" s="48" t="str">
        <f t="shared" si="335"/>
        <v>-0,00250570433811103+0,00311390135554902i</v>
      </c>
      <c r="AD519" s="20">
        <f t="shared" si="336"/>
        <v>-47.965608762742903</v>
      </c>
      <c r="AE519" s="44">
        <f t="shared" si="337"/>
        <v>128.82305185435942</v>
      </c>
      <c r="AF519" t="str">
        <f t="shared" si="322"/>
        <v>-20791,6666666667</v>
      </c>
      <c r="AG519" t="str">
        <f t="shared" si="338"/>
        <v>6429539,49403828i</v>
      </c>
      <c r="AH519">
        <f t="shared" si="339"/>
        <v>6429539.4940382801</v>
      </c>
      <c r="AI519">
        <f t="shared" si="340"/>
        <v>1.5707963267948966</v>
      </c>
      <c r="AJ519" t="str">
        <f t="shared" si="323"/>
        <v>-771128,757348488+7543,25789565618i</v>
      </c>
      <c r="AK519">
        <f t="shared" si="341"/>
        <v>771165.65091392887</v>
      </c>
      <c r="AL519">
        <f t="shared" si="342"/>
        <v>3.1318108665222542</v>
      </c>
      <c r="AM519" t="str">
        <f t="shared" si="324"/>
        <v>1+10369,5612959849i</v>
      </c>
      <c r="AN519">
        <f t="shared" si="343"/>
        <v>10369.561344202948</v>
      </c>
      <c r="AO519">
        <f t="shared" si="344"/>
        <v>1.5706998907000267</v>
      </c>
      <c r="AP519" t="str">
        <f t="shared" si="325"/>
        <v>1+7283,38233884656i</v>
      </c>
      <c r="AQ519">
        <f t="shared" si="345"/>
        <v>7283.382407495983</v>
      </c>
      <c r="AR519">
        <f t="shared" si="346"/>
        <v>1.5706590279484001</v>
      </c>
      <c r="AS519" s="42" t="str">
        <f t="shared" si="347"/>
        <v>-0,00302387224601408+0,316690809262277i</v>
      </c>
      <c r="AT519">
        <f t="shared" si="348"/>
        <v>-9.9868948717007466</v>
      </c>
      <c r="AU519" s="44">
        <f t="shared" si="349"/>
        <v>90.547063089400595</v>
      </c>
      <c r="AV519" s="42" t="str">
        <f t="shared" si="326"/>
        <v>-0,000978567010446989-0,000802949574494251i</v>
      </c>
      <c r="AW519" s="20">
        <f t="shared" si="350"/>
        <v>-57.952503634443644</v>
      </c>
      <c r="AX519" s="44">
        <f t="shared" si="351"/>
        <v>-140.62988505623991</v>
      </c>
    </row>
    <row r="520" spans="14:50" x14ac:dyDescent="0.3">
      <c r="N520" s="8">
        <v>2</v>
      </c>
      <c r="O520" s="35">
        <f t="shared" ref="O520:O560" si="353">10^(6+(N520/100))</f>
        <v>1047128.5480509007</v>
      </c>
      <c r="P520" s="34" t="str">
        <f t="shared" si="317"/>
        <v>324,571428571429</v>
      </c>
      <c r="Q520" s="4" t="str">
        <f t="shared" si="318"/>
        <v>1+150384,061893525i</v>
      </c>
      <c r="R520" s="4">
        <f t="shared" si="327"/>
        <v>150384.06189684986</v>
      </c>
      <c r="S520" s="4">
        <f t="shared" si="328"/>
        <v>1.5707896771540544</v>
      </c>
      <c r="T520" s="4" t="str">
        <f t="shared" si="319"/>
        <v>1+1,31586054156834i</v>
      </c>
      <c r="U520" s="4">
        <f t="shared" si="329"/>
        <v>1.6527216840280536</v>
      </c>
      <c r="V520" s="4">
        <f t="shared" si="330"/>
        <v>0.92095189627528051</v>
      </c>
      <c r="W520" t="str">
        <f t="shared" si="320"/>
        <v>1-11,4224005344474i</v>
      </c>
      <c r="X520" s="4">
        <f t="shared" si="331"/>
        <v>11.466090614038608</v>
      </c>
      <c r="Y520" s="4">
        <f t="shared" si="332"/>
        <v>-1.4834717017775298</v>
      </c>
      <c r="Z520" t="str">
        <f t="shared" si="321"/>
        <v>-3,38591278457276+9,7935662182352i</v>
      </c>
      <c r="AA520" s="4">
        <f t="shared" si="333"/>
        <v>10.362352274251778</v>
      </c>
      <c r="AB520" s="4">
        <f t="shared" si="334"/>
        <v>1.9036605461683642</v>
      </c>
      <c r="AC520" s="48" t="str">
        <f t="shared" si="335"/>
        <v>-0,0024677496297692+0,00308040320160256i</v>
      </c>
      <c r="AD520" s="20">
        <f t="shared" si="336"/>
        <v>-48.074695630740621</v>
      </c>
      <c r="AE520" s="44">
        <f t="shared" si="337"/>
        <v>128.69865532754019</v>
      </c>
      <c r="AF520" t="str">
        <f t="shared" si="322"/>
        <v>-20791,6666666667</v>
      </c>
      <c r="AG520" t="str">
        <f t="shared" si="338"/>
        <v>6579302,70784171i</v>
      </c>
      <c r="AH520">
        <f t="shared" si="339"/>
        <v>6579302.7078417102</v>
      </c>
      <c r="AI520">
        <f t="shared" si="340"/>
        <v>1.5707963267948966</v>
      </c>
      <c r="AJ520" t="str">
        <f t="shared" si="323"/>
        <v>-807470,983171164+7718,96294359145i</v>
      </c>
      <c r="AK520">
        <f t="shared" si="341"/>
        <v>807507.87677417172</v>
      </c>
      <c r="AL520">
        <f t="shared" si="342"/>
        <v>3.1320335140160478</v>
      </c>
      <c r="AM520" t="str">
        <f t="shared" si="324"/>
        <v>1+10611,0994072071i</v>
      </c>
      <c r="AN520">
        <f t="shared" si="343"/>
        <v>10611.09945432757</v>
      </c>
      <c r="AO520">
        <f t="shared" si="344"/>
        <v>1.5707020858535328</v>
      </c>
      <c r="AP520" t="str">
        <f t="shared" si="325"/>
        <v>1+7453,03410744309i</v>
      </c>
      <c r="AQ520">
        <f t="shared" si="345"/>
        <v>7453.034174529862</v>
      </c>
      <c r="AR520">
        <f t="shared" si="346"/>
        <v>1.570662153251668</v>
      </c>
      <c r="AS520" s="42" t="str">
        <f t="shared" si="347"/>
        <v>-0,00288778767234069+0,309483329358104i</v>
      </c>
      <c r="AT520">
        <f t="shared" si="348"/>
        <v>-10.186876681950171</v>
      </c>
      <c r="AU520" s="44">
        <f t="shared" si="349"/>
        <v>90.534611167405288</v>
      </c>
      <c r="AV520" s="42" t="str">
        <f t="shared" si="326"/>
        <v>-0,000946207101638052-0,000772622921834627i</v>
      </c>
      <c r="AW520" s="20">
        <f t="shared" si="350"/>
        <v>-58.261572312690795</v>
      </c>
      <c r="AX520" s="44">
        <f t="shared" si="351"/>
        <v>-140.7667335050545</v>
      </c>
    </row>
    <row r="521" spans="14:50" x14ac:dyDescent="0.3">
      <c r="N521" s="8">
        <v>3</v>
      </c>
      <c r="O521" s="35">
        <f t="shared" si="353"/>
        <v>1071519.3052376076</v>
      </c>
      <c r="P521" s="34" t="str">
        <f t="shared" si="317"/>
        <v>324,571428571429</v>
      </c>
      <c r="Q521" s="4" t="str">
        <f t="shared" si="318"/>
        <v>1+153886,956686359i</v>
      </c>
      <c r="R521" s="4">
        <f t="shared" si="327"/>
        <v>153886.95668960811</v>
      </c>
      <c r="S521" s="4">
        <f t="shared" si="328"/>
        <v>1.5707898285183597</v>
      </c>
      <c r="T521" s="4" t="str">
        <f t="shared" si="319"/>
        <v>1+1,34651087100564i</v>
      </c>
      <c r="U521" s="4">
        <f t="shared" si="329"/>
        <v>1.6772273327537823</v>
      </c>
      <c r="V521" s="4">
        <f t="shared" si="330"/>
        <v>0.93200927895964059</v>
      </c>
      <c r="W521" t="str">
        <f t="shared" si="320"/>
        <v>1-11,688462421924i</v>
      </c>
      <c r="X521" s="4">
        <f t="shared" si="331"/>
        <v>11.731161655553532</v>
      </c>
      <c r="Y521" s="4">
        <f t="shared" si="332"/>
        <v>-1.4854497030283296</v>
      </c>
      <c r="Z521" t="str">
        <f t="shared" si="321"/>
        <v>-3,59261448598754+10,0216876805576i</v>
      </c>
      <c r="AA521" s="4">
        <f t="shared" si="333"/>
        <v>10.646177849893711</v>
      </c>
      <c r="AB521" s="4">
        <f t="shared" si="334"/>
        <v>1.9150091737413004</v>
      </c>
      <c r="AC521" s="48" t="str">
        <f t="shared" si="335"/>
        <v>-0,00243024717895094+0,00304773911863811i</v>
      </c>
      <c r="AD521" s="20">
        <f t="shared" si="336"/>
        <v>-48.183045807163495</v>
      </c>
      <c r="AE521" s="44">
        <f t="shared" si="337"/>
        <v>128.56862842854167</v>
      </c>
      <c r="AF521" t="str">
        <f t="shared" si="322"/>
        <v>-20791,6666666667</v>
      </c>
      <c r="AG521" t="str">
        <f t="shared" si="338"/>
        <v>6732554,35502821i</v>
      </c>
      <c r="AH521">
        <f t="shared" si="339"/>
        <v>6732554.3550282102</v>
      </c>
      <c r="AI521">
        <f t="shared" si="340"/>
        <v>1.5707963267948966</v>
      </c>
      <c r="AJ521" t="str">
        <f t="shared" si="323"/>
        <v>-845525,9653298+7898,76068785195i</v>
      </c>
      <c r="AK521">
        <f t="shared" si="341"/>
        <v>845562.85896868375</v>
      </c>
      <c r="AL521">
        <f t="shared" si="342"/>
        <v>3.132251094312708</v>
      </c>
      <c r="AM521" t="str">
        <f t="shared" si="324"/>
        <v>1+10858,2636637895i</v>
      </c>
      <c r="AN521">
        <f t="shared" si="343"/>
        <v>10858.263709837378</v>
      </c>
      <c r="AO521">
        <f t="shared" si="344"/>
        <v>1.5707042310392458</v>
      </c>
      <c r="AP521" t="str">
        <f t="shared" si="325"/>
        <v>1+7626,63757337596i</v>
      </c>
      <c r="AQ521">
        <f t="shared" si="345"/>
        <v>7626.6376389356501</v>
      </c>
      <c r="AR521">
        <f t="shared" si="346"/>
        <v>1.5706652074143508</v>
      </c>
      <c r="AS521" s="42" t="str">
        <f t="shared" si="347"/>
        <v>-0,00275782684915593+0,302439826100702i</v>
      </c>
      <c r="AT521">
        <f t="shared" si="348"/>
        <v>-10.386859310802084</v>
      </c>
      <c r="AU521" s="44">
        <f t="shared" si="349"/>
        <v>90.522442635420745</v>
      </c>
      <c r="AV521" s="42" t="str">
        <f t="shared" si="326"/>
        <v>-0,000915055488121021-0,000743408670954247i</v>
      </c>
      <c r="AW521" s="20">
        <f t="shared" si="350"/>
        <v>-58.569905117965575</v>
      </c>
      <c r="AX521" s="44">
        <f t="shared" si="351"/>
        <v>-140.90892893603757</v>
      </c>
    </row>
    <row r="522" spans="14:50" x14ac:dyDescent="0.3">
      <c r="N522" s="8">
        <v>4</v>
      </c>
      <c r="O522" s="35">
        <f t="shared" si="353"/>
        <v>1096478.196143186</v>
      </c>
      <c r="P522" s="34" t="str">
        <f t="shared" si="317"/>
        <v>324,571428571429</v>
      </c>
      <c r="Q522" s="4" t="str">
        <f t="shared" si="318"/>
        <v>1+157471,444380563i</v>
      </c>
      <c r="R522" s="4">
        <f t="shared" si="327"/>
        <v>157471.44438373818</v>
      </c>
      <c r="S522" s="4">
        <f t="shared" si="328"/>
        <v>1.5707899764371926</v>
      </c>
      <c r="T522" s="4" t="str">
        <f t="shared" si="319"/>
        <v>1+1,37787513832993i</v>
      </c>
      <c r="U522" s="4">
        <f t="shared" si="329"/>
        <v>1.7025098815653681</v>
      </c>
      <c r="V522" s="4">
        <f t="shared" si="330"/>
        <v>0.94299332405373126</v>
      </c>
      <c r="W522" t="str">
        <f t="shared" si="320"/>
        <v>1-11,9607216868917i</v>
      </c>
      <c r="X522" s="4">
        <f t="shared" si="331"/>
        <v>12.002452385711909</v>
      </c>
      <c r="Y522" s="4">
        <f t="shared" si="332"/>
        <v>-1.4873833265798457</v>
      </c>
      <c r="Z522" t="str">
        <f t="shared" si="321"/>
        <v>-3,80905773846967+10,255122774341i</v>
      </c>
      <c r="AA522" s="4">
        <f t="shared" si="333"/>
        <v>10.93967385125366</v>
      </c>
      <c r="AB522" s="4">
        <f t="shared" si="334"/>
        <v>1.9264332510836004</v>
      </c>
      <c r="AC522" s="48" t="str">
        <f t="shared" si="335"/>
        <v>-0,00239315288244371+0,00301587871377652i</v>
      </c>
      <c r="AD522" s="20">
        <f t="shared" si="336"/>
        <v>-48.290725306362788</v>
      </c>
      <c r="AE522" s="44">
        <f t="shared" si="337"/>
        <v>128.43261949407591</v>
      </c>
      <c r="AF522" t="str">
        <f t="shared" si="322"/>
        <v>-20791,6666666667</v>
      </c>
      <c r="AG522" t="str">
        <f t="shared" si="338"/>
        <v>6889375,69164964i</v>
      </c>
      <c r="AH522">
        <f t="shared" si="339"/>
        <v>6889375.69164964</v>
      </c>
      <c r="AI522">
        <f t="shared" si="340"/>
        <v>1.5707963267948966</v>
      </c>
      <c r="AJ522" t="str">
        <f t="shared" si="323"/>
        <v>-885374,423543678+8082,74645958161i</v>
      </c>
      <c r="AK522">
        <f t="shared" si="341"/>
        <v>885411.31721682323</v>
      </c>
      <c r="AL522">
        <f t="shared" si="342"/>
        <v>3.1324637226970884</v>
      </c>
      <c r="AM522" t="str">
        <f t="shared" si="324"/>
        <v>1+11111,1851154925i</v>
      </c>
      <c r="AN522">
        <f t="shared" si="343"/>
        <v>11111.185160492199</v>
      </c>
      <c r="AO522">
        <f t="shared" si="344"/>
        <v>1.5707063273945712</v>
      </c>
      <c r="AP522" t="str">
        <f t="shared" si="325"/>
        <v>1+7804,28478350071i</v>
      </c>
      <c r="AQ522">
        <f t="shared" si="345"/>
        <v>7804.2848475680794</v>
      </c>
      <c r="AR522">
        <f t="shared" si="346"/>
        <v>1.5706681920558054</v>
      </c>
      <c r="AS522" s="42" t="str">
        <f t="shared" si="347"/>
        <v>-0,00263371425591762+0,295556572639975i</v>
      </c>
      <c r="AT522">
        <f t="shared" si="348"/>
        <v>-10.586842721419611</v>
      </c>
      <c r="AU522" s="44">
        <f t="shared" si="349"/>
        <v>90.510551046062275</v>
      </c>
      <c r="AV522" s="42" t="str">
        <f t="shared" si="326"/>
        <v>-0,000885059895278562-0,000715255026501132i</v>
      </c>
      <c r="AW522" s="20">
        <f t="shared" si="350"/>
        <v>-58.877568027782402</v>
      </c>
      <c r="AX522" s="44">
        <f t="shared" si="351"/>
        <v>-141.0568294598618</v>
      </c>
    </row>
    <row r="523" spans="14:50" x14ac:dyDescent="0.3">
      <c r="N523" s="8">
        <v>5</v>
      </c>
      <c r="O523" s="35">
        <f t="shared" si="353"/>
        <v>1122018.4543019643</v>
      </c>
      <c r="P523" s="34" t="str">
        <f t="shared" si="317"/>
        <v>324,571428571429</v>
      </c>
      <c r="Q523" s="4" t="str">
        <f t="shared" si="318"/>
        <v>1+161139,425518959i</v>
      </c>
      <c r="R523" s="4">
        <f t="shared" si="327"/>
        <v>161139.42552206194</v>
      </c>
      <c r="S523" s="4">
        <f t="shared" si="328"/>
        <v>1.5707901209889819</v>
      </c>
      <c r="T523" s="4" t="str">
        <f t="shared" si="319"/>
        <v>1+1,40996997329089i</v>
      </c>
      <c r="U523" s="4">
        <f t="shared" si="329"/>
        <v>1.7285876678901515</v>
      </c>
      <c r="V523" s="4">
        <f t="shared" si="330"/>
        <v>0.9538992540157778</v>
      </c>
      <c r="W523" t="str">
        <f t="shared" si="320"/>
        <v>1-12,2393226848168i</v>
      </c>
      <c r="X523" s="4">
        <f t="shared" si="331"/>
        <v>12.280106668228544</v>
      </c>
      <c r="Y523" s="4">
        <f t="shared" si="332"/>
        <v>-1.4892735397957344</v>
      </c>
      <c r="Z523" t="str">
        <f t="shared" si="321"/>
        <v>-4,03570164717668+10,4939952699619i</v>
      </c>
      <c r="AA523" s="4">
        <f t="shared" si="333"/>
        <v>11.243256846261554</v>
      </c>
      <c r="AB523" s="4">
        <f t="shared" si="334"/>
        <v>1.9379327728748836</v>
      </c>
      <c r="AC523" s="48" t="str">
        <f t="shared" si="335"/>
        <v>-0,0023564251804496+0,00298479061040509i</v>
      </c>
      <c r="AD523" s="20">
        <f t="shared" si="336"/>
        <v>-48.397802128898213</v>
      </c>
      <c r="AE523" s="44">
        <f t="shared" si="337"/>
        <v>128.29029966564948</v>
      </c>
      <c r="AF523" t="str">
        <f t="shared" si="322"/>
        <v>-20791,6666666667</v>
      </c>
      <c r="AG523" t="str">
        <f t="shared" si="338"/>
        <v>7049849,86645445i</v>
      </c>
      <c r="AH523">
        <f t="shared" si="339"/>
        <v>7049849.8664544504</v>
      </c>
      <c r="AI523">
        <f t="shared" si="340"/>
        <v>1.5707963267948966</v>
      </c>
      <c r="AJ523" t="str">
        <f t="shared" si="323"/>
        <v>-927100,88173524+8271,01781047194i</v>
      </c>
      <c r="AK523">
        <f t="shared" si="341"/>
        <v>927137.7754411049</v>
      </c>
      <c r="AL523">
        <f t="shared" si="342"/>
        <v>3.1326715118337534</v>
      </c>
      <c r="AM523" t="str">
        <f t="shared" si="324"/>
        <v>1+11369,9978646177i</v>
      </c>
      <c r="AN523">
        <f t="shared" si="343"/>
        <v>11369.997908593083</v>
      </c>
      <c r="AO523">
        <f t="shared" si="344"/>
        <v>1.5707083760310241</v>
      </c>
      <c r="AP523" t="str">
        <f t="shared" si="325"/>
        <v>1+7986,0699287196i</v>
      </c>
      <c r="AQ523">
        <f t="shared" si="345"/>
        <v>7986.0699913286189</v>
      </c>
      <c r="AR523">
        <f t="shared" si="346"/>
        <v>1.5706711087585283</v>
      </c>
      <c r="AS523" s="42" t="str">
        <f t="shared" si="347"/>
        <v>-0,00251518676431378+0,288829926578021i</v>
      </c>
      <c r="AT523">
        <f t="shared" si="348"/>
        <v>-10.786826878623161</v>
      </c>
      <c r="AU523" s="44">
        <f t="shared" si="349"/>
        <v>90.498930098481353</v>
      </c>
      <c r="AV523" s="42" t="str">
        <f t="shared" si="326"/>
        <v>-0,000856170003429106-0,000688113417693397i</v>
      </c>
      <c r="AW523" s="20">
        <f t="shared" si="350"/>
        <v>-59.18462900752138</v>
      </c>
      <c r="AX523" s="44">
        <f t="shared" si="351"/>
        <v>-141.21077023586915</v>
      </c>
    </row>
    <row r="524" spans="14:50" x14ac:dyDescent="0.3">
      <c r="N524" s="8">
        <v>6</v>
      </c>
      <c r="O524" s="35">
        <f t="shared" si="353"/>
        <v>1148153.6214968837</v>
      </c>
      <c r="P524" s="34" t="str">
        <f t="shared" si="317"/>
        <v>324,571428571429</v>
      </c>
      <c r="Q524" s="4" t="str">
        <f t="shared" si="318"/>
        <v>1+164892,844913697i</v>
      </c>
      <c r="R524" s="4">
        <f t="shared" si="327"/>
        <v>164892.84491672926</v>
      </c>
      <c r="S524" s="4">
        <f t="shared" si="328"/>
        <v>1.5707902622503707</v>
      </c>
      <c r="T524" s="4" t="str">
        <f t="shared" si="319"/>
        <v>1+1,44281239299485i</v>
      </c>
      <c r="U524" s="4">
        <f t="shared" si="329"/>
        <v>1.7554793081604594</v>
      </c>
      <c r="V524" s="4">
        <f t="shared" si="330"/>
        <v>0.96472247437516023</v>
      </c>
      <c r="W524" t="str">
        <f t="shared" si="320"/>
        <v>1-12,5244131336358i</v>
      </c>
      <c r="X524" s="4">
        <f t="shared" si="331"/>
        <v>12.564271739420034</v>
      </c>
      <c r="Y524" s="4">
        <f t="shared" si="332"/>
        <v>-1.4911212908335543</v>
      </c>
      <c r="Z524" t="str">
        <f t="shared" si="321"/>
        <v>-4,27302695422564+10,7384318207794i</v>
      </c>
      <c r="AA524" s="4">
        <f t="shared" si="333"/>
        <v>11.557364635636725</v>
      </c>
      <c r="AB524" s="4">
        <f t="shared" si="334"/>
        <v>1.9495075246275044</v>
      </c>
      <c r="AC524" s="48" t="str">
        <f t="shared" si="335"/>
        <v>-0,00232002505532269+0,00295444253436855i</v>
      </c>
      <c r="AD524" s="20">
        <f t="shared" si="336"/>
        <v>-48.504346079372738</v>
      </c>
      <c r="AE524" s="44">
        <f t="shared" si="337"/>
        <v>128.1413636589059</v>
      </c>
      <c r="AF524" t="str">
        <f t="shared" si="322"/>
        <v>-20791,6666666667</v>
      </c>
      <c r="AG524" t="str">
        <f t="shared" si="338"/>
        <v>7214061,96497425i</v>
      </c>
      <c r="AH524">
        <f t="shared" si="339"/>
        <v>7214061.9649742497</v>
      </c>
      <c r="AI524">
        <f t="shared" si="340"/>
        <v>1.5707963267948966</v>
      </c>
      <c r="AJ524" t="str">
        <f t="shared" si="323"/>
        <v>-970793,847316679+8463,67456448525i</v>
      </c>
      <c r="AK524">
        <f t="shared" si="341"/>
        <v>970830.74105379102</v>
      </c>
      <c r="AL524">
        <f t="shared" si="342"/>
        <v>3.1328745718263589</v>
      </c>
      <c r="AM524" t="str">
        <f t="shared" si="324"/>
        <v>1+11634,8391371105i</v>
      </c>
      <c r="AN524">
        <f t="shared" si="343"/>
        <v>11634.839180084879</v>
      </c>
      <c r="AO524">
        <f t="shared" si="344"/>
        <v>1.5707103780348191</v>
      </c>
      <c r="AP524" t="str">
        <f t="shared" si="325"/>
        <v>1+8172,08939392283i</v>
      </c>
      <c r="AQ524">
        <f t="shared" si="345"/>
        <v>8172.0894551066931</v>
      </c>
      <c r="AR524">
        <f t="shared" si="346"/>
        <v>1.5706739590689938</v>
      </c>
      <c r="AS524" s="42" t="str">
        <f t="shared" si="347"/>
        <v>-0,00240199308124479+0,282256328072199i</v>
      </c>
      <c r="AT524">
        <f t="shared" si="348"/>
        <v>-10.986811748815949</v>
      </c>
      <c r="AU524" s="44">
        <f t="shared" si="349"/>
        <v>90.487573635045067</v>
      </c>
      <c r="AV524" s="42" t="str">
        <f t="shared" si="326"/>
        <v>-0,000828337417119989-0,000661938303677371i</v>
      </c>
      <c r="AW524" s="20">
        <f t="shared" si="350"/>
        <v>-59.491157828188683</v>
      </c>
      <c r="AX524" s="44">
        <f t="shared" si="351"/>
        <v>-141.37106270604903</v>
      </c>
    </row>
    <row r="525" spans="14:50" x14ac:dyDescent="0.3">
      <c r="N525" s="8">
        <v>7</v>
      </c>
      <c r="O525" s="35">
        <f t="shared" si="353"/>
        <v>1174897.5549395324</v>
      </c>
      <c r="P525" s="34" t="str">
        <f t="shared" si="317"/>
        <v>324,571428571429</v>
      </c>
      <c r="Q525" s="4" t="str">
        <f t="shared" si="318"/>
        <v>1+168733,692677424i</v>
      </c>
      <c r="R525" s="4">
        <f t="shared" si="327"/>
        <v>168733.69268038726</v>
      </c>
      <c r="S525" s="4">
        <f t="shared" si="328"/>
        <v>1.5707904002962578</v>
      </c>
      <c r="T525" s="4" t="str">
        <f t="shared" si="319"/>
        <v>1+1,47641981092746i</v>
      </c>
      <c r="U525" s="4">
        <f t="shared" si="329"/>
        <v>1.7832037062823407</v>
      </c>
      <c r="V525" s="4">
        <f t="shared" si="330"/>
        <v>0.97545858102379013</v>
      </c>
      <c r="W525" t="str">
        <f t="shared" si="320"/>
        <v>1-12,8161441920786i</v>
      </c>
      <c r="X525" s="4">
        <f t="shared" si="331"/>
        <v>12.855098286366776</v>
      </c>
      <c r="Y525" s="4">
        <f t="shared" si="332"/>
        <v>-1.4929275088987384</v>
      </c>
      <c r="Z525" t="str">
        <f t="shared" si="321"/>
        <v>-4,52153705841158+10,9885620302882i</v>
      </c>
      <c r="AA525" s="4">
        <f t="shared" si="333"/>
        <v>11.882457357974435</v>
      </c>
      <c r="AB525" s="4">
        <f t="shared" si="334"/>
        <v>1.9611570776893852</v>
      </c>
      <c r="AC525" s="48" t="str">
        <f t="shared" si="335"/>
        <v>-0,00228391603090094+0,00292480140245742i</v>
      </c>
      <c r="AD525" s="20">
        <f t="shared" si="336"/>
        <v>-48.610428576196242</v>
      </c>
      <c r="AE525" s="44">
        <f t="shared" si="337"/>
        <v>127.98553045315329</v>
      </c>
      <c r="AF525" t="str">
        <f t="shared" si="322"/>
        <v>-20791,6666666667</v>
      </c>
      <c r="AG525" t="str">
        <f t="shared" si="338"/>
        <v>7382099,05463729i</v>
      </c>
      <c r="AH525">
        <f t="shared" si="339"/>
        <v>7382099.0546372896</v>
      </c>
      <c r="AI525">
        <f t="shared" si="340"/>
        <v>1.5707963267948966</v>
      </c>
      <c r="AJ525" t="str">
        <f t="shared" si="323"/>
        <v>-1016545,99892601+8660,81887078263i</v>
      </c>
      <c r="AK525">
        <f t="shared" si="341"/>
        <v>1016582.8926929628</v>
      </c>
      <c r="AL525">
        <f t="shared" si="342"/>
        <v>3.1330730102757052</v>
      </c>
      <c r="AM525" t="str">
        <f t="shared" si="324"/>
        <v>1+11905,849355319i</v>
      </c>
      <c r="AN525">
        <f t="shared" si="343"/>
        <v>11905.849397315164</v>
      </c>
      <c r="AO525">
        <f t="shared" si="344"/>
        <v>1.5707123344674445</v>
      </c>
      <c r="AP525" t="str">
        <f t="shared" si="325"/>
        <v>1+8362,44180909312i</v>
      </c>
      <c r="AQ525">
        <f t="shared" si="345"/>
        <v>8362.441868884267</v>
      </c>
      <c r="AR525">
        <f t="shared" si="346"/>
        <v>1.5706767444984737</v>
      </c>
      <c r="AS525" s="42" t="str">
        <f t="shared" si="347"/>
        <v>-0,00229389321681191+0,27583229797967i</v>
      </c>
      <c r="AT525">
        <f t="shared" si="348"/>
        <v>-11.186797299913147</v>
      </c>
      <c r="AU525" s="44">
        <f t="shared" si="349"/>
        <v>90.476475638090079</v>
      </c>
      <c r="AV525" s="42" t="str">
        <f t="shared" si="326"/>
        <v>-0,00080151563248294-0,000636686989293632i</v>
      </c>
      <c r="AW525" s="20">
        <f t="shared" si="350"/>
        <v>-59.797225876109401</v>
      </c>
      <c r="AX525" s="44">
        <f t="shared" si="351"/>
        <v>-141.53799390875665</v>
      </c>
    </row>
    <row r="526" spans="14:50" x14ac:dyDescent="0.3">
      <c r="N526" s="8">
        <v>8</v>
      </c>
      <c r="O526" s="35">
        <f t="shared" si="353"/>
        <v>1202264.4346174158</v>
      </c>
      <c r="P526" s="34" t="str">
        <f t="shared" si="317"/>
        <v>324,571428571429</v>
      </c>
      <c r="Q526" s="4" t="str">
        <f t="shared" si="318"/>
        <v>1+172664,005278462i</v>
      </c>
      <c r="R526" s="4">
        <f t="shared" si="327"/>
        <v>172664.00528135779</v>
      </c>
      <c r="S526" s="4">
        <f t="shared" si="328"/>
        <v>1.5707905351998368</v>
      </c>
      <c r="T526" s="4" t="str">
        <f t="shared" si="319"/>
        <v>1+1,51081004618654i</v>
      </c>
      <c r="U526" s="4">
        <f t="shared" si="329"/>
        <v>1.811780062716823</v>
      </c>
      <c r="V526" s="4">
        <f t="shared" si="330"/>
        <v>0.98610336651547881</v>
      </c>
      <c r="W526" t="str">
        <f t="shared" si="320"/>
        <v>1-13,1146705398137i</v>
      </c>
      <c r="X526" s="4">
        <f t="shared" si="331"/>
        <v>13.152740526896187</v>
      </c>
      <c r="Y526" s="4">
        <f t="shared" si="332"/>
        <v>-1.4946931045045102</v>
      </c>
      <c r="Z526" t="str">
        <f t="shared" si="321"/>
        <v>-4,78175908298375+11,2445185208363i</v>
      </c>
      <c r="AA526" s="4">
        <f t="shared" si="333"/>
        <v>12.219018646893382</v>
      </c>
      <c r="AB526" s="4">
        <f t="shared" si="334"/>
        <v>1.9728807847037331</v>
      </c>
      <c r="AC526" s="48" t="str">
        <f t="shared" si="335"/>
        <v>-0,00224806417190464+0,00289583341350511i</v>
      </c>
      <c r="AD526" s="20">
        <f t="shared" si="336"/>
        <v>-48.716122454160725</v>
      </c>
      <c r="AE526" s="44">
        <f t="shared" si="337"/>
        <v>127.82254389753594</v>
      </c>
      <c r="AF526" t="str">
        <f t="shared" si="322"/>
        <v>-20791,6666666667</v>
      </c>
      <c r="AG526" t="str">
        <f t="shared" si="338"/>
        <v>7554050,23093272i</v>
      </c>
      <c r="AH526">
        <f t="shared" si="339"/>
        <v>7554050.23093272</v>
      </c>
      <c r="AI526">
        <f t="shared" si="340"/>
        <v>1.5707963267948966</v>
      </c>
      <c r="AJ526" t="str">
        <f t="shared" si="323"/>
        <v>-1064454,3830109+8862,55525788478i</v>
      </c>
      <c r="AK526">
        <f t="shared" si="341"/>
        <v>1064491.2768063508</v>
      </c>
      <c r="AL526">
        <f t="shared" si="342"/>
        <v>3.1332669323364795</v>
      </c>
      <c r="AM526" t="str">
        <f t="shared" si="324"/>
        <v>1+12183,1722124483i</v>
      </c>
      <c r="AN526">
        <f t="shared" si="343"/>
        <v>12183.172253488514</v>
      </c>
      <c r="AO526">
        <f t="shared" si="344"/>
        <v>1.5707142463662269</v>
      </c>
      <c r="AP526" t="str">
        <f t="shared" si="325"/>
        <v>1+8557,22810160058i</v>
      </c>
      <c r="AQ526">
        <f t="shared" si="345"/>
        <v>8557.228160030716</v>
      </c>
      <c r="AR526">
        <f t="shared" si="346"/>
        <v>1.5706794665238397</v>
      </c>
      <c r="AS526" s="42" t="str">
        <f t="shared" si="347"/>
        <v>-0,00219065797619232+0,269554436042622i</v>
      </c>
      <c r="AT526">
        <f t="shared" si="348"/>
        <v>-11.386783501273239</v>
      </c>
      <c r="AU526" s="44">
        <f t="shared" si="349"/>
        <v>90.465630226749539</v>
      </c>
      <c r="AV526" s="42" t="str">
        <f t="shared" si="326"/>
        <v>-0,000775660002941576-0,000612319450610399i</v>
      </c>
      <c r="AW526" s="20">
        <f t="shared" si="350"/>
        <v>-60.102905955433961</v>
      </c>
      <c r="AX526" s="44">
        <f t="shared" si="351"/>
        <v>-141.71182587571448</v>
      </c>
    </row>
    <row r="527" spans="14:50" x14ac:dyDescent="0.3">
      <c r="N527" s="8">
        <v>9</v>
      </c>
      <c r="O527" s="35">
        <f t="shared" si="353"/>
        <v>1230268.770812382</v>
      </c>
      <c r="P527" s="34" t="str">
        <f t="shared" si="317"/>
        <v>324,571428571429</v>
      </c>
      <c r="Q527" s="4" t="str">
        <f t="shared" si="318"/>
        <v>1+176685,866620577i</v>
      </c>
      <c r="R527" s="4">
        <f t="shared" si="327"/>
        <v>176685.86662340688</v>
      </c>
      <c r="S527" s="4">
        <f t="shared" si="328"/>
        <v>1.5707906670326355</v>
      </c>
      <c r="T527" s="4" t="str">
        <f t="shared" si="319"/>
        <v>1+1,54600133293005i</v>
      </c>
      <c r="U527" s="4">
        <f t="shared" si="329"/>
        <v>1.8412278841635794</v>
      </c>
      <c r="V527" s="4">
        <f t="shared" si="330"/>
        <v>0.99665282537194344</v>
      </c>
      <c r="W527" t="str">
        <f t="shared" si="320"/>
        <v>1-13,4201504594622i</v>
      </c>
      <c r="X527" s="4">
        <f t="shared" si="331"/>
        <v>13.457356291434191</v>
      </c>
      <c r="Y527" s="4">
        <f t="shared" si="332"/>
        <v>-1.4964189697368984</v>
      </c>
      <c r="Z527" t="str">
        <f t="shared" si="321"/>
        <v>-5,05424499374485+11,5064370039429i</v>
      </c>
      <c r="AA527" s="4">
        <f t="shared" si="333"/>
        <v>12.567556842222807</v>
      </c>
      <c r="AB527" s="4">
        <f t="shared" si="334"/>
        <v>1.9846777755792573</v>
      </c>
      <c r="AC527" s="48" t="str">
        <f t="shared" si="335"/>
        <v>-0,00221243808283414+0,00286750414234529i</v>
      </c>
      <c r="AD527" s="20">
        <f t="shared" si="336"/>
        <v>-48.821501760738776</v>
      </c>
      <c r="AE527" s="44">
        <f t="shared" si="337"/>
        <v>127.65217323074909</v>
      </c>
      <c r="AF527" t="str">
        <f t="shared" si="322"/>
        <v>-20791,6666666667</v>
      </c>
      <c r="AG527" t="str">
        <f t="shared" si="338"/>
        <v>7730006,66465025i</v>
      </c>
      <c r="AH527">
        <f t="shared" si="339"/>
        <v>7730006.6646502502</v>
      </c>
      <c r="AI527">
        <f t="shared" si="340"/>
        <v>1.5707963267948966</v>
      </c>
      <c r="AJ527" t="str">
        <f t="shared" si="323"/>
        <v>-1114620,61967716+9068,99068909444i</v>
      </c>
      <c r="AK527">
        <f t="shared" si="341"/>
        <v>1114657.513499826</v>
      </c>
      <c r="AL527">
        <f t="shared" si="342"/>
        <v>3.1334564407727243</v>
      </c>
      <c r="AM527" t="str">
        <f t="shared" si="324"/>
        <v>1+12466,9547487479i</v>
      </c>
      <c r="AN527">
        <f t="shared" si="343"/>
        <v>12466.954788853924</v>
      </c>
      <c r="AO527">
        <f t="shared" si="344"/>
        <v>1.5707161147448805</v>
      </c>
      <c r="AP527" t="str">
        <f t="shared" si="325"/>
        <v>1+8756,5515497158i</v>
      </c>
      <c r="AQ527">
        <f t="shared" si="345"/>
        <v>8756.5516068159031</v>
      </c>
      <c r="AR527">
        <f t="shared" si="346"/>
        <v>1.5706821265883455</v>
      </c>
      <c r="AS527" s="42" t="str">
        <f t="shared" si="347"/>
        <v>-0,00209206847433036+0,263419419113297i</v>
      </c>
      <c r="AT527">
        <f t="shared" si="348"/>
        <v>-11.586770323633386</v>
      </c>
      <c r="AU527" s="44">
        <f t="shared" si="349"/>
        <v>90.455031653851378</v>
      </c>
      <c r="AV527" s="42" t="str">
        <f t="shared" si="326"/>
        <v>-0,000750727703517064-0,000588798169620518i</v>
      </c>
      <c r="AW527" s="20">
        <f t="shared" si="350"/>
        <v>-60.408272084372157</v>
      </c>
      <c r="AX527" s="44">
        <f t="shared" si="351"/>
        <v>-141.89279511539951</v>
      </c>
    </row>
    <row r="528" spans="14:50" x14ac:dyDescent="0.3">
      <c r="N528" s="8">
        <v>10</v>
      </c>
      <c r="O528" s="35">
        <f t="shared" si="353"/>
        <v>1258925.4117941677</v>
      </c>
      <c r="P528" s="34" t="str">
        <f t="shared" si="317"/>
        <v>324,571428571429</v>
      </c>
      <c r="Q528" s="4" t="str">
        <f t="shared" si="318"/>
        <v>1+180801,409147888i</v>
      </c>
      <c r="R528" s="4">
        <f t="shared" si="327"/>
        <v>180801.40915065343</v>
      </c>
      <c r="S528" s="4">
        <f t="shared" si="328"/>
        <v>1.5707907958645533</v>
      </c>
      <c r="T528" s="4" t="str">
        <f t="shared" si="319"/>
        <v>1+1,58201233004402i</v>
      </c>
      <c r="U528" s="4">
        <f t="shared" si="329"/>
        <v>1.8715669938346611</v>
      </c>
      <c r="V528" s="4">
        <f t="shared" si="330"/>
        <v>1.0071031584023906</v>
      </c>
      <c r="W528" t="str">
        <f t="shared" si="320"/>
        <v>1-13,732745920521i</v>
      </c>
      <c r="X528" s="4">
        <f t="shared" si="331"/>
        <v>13.769107106765716</v>
      </c>
      <c r="Y528" s="4">
        <f t="shared" si="332"/>
        <v>-1.4981059785240334</v>
      </c>
      <c r="Z528" t="str">
        <f t="shared" si="321"/>
        <v>-5,33957276984447+11,7744563522547i</v>
      </c>
      <c r="AA528" s="4">
        <f t="shared" si="333"/>
        <v>12.92860625727366</v>
      </c>
      <c r="AB528" s="4">
        <f t="shared" si="334"/>
        <v>1.9965469540247527</v>
      </c>
      <c r="AC528" s="48" t="str">
        <f t="shared" si="335"/>
        <v>-0,00217700890576433+0,00283977863681187i</v>
      </c>
      <c r="AD528" s="20">
        <f t="shared" si="336"/>
        <v>-48.926641547050153</v>
      </c>
      <c r="AE528" s="44">
        <f t="shared" si="337"/>
        <v>127.47421351165583</v>
      </c>
      <c r="AF528" t="str">
        <f t="shared" si="322"/>
        <v>-20791,6666666667</v>
      </c>
      <c r="AG528" t="str">
        <f t="shared" si="338"/>
        <v>7910061,65022012i</v>
      </c>
      <c r="AH528">
        <f t="shared" si="339"/>
        <v>7910061.6502201203</v>
      </c>
      <c r="AI528">
        <f t="shared" si="340"/>
        <v>1.5707963267948966</v>
      </c>
      <c r="AJ528" t="str">
        <f t="shared" si="323"/>
        <v>-1167151,11823868+9280,23461920974i</v>
      </c>
      <c r="AK528">
        <f t="shared" si="341"/>
        <v>1167188.0120873367</v>
      </c>
      <c r="AL528">
        <f t="shared" si="342"/>
        <v>3.1336416360120576</v>
      </c>
      <c r="AM528" t="str">
        <f t="shared" si="324"/>
        <v>1+12757,347429475i</v>
      </c>
      <c r="AN528">
        <f t="shared" si="343"/>
        <v>12757.3474686681</v>
      </c>
      <c r="AO528">
        <f t="shared" si="344"/>
        <v>1.5707179405940441</v>
      </c>
      <c r="AP528" t="str">
        <f t="shared" si="325"/>
        <v>1+8960,51783736935i</v>
      </c>
      <c r="AQ528">
        <f t="shared" si="345"/>
        <v>8960.5178931696973</v>
      </c>
      <c r="AR528">
        <f t="shared" si="346"/>
        <v>1.5706847261023922</v>
      </c>
      <c r="AS528" s="42" t="str">
        <f t="shared" si="347"/>
        <v>-0,0019979156724227+0,257423999418042i</v>
      </c>
      <c r="AT528">
        <f t="shared" si="348"/>
        <v>-11.786757739047676</v>
      </c>
      <c r="AU528" s="44">
        <f t="shared" si="349"/>
        <v>90.444674302886426</v>
      </c>
      <c r="AV528" s="42" t="str">
        <f t="shared" si="326"/>
        <v>-0,000726677693938197-0,000566087977535247i</v>
      </c>
      <c r="AW528" s="20">
        <f t="shared" si="350"/>
        <v>-60.713399286097818</v>
      </c>
      <c r="AX528" s="44">
        <f t="shared" si="351"/>
        <v>-142.08111218545773</v>
      </c>
    </row>
    <row r="529" spans="14:50" x14ac:dyDescent="0.3">
      <c r="N529" s="8">
        <v>11</v>
      </c>
      <c r="O529" s="35">
        <f t="shared" si="353"/>
        <v>1288249.5516931366</v>
      </c>
      <c r="P529" s="34" t="str">
        <f t="shared" si="317"/>
        <v>324,571428571429</v>
      </c>
      <c r="Q529" s="4" t="str">
        <f t="shared" si="318"/>
        <v>1+185012,81497552i</v>
      </c>
      <c r="R529" s="4">
        <f t="shared" si="327"/>
        <v>185012.81497822254</v>
      </c>
      <c r="S529" s="4">
        <f t="shared" si="328"/>
        <v>1.5707909217638985</v>
      </c>
      <c r="T529" s="4" t="str">
        <f t="shared" si="319"/>
        <v>1+1,6188621310358i</v>
      </c>
      <c r="U529" s="4">
        <f t="shared" si="329"/>
        <v>1.9028175423045091</v>
      </c>
      <c r="V529" s="4">
        <f t="shared" si="330"/>
        <v>1.0174507760515923</v>
      </c>
      <c r="W529" t="str">
        <f t="shared" si="320"/>
        <v>1-14,0526226652413i</v>
      </c>
      <c r="X529" s="4">
        <f t="shared" si="331"/>
        <v>14.088158281750438</v>
      </c>
      <c r="Y529" s="4">
        <f t="shared" si="332"/>
        <v>-1.4997549869089877</v>
      </c>
      <c r="Z529" t="str">
        <f t="shared" si="321"/>
        <v>-5,63834762975027+12,0487186731779i</v>
      </c>
      <c r="AA529" s="4">
        <f t="shared" si="333"/>
        <v>13.302728504306788</v>
      </c>
      <c r="AB529" s="4">
        <f t="shared" si="334"/>
        <v>2.0084869947018094</v>
      </c>
      <c r="AC529" s="48" t="str">
        <f t="shared" si="335"/>
        <v>-0,00214175031640568+0,00281262151789232i</v>
      </c>
      <c r="AD529" s="20">
        <f t="shared" si="336"/>
        <v>-49.031617654461037</v>
      </c>
      <c r="AE529" s="44">
        <f t="shared" si="337"/>
        <v>127.28848595861965</v>
      </c>
      <c r="AF529" t="str">
        <f t="shared" si="322"/>
        <v>-20791,6666666667</v>
      </c>
      <c r="AG529" t="str">
        <f t="shared" si="338"/>
        <v>8094310,655179i</v>
      </c>
      <c r="AH529">
        <f t="shared" si="339"/>
        <v>8094310.6551790005</v>
      </c>
      <c r="AI529">
        <f t="shared" si="340"/>
        <v>1.5707963267948966</v>
      </c>
      <c r="AJ529" t="str">
        <f t="shared" si="323"/>
        <v>-1222157,30292581+9496,39905255861i</v>
      </c>
      <c r="AK529">
        <f t="shared" si="341"/>
        <v>1222194.1967992876</v>
      </c>
      <c r="AL529">
        <f t="shared" si="342"/>
        <v>3.1338226161986711</v>
      </c>
      <c r="AM529" t="str">
        <f t="shared" si="324"/>
        <v>1+13054,5042246727i</v>
      </c>
      <c r="AN529">
        <f t="shared" si="343"/>
        <v>13054.504262973656</v>
      </c>
      <c r="AO529">
        <f t="shared" si="344"/>
        <v>1.5707197248818072</v>
      </c>
      <c r="AP529" t="str">
        <f t="shared" si="325"/>
        <v>1+9169,23511018677i</v>
      </c>
      <c r="AQ529">
        <f t="shared" si="345"/>
        <v>9169.2351647169435</v>
      </c>
      <c r="AR529">
        <f t="shared" si="346"/>
        <v>1.5706872664442766</v>
      </c>
      <c r="AS529" s="42" t="str">
        <f t="shared" si="347"/>
        <v>-0,00190799993522144+0,251565002859605i</v>
      </c>
      <c r="AT529">
        <f t="shared" si="348"/>
        <v>-11.986745720827649</v>
      </c>
      <c r="AU529" s="44">
        <f t="shared" si="349"/>
        <v>90.434552685044736</v>
      </c>
      <c r="AV529" s="42" t="str">
        <f t="shared" si="326"/>
        <v>-0,000703470680726605-0,000544155906145096i</v>
      </c>
      <c r="AW529" s="20">
        <f t="shared" si="350"/>
        <v>-61.018363375288686</v>
      </c>
      <c r="AX529" s="44">
        <f t="shared" si="351"/>
        <v>-142.27696135633559</v>
      </c>
    </row>
    <row r="530" spans="14:50" x14ac:dyDescent="0.3">
      <c r="N530" s="8">
        <v>12</v>
      </c>
      <c r="O530" s="35">
        <f t="shared" si="353"/>
        <v>1318256.7385564097</v>
      </c>
      <c r="P530" s="34" t="str">
        <f t="shared" si="317"/>
        <v>324,571428571429</v>
      </c>
      <c r="Q530" s="4" t="str">
        <f t="shared" si="318"/>
        <v>1+189322,317046586i</v>
      </c>
      <c r="R530" s="4">
        <f t="shared" si="327"/>
        <v>189322.31704922699</v>
      </c>
      <c r="S530" s="4">
        <f t="shared" si="328"/>
        <v>1.5707910447974249</v>
      </c>
      <c r="T530" s="4" t="str">
        <f t="shared" si="319"/>
        <v>1+1,65657027415762i</v>
      </c>
      <c r="U530" s="4">
        <f t="shared" si="329"/>
        <v>1.935000018920582</v>
      </c>
      <c r="V530" s="4">
        <f t="shared" si="330"/>
        <v>1.0276923007984777</v>
      </c>
      <c r="W530" t="str">
        <f t="shared" si="320"/>
        <v>1-14,3799502965072i</v>
      </c>
      <c r="X530" s="4">
        <f t="shared" si="331"/>
        <v>14.414678995038965</v>
      </c>
      <c r="Y530" s="4">
        <f t="shared" si="332"/>
        <v>-1.5013668333254664</v>
      </c>
      <c r="Z530" t="str">
        <f t="shared" si="321"/>
        <v>-5,95120331499755+12,3293693842252i</v>
      </c>
      <c r="AA530" s="4">
        <f t="shared" si="333"/>
        <v>13.690513880388403</v>
      </c>
      <c r="AB530" s="4">
        <f t="shared" si="334"/>
        <v>2.0204963410485282</v>
      </c>
      <c r="AC530" s="48" t="str">
        <f t="shared" si="335"/>
        <v>-0,00210663851778046+0,00278599708306649i</v>
      </c>
      <c r="AD530" s="20">
        <f t="shared" si="336"/>
        <v>-49.136506497802451</v>
      </c>
      <c r="AE530" s="44">
        <f t="shared" si="337"/>
        <v>127.09483819582765</v>
      </c>
      <c r="AF530" t="str">
        <f t="shared" si="322"/>
        <v>-20791,6666666667</v>
      </c>
      <c r="AG530" t="str">
        <f t="shared" si="338"/>
        <v>8282851,37078812i</v>
      </c>
      <c r="AH530">
        <f t="shared" si="339"/>
        <v>8282851.3707881197</v>
      </c>
      <c r="AI530">
        <f t="shared" si="340"/>
        <v>1.5707963267948966</v>
      </c>
      <c r="AJ530" t="str">
        <f t="shared" si="323"/>
        <v>-1279755,84923106+9717,59860238482i</v>
      </c>
      <c r="AK530">
        <f t="shared" si="341"/>
        <v>1279792.7431282413</v>
      </c>
      <c r="AL530">
        <f t="shared" si="342"/>
        <v>3.1339994772451347</v>
      </c>
      <c r="AM530" t="str">
        <f t="shared" si="324"/>
        <v>1+13358,5826908071i</v>
      </c>
      <c r="AN530">
        <f t="shared" si="343"/>
        <v>13358.582728236219</v>
      </c>
      <c r="AO530">
        <f t="shared" si="344"/>
        <v>1.5707214685542226</v>
      </c>
      <c r="AP530" t="str">
        <f t="shared" si="325"/>
        <v>1+9382,81403282878i</v>
      </c>
      <c r="AQ530">
        <f t="shared" si="345"/>
        <v>9382.814086117698</v>
      </c>
      <c r="AR530">
        <f t="shared" si="346"/>
        <v>1.5706897489609211</v>
      </c>
      <c r="AS530" s="42" t="str">
        <f t="shared" si="347"/>
        <v>-0,00182213060822144+0,24583932735687i</v>
      </c>
      <c r="AT530">
        <f t="shared" si="348"/>
        <v>-12.186734243485589</v>
      </c>
      <c r="AU530" s="44">
        <f t="shared" si="349"/>
        <v>90.424661436318644</v>
      </c>
      <c r="AV530" s="42" t="str">
        <f t="shared" si="326"/>
        <v>-0,000681069078395562-0,000522971046754693i</v>
      </c>
      <c r="AW530" s="20">
        <f t="shared" si="350"/>
        <v>-61.323240741288039</v>
      </c>
      <c r="AX530" s="44">
        <f t="shared" si="351"/>
        <v>-142.48050036785369</v>
      </c>
    </row>
    <row r="531" spans="14:50" x14ac:dyDescent="0.3">
      <c r="N531" s="8">
        <v>13</v>
      </c>
      <c r="O531" s="35">
        <f t="shared" si="353"/>
        <v>1348962.8825916562</v>
      </c>
      <c r="P531" s="34" t="str">
        <f t="shared" ref="P531:P560" si="354">COMPLEX(Adc,0)</f>
        <v>324,571428571429</v>
      </c>
      <c r="Q531" s="4" t="str">
        <f t="shared" ref="Q531:Q560" si="355">IMSUM(COMPLEX(1,0),IMDIV(COMPLEX(0,2*PI()*O531),COMPLEX(wp_lf,0)))</f>
        <v>1+193732,200316126i</v>
      </c>
      <c r="R531" s="4">
        <f t="shared" si="327"/>
        <v>193732.20031870686</v>
      </c>
      <c r="S531" s="4">
        <f t="shared" si="328"/>
        <v>1.5707911650303663</v>
      </c>
      <c r="T531" s="4" t="str">
        <f t="shared" ref="T531:T560" si="356">IMSUM(COMPLEX(1,0),IMDIV(COMPLEX(0,2*PI()*O531),COMPLEX(wz_esr,0)))</f>
        <v>1+1,6951567527661i</v>
      </c>
      <c r="U531" s="4">
        <f t="shared" si="329"/>
        <v>1.968135263758187</v>
      </c>
      <c r="V531" s="4">
        <f t="shared" si="330"/>
        <v>1.0378245686340206</v>
      </c>
      <c r="W531" t="str">
        <f t="shared" ref="W531:W560" si="357">IMSUB(COMPLEX(1,0),IMDIV(COMPLEX(0,2*PI()*O531),COMPLEX(wz_rhp,0)))</f>
        <v>1-14,7149023677613i</v>
      </c>
      <c r="X531" s="4">
        <f t="shared" si="331"/>
        <v>14.748842384836415</v>
      </c>
      <c r="Y531" s="4">
        <f t="shared" si="332"/>
        <v>-1.502942338875717</v>
      </c>
      <c r="Z531" t="str">
        <f t="shared" ref="Z531:Z560" si="358">IMSUM(COMPLEX(1,0),IMDIV(COMPLEX(0,2*PI()*O531),COMPLEX(Q*(wsl/2),0)),IMDIV(IMPOWER(COMPLEX(0,2*PI()*O531),2),IMPOWER(COMPLEX(wsl/2,0),2)))</f>
        <v>-6,27880343443997+12,6165572901185i</v>
      </c>
      <c r="AA531" s="4">
        <f t="shared" si="333"/>
        <v>14.092582815906297</v>
      </c>
      <c r="AB531" s="4">
        <f t="shared" si="334"/>
        <v>2.0325732038255726</v>
      </c>
      <c r="AC531" s="48" t="str">
        <f t="shared" si="335"/>
        <v>-0,00207165223085077+0,00275986941278135i</v>
      </c>
      <c r="AD531" s="20">
        <f t="shared" si="336"/>
        <v>-49.241384846207083</v>
      </c>
      <c r="AE531" s="44">
        <f t="shared" si="337"/>
        <v>126.89314440534848</v>
      </c>
      <c r="AF531" t="str">
        <f t="shared" ref="AF531:AF560" si="359">COMPLEX(Adc_ea_iso,0)</f>
        <v>-20791,6666666667</v>
      </c>
      <c r="AG531" t="str">
        <f t="shared" si="338"/>
        <v>8475783,76383051i</v>
      </c>
      <c r="AH531">
        <f t="shared" si="339"/>
        <v>8475783.7638305109</v>
      </c>
      <c r="AI531">
        <f t="shared" si="340"/>
        <v>1.5707963267948966</v>
      </c>
      <c r="AJ531" t="str">
        <f t="shared" ref="AJ531:AJ560" si="360">IMSUM(IMPRODUCT(COMPLEX(wpA_ea_iso,0),IMPOWER(COMPLEX(0,2*PI()*O531),2)),COMPLEX(0,wpB_ea_iso*2*PI()*O531),COMPLEX(1,0))</f>
        <v>-1340068,93139351+9943,95055161763i</v>
      </c>
      <c r="AK531">
        <f t="shared" si="341"/>
        <v>1340105.8253133283</v>
      </c>
      <c r="AL531">
        <f t="shared" si="342"/>
        <v>3.1341723128830346</v>
      </c>
      <c r="AM531" t="str">
        <f t="shared" ref="AM531:AM560" si="361">IMSUM(COMPLEX(1,0),IMDIV(COMPLEX(0,2*PI()*O531),COMPLEX(wz1_ea_iso,0)))</f>
        <v>1+13669,7440543058i</v>
      </c>
      <c r="AN531">
        <f t="shared" si="343"/>
        <v>13669.744090882929</v>
      </c>
      <c r="AO531">
        <f t="shared" si="344"/>
        <v>1.5707231725358086</v>
      </c>
      <c r="AP531" t="str">
        <f t="shared" ref="AP531:AP560" si="362">IMSUM(COMPLEX(1,0),IMDIV(COMPLEX(0,2*PI()*O531),COMPLEX(wz2_ea_iso,0)))</f>
        <v>1+9601,3678476672i</v>
      </c>
      <c r="AQ531">
        <f t="shared" si="345"/>
        <v>9601.3678997431125</v>
      </c>
      <c r="AR531">
        <f t="shared" si="346"/>
        <v>1.5706921749685891</v>
      </c>
      <c r="AS531" s="42" t="str">
        <f t="shared" si="347"/>
        <v>-0,00174012561384062+0,240243941221253i</v>
      </c>
      <c r="AT531">
        <f t="shared" si="348"/>
        <v>-12.386723282680677</v>
      </c>
      <c r="AU531" s="44">
        <f t="shared" si="349"/>
        <v>90.414995314671231</v>
      </c>
      <c r="AV531" s="42" t="str">
        <f t="shared" ref="AV531:AV560" si="363">IMPRODUCT(AC531,AS531)</f>
        <v>-0,000659436969872703-0,000502504416235426i</v>
      </c>
      <c r="AW531" s="20">
        <f t="shared" si="350"/>
        <v>-61.62810812888776</v>
      </c>
      <c r="AX531" s="44">
        <f t="shared" si="351"/>
        <v>-142.69186027998029</v>
      </c>
    </row>
    <row r="532" spans="14:50" x14ac:dyDescent="0.3">
      <c r="N532" s="8">
        <v>14</v>
      </c>
      <c r="O532" s="35">
        <f t="shared" si="353"/>
        <v>1380384.2646028849</v>
      </c>
      <c r="P532" s="34" t="str">
        <f t="shared" si="354"/>
        <v>324,571428571429</v>
      </c>
      <c r="Q532" s="4" t="str">
        <f t="shared" si="355"/>
        <v>1+198244,802962623i</v>
      </c>
      <c r="R532" s="4">
        <f t="shared" ref="R532:R560" si="364">IMABS(Q532)</f>
        <v>198244.80296514515</v>
      </c>
      <c r="S532" s="4">
        <f t="shared" ref="S532:S560" si="365">IMARGUMENT(Q532)</f>
        <v>1.5707912825264716</v>
      </c>
      <c r="T532" s="4" t="str">
        <f t="shared" si="356"/>
        <v>1+1,73464202592295i</v>
      </c>
      <c r="U532" s="4">
        <f t="shared" ref="U532:U560" si="366">IMABS(T532)</f>
        <v>2.0022444801017873</v>
      </c>
      <c r="V532" s="4">
        <f t="shared" ref="V532:V560" si="367">IMARGUMENT(T532)</f>
        <v>1.0478446296529633</v>
      </c>
      <c r="W532" t="str">
        <f t="shared" si="357"/>
        <v>1-15,0576564750256i</v>
      </c>
      <c r="X532" s="4">
        <f t="shared" ref="X532:X560" si="368">IMABS(W532)</f>
        <v>15.09082564076202</v>
      </c>
      <c r="Y532" s="4">
        <f t="shared" ref="Y532:Y560" si="369">IMARGUMENT(W532)</f>
        <v>-1.5044823076100697</v>
      </c>
      <c r="Z532" t="str">
        <f t="shared" si="358"/>
        <v>-6,621842871853+12,9104346616869i</v>
      </c>
      <c r="AA532" s="4">
        <f t="shared" ref="AA532:AA560" si="370">IMABS(Z532)</f>
        <v>14.509587388109866</v>
      </c>
      <c r="AB532" s="4">
        <f t="shared" ref="AB532:AB560" si="371">IMARGUMENT(Z532)</f>
        <v>2.0447155604337679</v>
      </c>
      <c r="AC532" s="48" t="str">
        <f t="shared" ref="AC532:AC560" si="372">(IMDIV(IMPRODUCT(P532,T532,W532),IMPRODUCT(Q532,Z532)))</f>
        <v>-0,00203677268143126+0,00273420247992805i</v>
      </c>
      <c r="AD532" s="20">
        <f t="shared" ref="AD532:AD560" si="373">20*LOG(IMABS(AC532))</f>
        <v>-49.34632960257278</v>
      </c>
      <c r="AE532" s="44">
        <f t="shared" ref="AE532:AE560" si="374">(180/PI())*IMARGUMENT(AC532)</f>
        <v>126.6833053841134</v>
      </c>
      <c r="AF532" t="str">
        <f t="shared" si="359"/>
        <v>-20791,6666666667</v>
      </c>
      <c r="AG532" t="str">
        <f t="shared" ref="AG532:AG560" si="375">COMPLEX(0,1*2*PI()*O532)</f>
        <v>8673210,12961474i</v>
      </c>
      <c r="AH532">
        <f t="shared" ref="AH532:AH560" si="376">IMABS(AG532)</f>
        <v>8673210.1296147406</v>
      </c>
      <c r="AI532">
        <f t="shared" ref="AI532:AI560" si="377">IMARGUMENT(AG532)</f>
        <v>1.5707963267948966</v>
      </c>
      <c r="AJ532" t="str">
        <f t="shared" si="360"/>
        <v>-1403224,48154675+10175,5749150567i</v>
      </c>
      <c r="AK532">
        <f t="shared" ref="AK532:AK560" si="378">IMABS(AJ532)</f>
        <v>1403261.3754881867</v>
      </c>
      <c r="AL532">
        <f t="shared" ref="AL532:AL560" si="379">IMARGUMENT(AJ532)</f>
        <v>3.1343412147124661</v>
      </c>
      <c r="AM532" t="str">
        <f t="shared" si="361"/>
        <v>1+13988,1532970426i</v>
      </c>
      <c r="AN532">
        <f t="shared" ref="AN532:AN560" si="380">IMABS(AM532)</f>
        <v>13988.153332787129</v>
      </c>
      <c r="AO532">
        <f t="shared" ref="AO532:AO560" si="381">IMARGUMENT(AM532)</f>
        <v>1.5707248377300387</v>
      </c>
      <c r="AP532" t="str">
        <f t="shared" si="362"/>
        <v>1+9825,01243482758i</v>
      </c>
      <c r="AQ532">
        <f t="shared" ref="AQ532:AQ560" si="382">IMABS(AP532)</f>
        <v>9825.0124857181017</v>
      </c>
      <c r="AR532">
        <f t="shared" ref="AR532:AR560" si="383">IMARGUMENT(AP532)</f>
        <v>1.5706945457535819</v>
      </c>
      <c r="AS532" s="42" t="str">
        <f t="shared" ref="AS532:AS560" si="384">IMDIV(IMPRODUCT(AF532,AM532,AP532),IMPRODUCT(AG532,AJ532))</f>
        <v>-0,00166181106574165+0,234775881569015i</v>
      </c>
      <c r="AT532">
        <f t="shared" ref="AT532:AT560" si="385">20*LOG(IMABS(AS532))</f>
        <v>-12.58671281516742</v>
      </c>
      <c r="AU532" s="44">
        <f t="shared" ref="AU532:AU560" si="386">(180/PI())*IMARGUMENT(AS532)</f>
        <v>90.405549197268442</v>
      </c>
      <c r="AV532" s="42" t="str">
        <f t="shared" si="363"/>
        <v>-0,000638540066232892-0,000482728829775833i</v>
      </c>
      <c r="AW532" s="20">
        <f t="shared" ref="AW532:AW560" si="387">20*LOG(IMABS(AV532))</f>
        <v>-61.933042417740189</v>
      </c>
      <c r="AX532" s="44">
        <f t="shared" ref="AX532:AX560" si="388">(180/PI())*IMARGUMENT(AV532)</f>
        <v>-142.91114541861816</v>
      </c>
    </row>
    <row r="533" spans="14:50" x14ac:dyDescent="0.3">
      <c r="N533" s="8">
        <v>15</v>
      </c>
      <c r="O533" s="35">
        <f t="shared" si="353"/>
        <v>1412537.5446227565</v>
      </c>
      <c r="P533" s="34" t="str">
        <f t="shared" si="354"/>
        <v>324,571428571429</v>
      </c>
      <c r="Q533" s="4" t="str">
        <f t="shared" si="355"/>
        <v>1+202862,517627731i</v>
      </c>
      <c r="R533" s="4">
        <f t="shared" si="364"/>
        <v>202862.51763019574</v>
      </c>
      <c r="S533" s="4">
        <f t="shared" si="365"/>
        <v>1.5707913973480392</v>
      </c>
      <c r="T533" s="4" t="str">
        <f t="shared" si="356"/>
        <v>1+1,77504702924265i</v>
      </c>
      <c r="U533" s="4">
        <f t="shared" si="366"/>
        <v>2.0373492474348027</v>
      </c>
      <c r="V533" s="4">
        <f t="shared" si="367"/>
        <v>1.0577497477991857</v>
      </c>
      <c r="W533" t="str">
        <f t="shared" si="357"/>
        <v>1-15,4083943510646i</v>
      </c>
      <c r="X533" s="4">
        <f t="shared" si="368"/>
        <v>15.440810097851713</v>
      </c>
      <c r="Y533" s="4">
        <f t="shared" si="369"/>
        <v>-1.5059875268075607</v>
      </c>
      <c r="Z533" t="str">
        <f t="shared" si="358"/>
        <v>-6,98104925987555+13,2111573166028i</v>
      </c>
      <c r="AA533" s="4">
        <f t="shared" si="370"/>
        <v>14.94221290213858</v>
      </c>
      <c r="AB533" s="4">
        <f t="shared" si="371"/>
        <v>2.0569211550493942</v>
      </c>
      <c r="AC533" s="48" t="str">
        <f t="shared" si="372"/>
        <v>-0,00200198358272674+0,00270896026209887i</v>
      </c>
      <c r="AD533" s="20">
        <f t="shared" si="373"/>
        <v>-49.45141758266837</v>
      </c>
      <c r="AE533" s="44">
        <f t="shared" si="374"/>
        <v>126.46524850549791</v>
      </c>
      <c r="AF533" t="str">
        <f t="shared" si="359"/>
        <v>-20791,6666666667</v>
      </c>
      <c r="AG533" t="str">
        <f t="shared" si="375"/>
        <v>8875235,14621323i</v>
      </c>
      <c r="AH533">
        <f t="shared" si="376"/>
        <v>8875235.1462132297</v>
      </c>
      <c r="AI533">
        <f t="shared" si="377"/>
        <v>1.5707963267948966</v>
      </c>
      <c r="AJ533" t="str">
        <f t="shared" si="360"/>
        <v>-1469356,46108007+10412,5945030053i</v>
      </c>
      <c r="AK533">
        <f t="shared" si="378"/>
        <v>1469393.3550421516</v>
      </c>
      <c r="AL533">
        <f t="shared" si="379"/>
        <v>3.1345062722504133</v>
      </c>
      <c r="AM533" t="str">
        <f t="shared" si="361"/>
        <v>1+14313,9792438127i</v>
      </c>
      <c r="AN533">
        <f t="shared" si="380"/>
        <v>14313.979278743587</v>
      </c>
      <c r="AO533">
        <f t="shared" si="381"/>
        <v>1.5707264650198207</v>
      </c>
      <c r="AP533" t="str">
        <f t="shared" si="362"/>
        <v>1+10053,8663736303i</v>
      </c>
      <c r="AQ533">
        <f t="shared" si="382"/>
        <v>10053.866423362409</v>
      </c>
      <c r="AR533">
        <f t="shared" si="383"/>
        <v>1.5706968625729207</v>
      </c>
      <c r="AS533" s="42" t="str">
        <f t="shared" si="384"/>
        <v>-0,00158702090048172+0,229432252768741i</v>
      </c>
      <c r="AT533">
        <f t="shared" si="385"/>
        <v>-12.786702818746249</v>
      </c>
      <c r="AU533" s="44">
        <f t="shared" si="386"/>
        <v>90.396318077773813</v>
      </c>
      <c r="AV533" s="42" t="str">
        <f t="shared" si="363"/>
        <v>-0,000618345665806134-0,000463618779945556i</v>
      </c>
      <c r="AW533" s="20">
        <f t="shared" si="387"/>
        <v>-62.238120401414619</v>
      </c>
      <c r="AX533" s="44">
        <f t="shared" si="388"/>
        <v>-143.1384334167283</v>
      </c>
    </row>
    <row r="534" spans="14:50" x14ac:dyDescent="0.3">
      <c r="N534" s="8">
        <v>16</v>
      </c>
      <c r="O534" s="35">
        <f t="shared" si="353"/>
        <v>1445439.7707459298</v>
      </c>
      <c r="P534" s="34" t="str">
        <f t="shared" si="354"/>
        <v>324,571428571429</v>
      </c>
      <c r="Q534" s="4" t="str">
        <f t="shared" si="355"/>
        <v>1+207587,792684888i</v>
      </c>
      <c r="R534" s="4">
        <f t="shared" si="364"/>
        <v>207587.79268729663</v>
      </c>
      <c r="S534" s="4">
        <f t="shared" si="365"/>
        <v>1.5707915095559488</v>
      </c>
      <c r="T534" s="4" t="str">
        <f t="shared" si="356"/>
        <v>1+1,81639318599277i</v>
      </c>
      <c r="U534" s="4">
        <f t="shared" si="366"/>
        <v>2.0734715349193884</v>
      </c>
      <c r="V534" s="4">
        <f t="shared" si="367"/>
        <v>1.0675373998088891</v>
      </c>
      <c r="W534" t="str">
        <f t="shared" si="357"/>
        <v>1-15,7673019617428i</v>
      </c>
      <c r="X534" s="4">
        <f t="shared" si="368"/>
        <v>15.798981332756183</v>
      </c>
      <c r="Y534" s="4">
        <f t="shared" si="369"/>
        <v>-1.5074587672571491</v>
      </c>
      <c r="Z534" t="str">
        <f t="shared" si="358"/>
        <v>-7,3571845234162+13,5188847019983i</v>
      </c>
      <c r="AA534" s="4">
        <f t="shared" si="370"/>
        <v>15.391179542111725</v>
      </c>
      <c r="AB534" s="4">
        <f t="shared" si="371"/>
        <v>2.0691874996196939</v>
      </c>
      <c r="AC534" s="48" t="str">
        <f t="shared" si="372"/>
        <v>-0,00196727111285109+0,00268410685631467i</v>
      </c>
      <c r="AD534" s="20">
        <f t="shared" si="373"/>
        <v>-49.556725294898072</v>
      </c>
      <c r="AE534" s="44">
        <f t="shared" si="374"/>
        <v>126.2389275856153</v>
      </c>
      <c r="AF534" t="str">
        <f t="shared" si="359"/>
        <v>-20791,6666666667</v>
      </c>
      <c r="AG534" t="str">
        <f t="shared" si="375"/>
        <v>9081965,92996386i</v>
      </c>
      <c r="AH534">
        <f t="shared" si="376"/>
        <v>9081965.9299638607</v>
      </c>
      <c r="AI534">
        <f t="shared" si="377"/>
        <v>1.5707963267948966</v>
      </c>
      <c r="AJ534" t="str">
        <f t="shared" si="360"/>
        <v>-1538605,14478854+10655,1349863865i</v>
      </c>
      <c r="AK534">
        <f t="shared" si="378"/>
        <v>1538642.0387703378</v>
      </c>
      <c r="AL534">
        <f t="shared" si="379"/>
        <v>3.1346675729780364</v>
      </c>
      <c r="AM534" t="str">
        <f t="shared" si="361"/>
        <v>1+14647,3946518457i</v>
      </c>
      <c r="AN534">
        <f t="shared" si="380"/>
        <v>14647.394685981462</v>
      </c>
      <c r="AO534">
        <f t="shared" si="381"/>
        <v>1.5707280552679654</v>
      </c>
      <c r="AP534" t="str">
        <f t="shared" si="362"/>
        <v>1+10288,0510054631i</v>
      </c>
      <c r="AQ534">
        <f t="shared" si="382"/>
        <v>10288.051054063168</v>
      </c>
      <c r="AR534">
        <f t="shared" si="383"/>
        <v>1.5706991266550139</v>
      </c>
      <c r="AS534" s="42" t="str">
        <f t="shared" si="384"/>
        <v>-0,00151559652571271+0,22421022492324i</v>
      </c>
      <c r="AT534">
        <f t="shared" si="385"/>
        <v>-12.986693272216653</v>
      </c>
      <c r="AU534" s="44">
        <f t="shared" si="386"/>
        <v>90.387297063704096</v>
      </c>
      <c r="AV534" s="42" t="str">
        <f t="shared" si="363"/>
        <v>-0,000598822612708551-0,000445150321723408i</v>
      </c>
      <c r="AW534" s="20">
        <f t="shared" si="387"/>
        <v>-62.543418567114728</v>
      </c>
      <c r="AX534" s="44">
        <f t="shared" si="388"/>
        <v>-143.3737753506806</v>
      </c>
    </row>
    <row r="535" spans="14:50" x14ac:dyDescent="0.3">
      <c r="N535" s="8">
        <v>17</v>
      </c>
      <c r="O535" s="35">
        <f t="shared" si="353"/>
        <v>1479108.3881682095</v>
      </c>
      <c r="P535" s="34" t="str">
        <f t="shared" si="354"/>
        <v>324,571428571429</v>
      </c>
      <c r="Q535" s="4" t="str">
        <f t="shared" si="355"/>
        <v>1+212423,133537476i</v>
      </c>
      <c r="R535" s="4">
        <f t="shared" si="364"/>
        <v>212423.13353982981</v>
      </c>
      <c r="S535" s="4">
        <f t="shared" si="365"/>
        <v>1.5707916192096947</v>
      </c>
      <c r="T535" s="4" t="str">
        <f t="shared" si="356"/>
        <v>1+1,85870241845291i</v>
      </c>
      <c r="U535" s="4">
        <f t="shared" si="366"/>
        <v>2.1106337153477615</v>
      </c>
      <c r="V535" s="4">
        <f t="shared" si="367"/>
        <v>1.0772052733994419</v>
      </c>
      <c r="W535" t="str">
        <f t="shared" si="357"/>
        <v>1-16,134569604626i</v>
      </c>
      <c r="X535" s="4">
        <f t="shared" si="368"/>
        <v>16.165529262183817</v>
      </c>
      <c r="Y535" s="4">
        <f t="shared" si="369"/>
        <v>-1.5088967835390652</v>
      </c>
      <c r="Z535" t="str">
        <f t="shared" si="358"/>
        <v>-7,75104649579824+13,8337799790063i</v>
      </c>
      <c r="AA535" s="4">
        <f t="shared" si="370"/>
        <v>15.85724409497381</v>
      </c>
      <c r="AB535" s="4">
        <f t="shared" si="371"/>
        <v>2.0815118757566129</v>
      </c>
      <c r="AC535" s="48" t="str">
        <f t="shared" si="372"/>
        <v>-0,0019326238867131+0,00265960659582441i</v>
      </c>
      <c r="AD535" s="20">
        <f t="shared" si="373"/>
        <v>-49.66232872173839</v>
      </c>
      <c r="AE535" s="44">
        <f t="shared" si="374"/>
        <v>126.00432265492083</v>
      </c>
      <c r="AF535" t="str">
        <f t="shared" si="359"/>
        <v>-20791,6666666667</v>
      </c>
      <c r="AG535" t="str">
        <f t="shared" si="375"/>
        <v>9293512,09226457i</v>
      </c>
      <c r="AH535">
        <f t="shared" si="376"/>
        <v>9293512.0922645703</v>
      </c>
      <c r="AI535">
        <f t="shared" si="377"/>
        <v>1.5707963267948966</v>
      </c>
      <c r="AJ535" t="str">
        <f t="shared" si="360"/>
        <v>-1611117,41841461+10903,3249633748i</v>
      </c>
      <c r="AK535">
        <f t="shared" si="378"/>
        <v>1611154.3124152366</v>
      </c>
      <c r="AL535">
        <f t="shared" si="379"/>
        <v>3.1348252023868892</v>
      </c>
      <c r="AM535" t="str">
        <f t="shared" si="361"/>
        <v>1+14988,5763024043i</v>
      </c>
      <c r="AN535">
        <f t="shared" si="380"/>
        <v>14988.576335763039</v>
      </c>
      <c r="AO535">
        <f t="shared" si="381"/>
        <v>1.5707296093176433</v>
      </c>
      <c r="AP535" t="str">
        <f t="shared" si="362"/>
        <v>1+10527,6904981173i</v>
      </c>
      <c r="AQ535">
        <f t="shared" si="382"/>
        <v>10527.690545611096</v>
      </c>
      <c r="AR535">
        <f t="shared" si="383"/>
        <v>1.5707013392003077</v>
      </c>
      <c r="AS535" s="42" t="str">
        <f t="shared" si="384"/>
        <v>-0,00144738648418978+0,219107032385156i</v>
      </c>
      <c r="AT535">
        <f t="shared" si="385"/>
        <v>-13.186684155332184</v>
      </c>
      <c r="AU535" s="44">
        <f t="shared" si="386"/>
        <v>90.378481373844707</v>
      </c>
      <c r="AV535" s="42" t="str">
        <f t="shared" si="363"/>
        <v>-0,000579941254830423-0,000427300963174431i</v>
      </c>
      <c r="AW535" s="20">
        <f t="shared" si="387"/>
        <v>-62.849012877070578</v>
      </c>
      <c r="AX535" s="44">
        <f t="shared" si="388"/>
        <v>-143.61719597123451</v>
      </c>
    </row>
    <row r="536" spans="14:50" x14ac:dyDescent="0.3">
      <c r="N536" s="8">
        <v>18</v>
      </c>
      <c r="O536" s="35">
        <f t="shared" si="353"/>
        <v>1513561.2484362102</v>
      </c>
      <c r="P536" s="34" t="str">
        <f t="shared" si="354"/>
        <v>324,571428571429</v>
      </c>
      <c r="Q536" s="4" t="str">
        <f t="shared" si="355"/>
        <v>1+217371,103947218i</v>
      </c>
      <c r="R536" s="4">
        <f t="shared" si="364"/>
        <v>217371.10394951823</v>
      </c>
      <c r="S536" s="4">
        <f t="shared" si="365"/>
        <v>1.5707917263674165</v>
      </c>
      <c r="T536" s="4" t="str">
        <f t="shared" si="356"/>
        <v>1+1,90199715953816i</v>
      </c>
      <c r="U536" s="4">
        <f t="shared" si="366"/>
        <v>2.1488585795466459</v>
      </c>
      <c r="V536" s="4">
        <f t="shared" si="367"/>
        <v>1.0867512647546118</v>
      </c>
      <c r="W536" t="str">
        <f t="shared" si="357"/>
        <v>1-16,5103920098798i</v>
      </c>
      <c r="X536" s="4">
        <f t="shared" si="368"/>
        <v>16.54064824364217</v>
      </c>
      <c r="Y536" s="4">
        <f t="shared" si="369"/>
        <v>-1.5103023143058694</v>
      </c>
      <c r="Z536" t="str">
        <f t="shared" si="358"/>
        <v>-8,16347061107114+14,156010109271i</v>
      </c>
      <c r="AA536" s="4">
        <f t="shared" si="370"/>
        <v>16.341201749920504</v>
      </c>
      <c r="AB536" s="4">
        <f t="shared" si="371"/>
        <v>2.0938913375615513</v>
      </c>
      <c r="AC536" s="48" t="str">
        <f t="shared" si="372"/>
        <v>-0,00189803292169399+0,0026354241684925i</v>
      </c>
      <c r="AD536" s="20">
        <f t="shared" si="373"/>
        <v>-49.768303103855224</v>
      </c>
      <c r="AE536" s="44">
        <f t="shared" si="374"/>
        <v>125.76143963617537</v>
      </c>
      <c r="AF536" t="str">
        <f t="shared" si="359"/>
        <v>-20791,6666666667</v>
      </c>
      <c r="AG536" t="str">
        <f t="shared" si="375"/>
        <v>9509985,79769079i</v>
      </c>
      <c r="AH536">
        <f t="shared" si="376"/>
        <v>9509985.7976907901</v>
      </c>
      <c r="AI536">
        <f t="shared" si="377"/>
        <v>1.5707963267948966</v>
      </c>
      <c r="AJ536" t="str">
        <f t="shared" si="360"/>
        <v>-1687047,09021255+11157,2960275812i</v>
      </c>
      <c r="AK536">
        <f t="shared" si="378"/>
        <v>1687083.9842311582</v>
      </c>
      <c r="AL536">
        <f t="shared" si="379"/>
        <v>3.1349792440240942</v>
      </c>
      <c r="AM536" t="str">
        <f t="shared" si="361"/>
        <v>1+15337,7050945157i</v>
      </c>
      <c r="AN536">
        <f t="shared" si="380"/>
        <v>15337.705127115101</v>
      </c>
      <c r="AO536">
        <f t="shared" si="381"/>
        <v>1.570731127992832</v>
      </c>
      <c r="AP536" t="str">
        <f t="shared" si="362"/>
        <v>1+10772,9119116241i</v>
      </c>
      <c r="AQ536">
        <f t="shared" si="382"/>
        <v>10772.911958036806</v>
      </c>
      <c r="AR536">
        <f t="shared" si="383"/>
        <v>1.5707035013819228</v>
      </c>
      <c r="AS536" s="42" t="str">
        <f t="shared" si="384"/>
        <v>-0,00138224613287888+0,214119972305582i</v>
      </c>
      <c r="AT536">
        <f t="shared" si="385"/>
        <v>-13.386675448757138</v>
      </c>
      <c r="AU536" s="44">
        <f t="shared" si="386"/>
        <v>90.369866335723401</v>
      </c>
      <c r="AV536" s="42" t="str">
        <f t="shared" si="363"/>
        <v>-0,000561673401304987-0,000410049561493594i</v>
      </c>
      <c r="AW536" s="20">
        <f t="shared" si="387"/>
        <v>-63.154978552612363</v>
      </c>
      <c r="AX536" s="44">
        <f t="shared" si="388"/>
        <v>-143.86869402810123</v>
      </c>
    </row>
    <row r="537" spans="14:50" x14ac:dyDescent="0.3">
      <c r="N537" s="8">
        <v>19</v>
      </c>
      <c r="O537" s="35">
        <f t="shared" si="353"/>
        <v>1548816.6189124861</v>
      </c>
      <c r="P537" s="34" t="str">
        <f t="shared" si="354"/>
        <v>324,571428571429</v>
      </c>
      <c r="Q537" s="4" t="str">
        <f t="shared" si="355"/>
        <v>1+222434,32739352i</v>
      </c>
      <c r="R537" s="4">
        <f t="shared" si="364"/>
        <v>222434.32739576788</v>
      </c>
      <c r="S537" s="4">
        <f t="shared" si="365"/>
        <v>1.5707918310859308</v>
      </c>
      <c r="T537" s="4" t="str">
        <f t="shared" si="356"/>
        <v>1+1,9463003646933i</v>
      </c>
      <c r="U537" s="4">
        <f t="shared" si="366"/>
        <v>2.1881693512169647</v>
      </c>
      <c r="V537" s="4">
        <f t="shared" si="367"/>
        <v>1.0961734753591088</v>
      </c>
      <c r="W537" t="str">
        <f t="shared" si="357"/>
        <v>1-16,8949684435182i</v>
      </c>
      <c r="X537" s="4">
        <f t="shared" si="368"/>
        <v>16.92453717853093</v>
      </c>
      <c r="Y537" s="4">
        <f t="shared" si="369"/>
        <v>-1.5116760825628408</v>
      </c>
      <c r="Z537" t="str">
        <f t="shared" si="358"/>
        <v>-8,59533167607804+14,4857459434725i</v>
      </c>
      <c r="AA537" s="4">
        <f t="shared" si="370"/>
        <v>16.843887976373523</v>
      </c>
      <c r="AB537" s="4">
        <f t="shared" si="371"/>
        <v>2.1063227154079893</v>
      </c>
      <c r="AC537" s="48" t="str">
        <f t="shared" si="372"/>
        <v>-0,00186349159659257+0,00261152473620682i</v>
      </c>
      <c r="AD537" s="20">
        <f t="shared" si="373"/>
        <v>-49.874722727897407</v>
      </c>
      <c r="AE537" s="44">
        <f t="shared" si="374"/>
        <v>125.51030993028083</v>
      </c>
      <c r="AF537" t="str">
        <f t="shared" si="359"/>
        <v>-20791,6666666667</v>
      </c>
      <c r="AG537" t="str">
        <f t="shared" si="375"/>
        <v>9731501,8234665i</v>
      </c>
      <c r="AH537">
        <f t="shared" si="376"/>
        <v>9731501.8234665003</v>
      </c>
      <c r="AI537">
        <f t="shared" si="377"/>
        <v>1.5707963267948966</v>
      </c>
      <c r="AJ537" t="str">
        <f t="shared" si="360"/>
        <v>-1766555,21719632+11417,1828378257i</v>
      </c>
      <c r="AK537">
        <f t="shared" si="378"/>
        <v>1766592.1112321003</v>
      </c>
      <c r="AL537">
        <f t="shared" si="379"/>
        <v>3.1351297795364976</v>
      </c>
      <c r="AM537" t="str">
        <f t="shared" si="361"/>
        <v>1+15694,9661408868i</v>
      </c>
      <c r="AN537">
        <f t="shared" si="380"/>
        <v>15694.966172744147</v>
      </c>
      <c r="AO537">
        <f t="shared" si="381"/>
        <v>1.5707326120987533</v>
      </c>
      <c r="AP537" t="str">
        <f t="shared" si="362"/>
        <v>1+11023,8452656229i</v>
      </c>
      <c r="AQ537">
        <f t="shared" si="382"/>
        <v>11023.845310979124</v>
      </c>
      <c r="AR537">
        <f t="shared" si="383"/>
        <v>1.5707056143462763</v>
      </c>
      <c r="AS537" s="42" t="str">
        <f t="shared" si="384"/>
        <v>-0,00132003733648552+0,209246403214945i</v>
      </c>
      <c r="AT537">
        <f t="shared" si="385"/>
        <v>-13.586667134026216</v>
      </c>
      <c r="AU537" s="44">
        <f t="shared" si="386"/>
        <v>90.361447383141225</v>
      </c>
      <c r="AV537" s="42" t="str">
        <f t="shared" si="363"/>
        <v>-0,000543992279474406-0,000393376224165219i</v>
      </c>
      <c r="AW537" s="20">
        <f t="shared" si="387"/>
        <v>-63.461389861923621</v>
      </c>
      <c r="AX537" s="44">
        <f t="shared" si="388"/>
        <v>-144.12824268657795</v>
      </c>
    </row>
    <row r="538" spans="14:50" x14ac:dyDescent="0.3">
      <c r="N538" s="8">
        <v>20</v>
      </c>
      <c r="O538" s="35">
        <f t="shared" si="353"/>
        <v>1584893.1924611153</v>
      </c>
      <c r="P538" s="34" t="str">
        <f t="shared" si="354"/>
        <v>324,571428571429</v>
      </c>
      <c r="Q538" s="4" t="str">
        <f t="shared" si="355"/>
        <v>1+227615,488464472i</v>
      </c>
      <c r="R538" s="4">
        <f t="shared" si="364"/>
        <v>227615.4884666687</v>
      </c>
      <c r="S538" s="4">
        <f t="shared" si="365"/>
        <v>1.5707919334207605</v>
      </c>
      <c r="T538" s="4" t="str">
        <f t="shared" si="356"/>
        <v>1+1,99163552406413i</v>
      </c>
      <c r="U538" s="4">
        <f t="shared" si="366"/>
        <v>2.2285897021915453</v>
      </c>
      <c r="V538" s="4">
        <f t="shared" si="367"/>
        <v>1.1054702082368655</v>
      </c>
      <c r="W538" t="str">
        <f t="shared" si="357"/>
        <v>1-17,2885028130566i</v>
      </c>
      <c r="X538" s="4">
        <f t="shared" si="368"/>
        <v>17.31739961764081</v>
      </c>
      <c r="Y538" s="4">
        <f t="shared" si="369"/>
        <v>-1.5130187959473382</v>
      </c>
      <c r="Z538" t="str">
        <f t="shared" si="358"/>
        <v>-9,0475457260384+14,8231623119148i</v>
      </c>
      <c r="AA538" s="4">
        <f t="shared" si="370"/>
        <v>17.366180483633325</v>
      </c>
      <c r="AB538" s="4">
        <f t="shared" si="371"/>
        <v>2.1188026207021067</v>
      </c>
      <c r="AC538" s="48" t="str">
        <f t="shared" si="372"/>
        <v>-0,00182899560337686+0,00258787405466108i</v>
      </c>
      <c r="AD538" s="20">
        <f t="shared" si="373"/>
        <v>-49.981660718949868</v>
      </c>
      <c r="AE538" s="44">
        <f t="shared" si="374"/>
        <v>125.25098991197959</v>
      </c>
      <c r="AF538" t="str">
        <f t="shared" si="359"/>
        <v>-20791,6666666667</v>
      </c>
      <c r="AG538" t="str">
        <f t="shared" si="375"/>
        <v>9958177,62032063i</v>
      </c>
      <c r="AH538">
        <f t="shared" si="376"/>
        <v>9958177.6203206293</v>
      </c>
      <c r="AI538">
        <f t="shared" si="377"/>
        <v>1.5707963267948966</v>
      </c>
      <c r="AJ538" t="str">
        <f t="shared" si="360"/>
        <v>-1849810,44676306+11683,1231895351i</v>
      </c>
      <c r="AK538">
        <f t="shared" si="378"/>
        <v>1849847.3408152396</v>
      </c>
      <c r="AL538">
        <f t="shared" si="379"/>
        <v>3.1352768887138245</v>
      </c>
      <c r="AM538" t="str">
        <f t="shared" si="361"/>
        <v>1+16060,5488660531i</v>
      </c>
      <c r="AN538">
        <f t="shared" si="380"/>
        <v>16060.548897185286</v>
      </c>
      <c r="AO538">
        <f t="shared" si="381"/>
        <v>1.5707340624222996</v>
      </c>
      <c r="AP538" t="str">
        <f t="shared" si="362"/>
        <v>1+11280,6236082992i</v>
      </c>
      <c r="AQ538">
        <f t="shared" si="382"/>
        <v>11280.62365262299</v>
      </c>
      <c r="AR538">
        <f t="shared" si="383"/>
        <v>1.5707076792136898</v>
      </c>
      <c r="AS538" s="42" t="str">
        <f t="shared" si="384"/>
        <v>-0,00126062817475798+0,204483743635526i</v>
      </c>
      <c r="AT538">
        <f t="shared" si="385"/>
        <v>-13.786659193505047</v>
      </c>
      <c r="AU538" s="44">
        <f t="shared" si="386"/>
        <v>90.353220053758932</v>
      </c>
      <c r="AV538" s="42" t="str">
        <f t="shared" si="363"/>
        <v>-0,00052687249136522-0,000377262215017449i</v>
      </c>
      <c r="AW538" s="20">
        <f t="shared" si="387"/>
        <v>-63.76831991245492</v>
      </c>
      <c r="AX538" s="44">
        <f t="shared" si="388"/>
        <v>-144.39579003426147</v>
      </c>
    </row>
    <row r="539" spans="14:50" x14ac:dyDescent="0.3">
      <c r="N539" s="8">
        <v>21</v>
      </c>
      <c r="O539" s="35">
        <f t="shared" si="353"/>
        <v>1621810.0973589318</v>
      </c>
      <c r="P539" s="34" t="str">
        <f t="shared" si="354"/>
        <v>324,571428571429</v>
      </c>
      <c r="Q539" s="4" t="str">
        <f t="shared" si="355"/>
        <v>1+232917,334280254i</v>
      </c>
      <c r="R539" s="4">
        <f t="shared" si="364"/>
        <v>232917.3342824007</v>
      </c>
      <c r="S539" s="4">
        <f t="shared" si="365"/>
        <v>1.5707920334261651</v>
      </c>
      <c r="T539" s="4" t="str">
        <f t="shared" si="356"/>
        <v>1+2,03802667495222i</v>
      </c>
      <c r="U539" s="4">
        <f t="shared" si="366"/>
        <v>2.2701437680941714</v>
      </c>
      <c r="V539" s="4">
        <f t="shared" si="367"/>
        <v>1.1146399636482349</v>
      </c>
      <c r="W539" t="str">
        <f t="shared" si="357"/>
        <v>1-17,6912037756269i</v>
      </c>
      <c r="X539" s="4">
        <f t="shared" si="368"/>
        <v>17.71944386911608</v>
      </c>
      <c r="Y539" s="4">
        <f t="shared" si="369"/>
        <v>-1.5143311470068197</v>
      </c>
      <c r="Z539" t="str">
        <f t="shared" si="358"/>
        <v>-9,5210719675815+15,1684381172225i</v>
      </c>
      <c r="AA539" s="4">
        <f t="shared" si="370"/>
        <v>17.909001265505417</v>
      </c>
      <c r="AB539" s="4">
        <f t="shared" si="371"/>
        <v>2.131327451634331</v>
      </c>
      <c r="AC539" s="48" t="str">
        <f t="shared" si="372"/>
        <v>-0,0017945428913544+0,00256443859279559i</v>
      </c>
      <c r="AD539" s="20">
        <f t="shared" si="373"/>
        <v>-50.089188838606056</v>
      </c>
      <c r="AE539" s="44">
        <f t="shared" si="374"/>
        <v>124.98356033785149</v>
      </c>
      <c r="AF539" t="str">
        <f t="shared" si="359"/>
        <v>-20791,6666666667</v>
      </c>
      <c r="AG539" t="str">
        <f t="shared" si="375"/>
        <v>10190133,3747611i</v>
      </c>
      <c r="AH539">
        <f t="shared" si="376"/>
        <v>10190133.374761101</v>
      </c>
      <c r="AI539">
        <f t="shared" si="377"/>
        <v>1.5707963267948966</v>
      </c>
      <c r="AJ539" t="str">
        <f t="shared" si="360"/>
        <v>-1936989,37441693+11955,2580878041i</v>
      </c>
      <c r="AK539">
        <f t="shared" si="378"/>
        <v>1937026.268484771</v>
      </c>
      <c r="AL539">
        <f t="shared" si="379"/>
        <v>3.135420649530861</v>
      </c>
      <c r="AM539" t="str">
        <f t="shared" si="361"/>
        <v>1+16434,6471068147i</v>
      </c>
      <c r="AN539">
        <f t="shared" si="380"/>
        <v>16434.647137238233</v>
      </c>
      <c r="AO539">
        <f t="shared" si="381"/>
        <v>1.5707354797324518</v>
      </c>
      <c r="AP539" t="str">
        <f t="shared" si="362"/>
        <v>1+11543,3830869294i</v>
      </c>
      <c r="AQ539">
        <f t="shared" si="382"/>
        <v>11543.383130244256</v>
      </c>
      <c r="AR539">
        <f t="shared" si="383"/>
        <v>1.5707096970789833</v>
      </c>
      <c r="AS539" s="42" t="str">
        <f t="shared" si="384"/>
        <v>-0,00120389266294638+0,199829470724914i</v>
      </c>
      <c r="AT539">
        <f t="shared" si="385"/>
        <v>-13.986651610352611</v>
      </c>
      <c r="AU539" s="44">
        <f t="shared" si="386"/>
        <v>90.345179986738316</v>
      </c>
      <c r="AV539" s="42" t="str">
        <f t="shared" si="363"/>
        <v>-0,000510289969684642-0,00036168986497895i</v>
      </c>
      <c r="AW539" s="20">
        <f t="shared" si="387"/>
        <v>-64.075840448958672</v>
      </c>
      <c r="AX539" s="44">
        <f t="shared" si="388"/>
        <v>-144.67125967541014</v>
      </c>
    </row>
    <row r="540" spans="14:50" x14ac:dyDescent="0.3">
      <c r="N540" s="8">
        <v>22</v>
      </c>
      <c r="O540" s="35">
        <f t="shared" si="353"/>
        <v>1659586.9074375622</v>
      </c>
      <c r="P540" s="34" t="str">
        <f t="shared" si="354"/>
        <v>324,571428571429</v>
      </c>
      <c r="Q540" s="4" t="str">
        <f t="shared" si="355"/>
        <v>1+238342,675949698i</v>
      </c>
      <c r="R540" s="4">
        <f t="shared" si="364"/>
        <v>238342.67595179586</v>
      </c>
      <c r="S540" s="4">
        <f t="shared" si="365"/>
        <v>1.5707921311551691</v>
      </c>
      <c r="T540" s="4" t="str">
        <f t="shared" si="356"/>
        <v>1+2,08549841455986i</v>
      </c>
      <c r="U540" s="4">
        <f t="shared" si="366"/>
        <v>2.3128561643845669</v>
      </c>
      <c r="V540" s="4">
        <f t="shared" si="367"/>
        <v>1.1236814343015831</v>
      </c>
      <c r="W540" t="str">
        <f t="shared" si="357"/>
        <v>1-18,1032848486099i</v>
      </c>
      <c r="X540" s="4">
        <f t="shared" si="368"/>
        <v>18.130883108936221</v>
      </c>
      <c r="Y540" s="4">
        <f t="shared" si="369"/>
        <v>-1.5156138134752224</v>
      </c>
      <c r="Z540" t="str">
        <f t="shared" si="358"/>
        <v>-10,0169148133527+15,5217564291981i</v>
      </c>
      <c r="AA540" s="4">
        <f t="shared" si="370"/>
        <v>18.473318733387277</v>
      </c>
      <c r="AB540" s="4">
        <f t="shared" si="371"/>
        <v>2.1438933999267151</v>
      </c>
      <c r="AC540" s="48" t="str">
        <f t="shared" si="372"/>
        <v>-0,00176013360345719+0,002541185651115i</v>
      </c>
      <c r="AD540" s="20">
        <f t="shared" si="373"/>
        <v>-50.197377289600041</v>
      </c>
      <c r="AE540" s="44">
        <f t="shared" si="374"/>
        <v>124.70812566952462</v>
      </c>
      <c r="AF540" t="str">
        <f t="shared" si="359"/>
        <v>-20791,6666666667</v>
      </c>
      <c r="AG540" t="str">
        <f t="shared" si="375"/>
        <v>10427492,0727993i</v>
      </c>
      <c r="AH540">
        <f t="shared" si="376"/>
        <v>10427492.072799301</v>
      </c>
      <c r="AI540">
        <f t="shared" si="377"/>
        <v>1.5707963267948966</v>
      </c>
      <c r="AJ540" t="str">
        <f t="shared" si="360"/>
        <v>-2028276,91835177+12233,7318221577i</v>
      </c>
      <c r="AK540">
        <f t="shared" si="378"/>
        <v>2028313.8124345674</v>
      </c>
      <c r="AL540">
        <f t="shared" si="379"/>
        <v>3.1355611381886797</v>
      </c>
      <c r="AM540" t="str">
        <f t="shared" si="361"/>
        <v>1+16817,4592150107i</v>
      </c>
      <c r="AN540">
        <f t="shared" si="380"/>
        <v>16817.459244741702</v>
      </c>
      <c r="AO540">
        <f t="shared" si="381"/>
        <v>1.5707368647806865</v>
      </c>
      <c r="AP540" t="str">
        <f t="shared" si="362"/>
        <v>1+11812,263020067i</v>
      </c>
      <c r="AQ540">
        <f t="shared" si="382"/>
        <v>11812.263062395888</v>
      </c>
      <c r="AR540">
        <f t="shared" si="383"/>
        <v>1.5707116690120559</v>
      </c>
      <c r="AS540" s="42" t="str">
        <f t="shared" si="384"/>
        <v>-0,00114971048482708+0,195281118949723i</v>
      </c>
      <c r="AT540">
        <f t="shared" si="385"/>
        <v>-14.186644368485924</v>
      </c>
      <c r="AU540" s="44">
        <f t="shared" si="386"/>
        <v>90.337322920436662</v>
      </c>
      <c r="AV540" s="42" t="str">
        <f t="shared" si="363"/>
        <v>-0,000494221933350126-0,000346642487371107i</v>
      </c>
      <c r="AW540" s="20">
        <f t="shared" si="387"/>
        <v>-64.384021658085985</v>
      </c>
      <c r="AX540" s="44">
        <f t="shared" si="388"/>
        <v>-144.95455141003868</v>
      </c>
    </row>
    <row r="541" spans="14:50" x14ac:dyDescent="0.3">
      <c r="N541" s="8">
        <v>23</v>
      </c>
      <c r="O541" s="35">
        <f t="shared" si="353"/>
        <v>1698243.6524617488</v>
      </c>
      <c r="P541" s="34" t="str">
        <f t="shared" si="354"/>
        <v>324,571428571429</v>
      </c>
      <c r="Q541" s="4" t="str">
        <f t="shared" si="355"/>
        <v>1+243894,39006077i</v>
      </c>
      <c r="R541" s="4">
        <f t="shared" si="364"/>
        <v>243894.39006282011</v>
      </c>
      <c r="S541" s="4">
        <f t="shared" si="365"/>
        <v>1.5707922266595891</v>
      </c>
      <c r="T541" s="4" t="str">
        <f t="shared" si="356"/>
        <v>1+2,13407591303174i</v>
      </c>
      <c r="U541" s="4">
        <f t="shared" si="366"/>
        <v>2.3567520027746354</v>
      </c>
      <c r="V541" s="4">
        <f t="shared" si="367"/>
        <v>1.132593500134311</v>
      </c>
      <c r="W541" t="str">
        <f t="shared" si="357"/>
        <v>1-18,524964522845i</v>
      </c>
      <c r="X541" s="4">
        <f t="shared" si="368"/>
        <v>18.551935493976519</v>
      </c>
      <c r="Y541" s="4">
        <f t="shared" si="369"/>
        <v>-1.5168674585474413</v>
      </c>
      <c r="Z541" t="str">
        <f t="shared" si="358"/>
        <v>-10,5361260125066+15,8833045818873i</v>
      </c>
      <c r="AA541" s="4">
        <f t="shared" si="370"/>
        <v>19.060149941498896</v>
      </c>
      <c r="AB541" s="4">
        <f t="shared" si="371"/>
        <v>2.156496458572752</v>
      </c>
      <c r="AC541" s="48" t="str">
        <f t="shared" si="372"/>
        <v>-0,00172577000443139+0,00251808347805042i</v>
      </c>
      <c r="AD541" s="20">
        <f t="shared" si="373"/>
        <v>-50.306294527903439</v>
      </c>
      <c r="AE541" s="44">
        <f t="shared" si="374"/>
        <v>124.42481331546318</v>
      </c>
      <c r="AF541" t="str">
        <f t="shared" si="359"/>
        <v>-20791,6666666667</v>
      </c>
      <c r="AG541" t="str">
        <f t="shared" si="375"/>
        <v>10670379,5651587i</v>
      </c>
      <c r="AH541">
        <f t="shared" si="376"/>
        <v>10670379.565158701</v>
      </c>
      <c r="AI541">
        <f t="shared" si="377"/>
        <v>1.5707963267948966</v>
      </c>
      <c r="AJ541" t="str">
        <f t="shared" si="360"/>
        <v>-2123866,71168742+12518,6920430562i</v>
      </c>
      <c r="AK541">
        <f t="shared" si="378"/>
        <v>2123903.6057845005</v>
      </c>
      <c r="AL541">
        <f t="shared" si="379"/>
        <v>3.1356984291549326</v>
      </c>
      <c r="AM541" t="str">
        <f t="shared" si="361"/>
        <v>1+17209,1881626879i</v>
      </c>
      <c r="AN541">
        <f t="shared" si="380"/>
        <v>17209.188191742145</v>
      </c>
      <c r="AO541">
        <f t="shared" si="381"/>
        <v>1.5707382183013743</v>
      </c>
      <c r="AP541" t="str">
        <f t="shared" si="362"/>
        <v>1+12087,4059714118i</v>
      </c>
      <c r="AQ541">
        <f t="shared" si="382"/>
        <v>12087.406012777168</v>
      </c>
      <c r="AR541">
        <f t="shared" si="383"/>
        <v>1.5707135960584522</v>
      </c>
      <c r="AS541" s="42" t="str">
        <f t="shared" si="384"/>
        <v>-0,00109796673772855+0,190836278788951i</v>
      </c>
      <c r="AT541">
        <f t="shared" si="385"/>
        <v>-14.386637452545642</v>
      </c>
      <c r="AU541" s="44">
        <f t="shared" si="386"/>
        <v>90.329644690153415</v>
      </c>
      <c r="AV541" s="42" t="str">
        <f t="shared" si="363"/>
        <v>-0,000478646842569246-0,000332104297593001i</v>
      </c>
      <c r="AW541" s="20">
        <f t="shared" si="387"/>
        <v>-64.692931980449089</v>
      </c>
      <c r="AX541" s="44">
        <f t="shared" si="388"/>
        <v>-145.24554199438339</v>
      </c>
    </row>
    <row r="542" spans="14:50" x14ac:dyDescent="0.3">
      <c r="N542" s="8">
        <v>24</v>
      </c>
      <c r="O542" s="35">
        <f t="shared" si="353"/>
        <v>1737800.8287493798</v>
      </c>
      <c r="P542" s="34" t="str">
        <f t="shared" si="354"/>
        <v>324,571428571429</v>
      </c>
      <c r="Q542" s="4" t="str">
        <f t="shared" si="355"/>
        <v>1+249575,420205774i</v>
      </c>
      <c r="R542" s="4">
        <f t="shared" si="364"/>
        <v>249575.42020777741</v>
      </c>
      <c r="S542" s="4">
        <f t="shared" si="365"/>
        <v>1.5707923199900631</v>
      </c>
      <c r="T542" s="4" t="str">
        <f t="shared" si="356"/>
        <v>1+2,18378492680052i</v>
      </c>
      <c r="U542" s="4">
        <f t="shared" si="366"/>
        <v>2.4018569080028795</v>
      </c>
      <c r="V542" s="4">
        <f t="shared" si="367"/>
        <v>1.1413752227175846</v>
      </c>
      <c r="W542" t="str">
        <f t="shared" si="357"/>
        <v>1-18,9564663784767i</v>
      </c>
      <c r="X542" s="4">
        <f t="shared" si="368"/>
        <v>18.982824277707405</v>
      </c>
      <c r="Y542" s="4">
        <f t="shared" si="369"/>
        <v>-1.5180927311516665</v>
      </c>
      <c r="Z542" t="str">
        <f t="shared" si="358"/>
        <v>-11,0798068816081+16,2532742729059i</v>
      </c>
      <c r="AA542" s="4">
        <f t="shared" si="370"/>
        <v>19.670562908163941</v>
      </c>
      <c r="AB542" s="4">
        <f t="shared" si="371"/>
        <v>2.1691324305574518</v>
      </c>
      <c r="AC542" s="48" t="str">
        <f t="shared" si="372"/>
        <v>-0,00169145640082302+0,00249510138349024i</v>
      </c>
      <c r="AD542" s="20">
        <f t="shared" si="373"/>
        <v>-50.41600708315994</v>
      </c>
      <c r="AE542" s="44">
        <f t="shared" si="374"/>
        <v>124.13377279515329</v>
      </c>
      <c r="AF542" t="str">
        <f t="shared" si="359"/>
        <v>-20791,6666666667</v>
      </c>
      <c r="AG542" t="str">
        <f t="shared" si="375"/>
        <v>10918924,6340026i</v>
      </c>
      <c r="AH542">
        <f t="shared" si="376"/>
        <v>10918924.6340026</v>
      </c>
      <c r="AI542">
        <f t="shared" si="377"/>
        <v>1.5707963267948966</v>
      </c>
      <c r="AJ542" t="str">
        <f t="shared" si="360"/>
        <v>-2223961,51319142+12810,2898401802i</v>
      </c>
      <c r="AK542">
        <f t="shared" si="378"/>
        <v>2223998.4073021412</v>
      </c>
      <c r="AL542">
        <f t="shared" si="379"/>
        <v>3.1358325952032367</v>
      </c>
      <c r="AM542" t="str">
        <f t="shared" si="361"/>
        <v>1+17610,0416497194i</v>
      </c>
      <c r="AN542">
        <f t="shared" si="380"/>
        <v>17610.041678112288</v>
      </c>
      <c r="AO542">
        <f t="shared" si="381"/>
        <v>1.5707395410121701</v>
      </c>
      <c r="AP542" t="str">
        <f t="shared" si="362"/>
        <v>1+12368,9578253981i</v>
      </c>
      <c r="AQ542">
        <f t="shared" si="382"/>
        <v>12368.957865821876</v>
      </c>
      <c r="AR542">
        <f t="shared" si="383"/>
        <v>1.5707154792399176</v>
      </c>
      <c r="AS542" s="42" t="str">
        <f t="shared" si="384"/>
        <v>-0,00104855168901942+0,186492595466321i</v>
      </c>
      <c r="AT542">
        <f t="shared" si="385"/>
        <v>-14.586630847863661</v>
      </c>
      <c r="AU542" s="44">
        <f t="shared" si="386"/>
        <v>90.322141225927794</v>
      </c>
      <c r="AV542" s="42" t="str">
        <f t="shared" si="363"/>
        <v>-0,000463544353492717-0,00031806033707754i</v>
      </c>
      <c r="AW542" s="20">
        <f t="shared" si="387"/>
        <v>-65.002637931023614</v>
      </c>
      <c r="AX542" s="44">
        <f t="shared" si="388"/>
        <v>-145.54408597891884</v>
      </c>
    </row>
    <row r="543" spans="14:50" x14ac:dyDescent="0.3">
      <c r="N543" s="8">
        <v>25</v>
      </c>
      <c r="O543" s="35">
        <f t="shared" si="353"/>
        <v>1778279.4100389241</v>
      </c>
      <c r="P543" s="34" t="str">
        <f t="shared" si="354"/>
        <v>324,571428571429</v>
      </c>
      <c r="Q543" s="4" t="str">
        <f t="shared" si="355"/>
        <v>1+255388,778542091i</v>
      </c>
      <c r="R543" s="4">
        <f t="shared" si="364"/>
        <v>255388.77854404878</v>
      </c>
      <c r="S543" s="4">
        <f t="shared" si="365"/>
        <v>1.5707924111960763</v>
      </c>
      <c r="T543" s="4" t="str">
        <f t="shared" si="356"/>
        <v>1+2,2346518122433i</v>
      </c>
      <c r="U543" s="4">
        <f t="shared" si="366"/>
        <v>2.448197034954962</v>
      </c>
      <c r="V543" s="4">
        <f t="shared" si="367"/>
        <v>1.150025839337681</v>
      </c>
      <c r="W543" t="str">
        <f t="shared" si="357"/>
        <v>1-19,3980192035009i</v>
      </c>
      <c r="X543" s="4">
        <f t="shared" si="368"/>
        <v>19.423777928595399</v>
      </c>
      <c r="Y543" s="4">
        <f t="shared" si="369"/>
        <v>-1.5192902662193635</v>
      </c>
      <c r="Z543" t="str">
        <f t="shared" si="358"/>
        <v>-11,6491106406735+16,6318616650816i</v>
      </c>
      <c r="AA543" s="4">
        <f t="shared" si="370"/>
        <v>20.305679037280768</v>
      </c>
      <c r="AB543" s="4">
        <f t="shared" si="371"/>
        <v>2.1817969385363729</v>
      </c>
      <c r="AC543" s="48" t="str">
        <f t="shared" si="372"/>
        <v>-0,00165719905275945+0,00247220984857494i</v>
      </c>
      <c r="AD543" s="20">
        <f t="shared" si="373"/>
        <v>-50.52657938829023</v>
      </c>
      <c r="AE543" s="44">
        <f t="shared" si="374"/>
        <v>123.83517482995101</v>
      </c>
      <c r="AF543" t="str">
        <f t="shared" si="359"/>
        <v>-20791,6666666667</v>
      </c>
      <c r="AG543" t="str">
        <f t="shared" si="375"/>
        <v>11173259,0612165i</v>
      </c>
      <c r="AH543">
        <f t="shared" si="376"/>
        <v>11173259.0612165</v>
      </c>
      <c r="AI543">
        <f t="shared" si="377"/>
        <v>1.5707963267948966</v>
      </c>
      <c r="AJ543" t="str">
        <f t="shared" si="360"/>
        <v>-2328773,63735774+13108,6798225417i</v>
      </c>
      <c r="AK543">
        <f t="shared" si="378"/>
        <v>2328810.5314814877</v>
      </c>
      <c r="AL543">
        <f t="shared" si="379"/>
        <v>3.1359637074516598</v>
      </c>
      <c r="AM543" t="str">
        <f t="shared" si="361"/>
        <v>1+18020,23221393i</v>
      </c>
      <c r="AN543">
        <f t="shared" si="380"/>
        <v>18020.232241676593</v>
      </c>
      <c r="AO543">
        <f t="shared" si="381"/>
        <v>1.5707408336143924</v>
      </c>
      <c r="AP543" t="str">
        <f t="shared" si="362"/>
        <v>1+12657,0678645461i</v>
      </c>
      <c r="AQ543">
        <f t="shared" si="382"/>
        <v>12657.067904049718</v>
      </c>
      <c r="AR543">
        <f t="shared" si="383"/>
        <v>1.5707173195549402</v>
      </c>
      <c r="AS543" s="42" t="str">
        <f t="shared" si="384"/>
        <v>-0,00100136054354438+0,182247767710993i</v>
      </c>
      <c r="AT543">
        <f t="shared" si="385"/>
        <v>-14.786624540431848</v>
      </c>
      <c r="AU543" s="44">
        <f t="shared" si="386"/>
        <v>90.314808550386374</v>
      </c>
      <c r="AV543" s="42" t="str">
        <f t="shared" si="363"/>
        <v>-0,000448895272471682-0,000304496401415907i</v>
      </c>
      <c r="AW543" s="20">
        <f t="shared" si="387"/>
        <v>-65.313203928722089</v>
      </c>
      <c r="AX543" s="44">
        <f t="shared" si="388"/>
        <v>-145.85001661966257</v>
      </c>
    </row>
    <row r="544" spans="14:50" x14ac:dyDescent="0.3">
      <c r="N544" s="8">
        <v>26</v>
      </c>
      <c r="O544" s="35">
        <f t="shared" si="353"/>
        <v>1819700.8586099846</v>
      </c>
      <c r="P544" s="34" t="str">
        <f t="shared" si="354"/>
        <v>324,571428571429</v>
      </c>
      <c r="Q544" s="4" t="str">
        <f t="shared" si="355"/>
        <v>1+261337,547389264i</v>
      </c>
      <c r="R544" s="4">
        <f t="shared" si="364"/>
        <v>261337.54739117718</v>
      </c>
      <c r="S544" s="4">
        <f t="shared" si="365"/>
        <v>1.5707925003259871</v>
      </c>
      <c r="T544" s="4" t="str">
        <f t="shared" si="356"/>
        <v>1+2,28670353965606i</v>
      </c>
      <c r="U544" s="4">
        <f t="shared" si="366"/>
        <v>2.4957990861196246</v>
      </c>
      <c r="V544" s="4">
        <f t="shared" si="367"/>
        <v>1.1585447568051497</v>
      </c>
      <c r="W544" t="str">
        <f t="shared" si="357"/>
        <v>1-19,84985711507i</v>
      </c>
      <c r="X544" s="4">
        <f t="shared" si="368"/>
        <v>19.875030251264906</v>
      </c>
      <c r="Y544" s="4">
        <f t="shared" si="369"/>
        <v>-1.5204606849526945</v>
      </c>
      <c r="Z544" t="str">
        <f t="shared" si="358"/>
        <v>-12,2452448593036+17,019267490461i</v>
      </c>
      <c r="AA544" s="4">
        <f t="shared" si="370"/>
        <v>20.966675644368706</v>
      </c>
      <c r="AB544" s="4">
        <f t="shared" si="371"/>
        <v>2.1944854354430681</v>
      </c>
      <c r="AC544" s="48" t="str">
        <f t="shared" si="372"/>
        <v>-0,0016230060776408+0,00244938063083716i</v>
      </c>
      <c r="AD544" s="20">
        <f t="shared" si="373"/>
        <v>-50.638073619048583</v>
      </c>
      <c r="AE544" s="44">
        <f t="shared" si="374"/>
        <v>123.52921036528814</v>
      </c>
      <c r="AF544" t="str">
        <f t="shared" si="359"/>
        <v>-20791,6666666667</v>
      </c>
      <c r="AG544" t="str">
        <f t="shared" si="375"/>
        <v>11433517,6982803i</v>
      </c>
      <c r="AH544">
        <f t="shared" si="376"/>
        <v>11433517.698280299</v>
      </c>
      <c r="AI544">
        <f t="shared" si="377"/>
        <v>1.5707963267948966</v>
      </c>
      <c r="AJ544" t="str">
        <f t="shared" si="360"/>
        <v>-2438525,40475417+13414,0202004591i</v>
      </c>
      <c r="AK544">
        <f t="shared" si="378"/>
        <v>2438562.2988903583</v>
      </c>
      <c r="AL544">
        <f t="shared" si="379"/>
        <v>3.1360918354003449</v>
      </c>
      <c r="AM544" t="str">
        <f t="shared" si="361"/>
        <v>1+18439,9773437865i</v>
      </c>
      <c r="AN544">
        <f t="shared" si="380"/>
        <v>18439.977370901499</v>
      </c>
      <c r="AO544">
        <f t="shared" si="381"/>
        <v>1.5707420967933963</v>
      </c>
      <c r="AP544" t="str">
        <f t="shared" si="362"/>
        <v>1+12951,8888486119i</v>
      </c>
      <c r="AQ544">
        <f t="shared" si="382"/>
        <v>12951.888887216308</v>
      </c>
      <c r="AR544">
        <f t="shared" si="383"/>
        <v>1.570719117979279</v>
      </c>
      <c r="AS544" s="42" t="str">
        <f t="shared" si="384"/>
        <v>-0,000956293221515965+0,178099546546017i</v>
      </c>
      <c r="AT544">
        <f t="shared" si="385"/>
        <v>-14.986618516872765</v>
      </c>
      <c r="AU544" s="44">
        <f t="shared" si="386"/>
        <v>90.307642776639128</v>
      </c>
      <c r="AV544" s="42" t="str">
        <f t="shared" si="363"/>
        <v>-0,000434681509960168-0,000291398972563438i</v>
      </c>
      <c r="AW544" s="20">
        <f t="shared" si="387"/>
        <v>-65.624692135921364</v>
      </c>
      <c r="AX544" s="44">
        <f t="shared" si="388"/>
        <v>-146.16314685807276</v>
      </c>
    </row>
    <row r="545" spans="14:50" x14ac:dyDescent="0.3">
      <c r="N545" s="8">
        <v>27</v>
      </c>
      <c r="O545" s="35">
        <f t="shared" si="353"/>
        <v>1862087.1366628683</v>
      </c>
      <c r="P545" s="34" t="str">
        <f t="shared" si="354"/>
        <v>324,571428571429</v>
      </c>
      <c r="Q545" s="4" t="str">
        <f t="shared" si="355"/>
        <v>1+267424,880863273i</v>
      </c>
      <c r="R545" s="4">
        <f t="shared" si="364"/>
        <v>267424.88086514262</v>
      </c>
      <c r="S545" s="4">
        <f t="shared" si="365"/>
        <v>1.5707925874270534</v>
      </c>
      <c r="T545" s="4" t="str">
        <f t="shared" si="356"/>
        <v>1+2,33996770755364i</v>
      </c>
      <c r="U545" s="4">
        <f t="shared" si="366"/>
        <v>2.5446903293709116</v>
      </c>
      <c r="V545" s="4">
        <f t="shared" si="367"/>
        <v>1.1669315450410211</v>
      </c>
      <c r="W545" t="str">
        <f t="shared" si="357"/>
        <v>1-20,3122196836253i</v>
      </c>
      <c r="X545" s="4">
        <f t="shared" si="368"/>
        <v>20.336820510489222</v>
      </c>
      <c r="Y545" s="4">
        <f t="shared" si="369"/>
        <v>-1.5216045950892174</v>
      </c>
      <c r="Z545" t="str">
        <f t="shared" si="358"/>
        <v>-12,8694740181012+17,4156971567404i</v>
      </c>
      <c r="AA545" s="4">
        <f t="shared" si="370"/>
        <v>21.654788591853709</v>
      </c>
      <c r="AB545" s="4">
        <f t="shared" si="371"/>
        <v>2.2071932159852157</v>
      </c>
      <c r="AC545" s="48" t="str">
        <f t="shared" si="372"/>
        <v>-0,0015888873459712+0,00242658686376712i</v>
      </c>
      <c r="AD545" s="20">
        <f t="shared" si="373"/>
        <v>-50.750549544264061</v>
      </c>
      <c r="AE545" s="44">
        <f t="shared" si="374"/>
        <v>123.21608952934164</v>
      </c>
      <c r="AF545" t="str">
        <f t="shared" si="359"/>
        <v>-20791,6666666667</v>
      </c>
      <c r="AG545" t="str">
        <f t="shared" si="375"/>
        <v>11699838,5377682i</v>
      </c>
      <c r="AH545">
        <f t="shared" si="376"/>
        <v>11699838.5377682</v>
      </c>
      <c r="AI545">
        <f t="shared" si="377"/>
        <v>1.5707963267948966</v>
      </c>
      <c r="AJ545" t="str">
        <f t="shared" si="360"/>
        <v>-2553449,61359401+13726,4728694422i</v>
      </c>
      <c r="AK545">
        <f t="shared" si="378"/>
        <v>2553486.507742078</v>
      </c>
      <c r="AL545">
        <f t="shared" si="379"/>
        <v>3.1362170469682726</v>
      </c>
      <c r="AM545" t="str">
        <f t="shared" si="361"/>
        <v>1+18869,4995937125i</v>
      </c>
      <c r="AN545">
        <f t="shared" si="380"/>
        <v>18869.499620210288</v>
      </c>
      <c r="AO545">
        <f t="shared" si="381"/>
        <v>1.5707433312189356</v>
      </c>
      <c r="AP545" t="str">
        <f t="shared" si="362"/>
        <v>1+13253,5770955838i</v>
      </c>
      <c r="AQ545">
        <f t="shared" si="382"/>
        <v>13253.577133309464</v>
      </c>
      <c r="AR545">
        <f t="shared" si="383"/>
        <v>1.5707208754664823</v>
      </c>
      <c r="AS545" s="42" t="str">
        <f t="shared" si="384"/>
        <v>-0,000913254146392921+0,174045734103958i</v>
      </c>
      <c r="AT545">
        <f t="shared" si="385"/>
        <v>-15.186612764410759</v>
      </c>
      <c r="AU545" s="44">
        <f t="shared" si="386"/>
        <v>90.300640106223483</v>
      </c>
      <c r="AV545" s="42" t="str">
        <f t="shared" si="363"/>
        <v>-0,00042088603411451-0,000278755155052965i</v>
      </c>
      <c r="AW545" s="20">
        <f t="shared" si="387"/>
        <v>-65.937162308674829</v>
      </c>
      <c r="AX545" s="44">
        <f t="shared" si="388"/>
        <v>-146.48327036443487</v>
      </c>
    </row>
    <row r="546" spans="14:50" x14ac:dyDescent="0.3">
      <c r="N546" s="8">
        <v>28</v>
      </c>
      <c r="O546" s="35">
        <f t="shared" si="353"/>
        <v>1905460.7179632513</v>
      </c>
      <c r="P546" s="34" t="str">
        <f t="shared" si="354"/>
        <v>324,571428571429</v>
      </c>
      <c r="Q546" s="4" t="str">
        <f t="shared" si="355"/>
        <v>1+273654,006548905i</v>
      </c>
      <c r="R546" s="4">
        <f t="shared" si="364"/>
        <v>273654.00655073213</v>
      </c>
      <c r="S546" s="4">
        <f t="shared" si="365"/>
        <v>1.5707926725454573</v>
      </c>
      <c r="T546" s="4" t="str">
        <f t="shared" si="356"/>
        <v>1+2,39447255730292i</v>
      </c>
      <c r="U546" s="4">
        <f t="shared" si="366"/>
        <v>2.5948986160689955</v>
      </c>
      <c r="V546" s="4">
        <f t="shared" si="367"/>
        <v>1.1751859304869707</v>
      </c>
      <c r="W546" t="str">
        <f t="shared" si="357"/>
        <v>1-20,7853520599212i</v>
      </c>
      <c r="X546" s="4">
        <f t="shared" si="368"/>
        <v>20.80939355807541</v>
      </c>
      <c r="Y546" s="4">
        <f t="shared" si="369"/>
        <v>-1.5227225911636983</v>
      </c>
      <c r="Z546" t="str">
        <f t="shared" si="358"/>
        <v>-13,5231221908043+17,8213608561764i</v>
      </c>
      <c r="AA546" s="4">
        <f t="shared" si="370"/>
        <v>22.371315038537187</v>
      </c>
      <c r="AB546" s="4">
        <f t="shared" si="371"/>
        <v>2.2199154289804151</v>
      </c>
      <c r="AC546" s="48" t="str">
        <f t="shared" si="372"/>
        <v>-0,00155485436967874+0,00240380314989966i</v>
      </c>
      <c r="AD546" s="20">
        <f t="shared" si="373"/>
        <v>-50.864064387435945</v>
      </c>
      <c r="AE546" s="44">
        <f t="shared" si="374"/>
        <v>122.89604053367209</v>
      </c>
      <c r="AF546" t="str">
        <f t="shared" si="359"/>
        <v>-20791,6666666667</v>
      </c>
      <c r="AG546" t="str">
        <f t="shared" si="375"/>
        <v>11972362,7865146i</v>
      </c>
      <c r="AH546">
        <f t="shared" si="376"/>
        <v>11972362.786514601</v>
      </c>
      <c r="AI546">
        <f t="shared" si="377"/>
        <v>1.5707963267948966</v>
      </c>
      <c r="AJ546" t="str">
        <f t="shared" si="360"/>
        <v>-2673790,03353242+14046,2034960321i</v>
      </c>
      <c r="AK546">
        <f t="shared" si="378"/>
        <v>2673826.927691834</v>
      </c>
      <c r="AL546">
        <f t="shared" si="379"/>
        <v>3.1363394085291998</v>
      </c>
      <c r="AM546" t="str">
        <f t="shared" si="361"/>
        <v>1+19309,0267020907i</v>
      </c>
      <c r="AN546">
        <f t="shared" si="380"/>
        <v>19309.026727985325</v>
      </c>
      <c r="AO546">
        <f t="shared" si="381"/>
        <v>1.5707445375455193</v>
      </c>
      <c r="AP546" t="str">
        <f t="shared" si="362"/>
        <v>1+13562,2925645637i</v>
      </c>
      <c r="AQ546">
        <f t="shared" si="382"/>
        <v>13562.292601430623</v>
      </c>
      <c r="AR546">
        <f t="shared" si="383"/>
        <v>1.5707225929483934</v>
      </c>
      <c r="AS546" s="42" t="str">
        <f t="shared" si="384"/>
        <v>-0,000872152042296283+0,170084182469066i</v>
      </c>
      <c r="AT546">
        <f t="shared" si="385"/>
        <v>-15.386607270845067</v>
      </c>
      <c r="AU546" s="44">
        <f t="shared" si="386"/>
        <v>90.293796827094567</v>
      </c>
      <c r="AV546" s="42" t="str">
        <f t="shared" si="363"/>
        <v>-0,000407492824153261-0,000266552616151727i</v>
      </c>
      <c r="AW546" s="20">
        <f t="shared" si="387"/>
        <v>-66.250671658281007</v>
      </c>
      <c r="AX546" s="44">
        <f t="shared" si="388"/>
        <v>-146.81016263923331</v>
      </c>
    </row>
    <row r="547" spans="14:50" x14ac:dyDescent="0.3">
      <c r="N547" s="8">
        <v>29</v>
      </c>
      <c r="O547" s="35">
        <f t="shared" si="353"/>
        <v>1949844.5997580495</v>
      </c>
      <c r="P547" s="34" t="str">
        <f t="shared" si="354"/>
        <v>324,571428571429</v>
      </c>
      <c r="Q547" s="4" t="str">
        <f t="shared" si="355"/>
        <v>1+280028,227211045i</v>
      </c>
      <c r="R547" s="4">
        <f t="shared" si="364"/>
        <v>280028.2272128305</v>
      </c>
      <c r="S547" s="4">
        <f t="shared" si="365"/>
        <v>1.5707927557263299</v>
      </c>
      <c r="T547" s="4" t="str">
        <f t="shared" si="356"/>
        <v>1+2,45024698809664i</v>
      </c>
      <c r="U547" s="4">
        <f t="shared" si="366"/>
        <v>2.6464523994730484</v>
      </c>
      <c r="V547" s="4">
        <f t="shared" si="367"/>
        <v>1.1833077893837591</v>
      </c>
      <c r="W547" t="str">
        <f t="shared" si="357"/>
        <v>1-21,2695051050056i</v>
      </c>
      <c r="X547" s="4">
        <f t="shared" si="368"/>
        <v>21.292999962707444</v>
      </c>
      <c r="Y547" s="4">
        <f t="shared" si="369"/>
        <v>-1.5238152547668977</v>
      </c>
      <c r="Z547" t="str">
        <f t="shared" si="358"/>
        <v>-14,2075758528224+18,2364736770317i</v>
      </c>
      <c r="AA547" s="4">
        <f t="shared" si="370"/>
        <v>23.117616308494529</v>
      </c>
      <c r="AB547" s="4">
        <f t="shared" si="371"/>
        <v>2.2326470904738067</v>
      </c>
      <c r="AC547" s="48" t="str">
        <f t="shared" si="372"/>
        <v>-0,00152092018338894+0,00238100564655005i</v>
      </c>
      <c r="AD547" s="20">
        <f t="shared" si="373"/>
        <v>-50.978672700290275</v>
      </c>
      <c r="AE547" s="44">
        <f t="shared" si="374"/>
        <v>122.56930852169445</v>
      </c>
      <c r="AF547" t="str">
        <f t="shared" si="359"/>
        <v>-20791,6666666667</v>
      </c>
      <c r="AG547" t="str">
        <f t="shared" si="375"/>
        <v>12251234,9404832i</v>
      </c>
      <c r="AH547">
        <f t="shared" si="376"/>
        <v>12251234.940483199</v>
      </c>
      <c r="AI547">
        <f t="shared" si="377"/>
        <v>1.5707963267948966</v>
      </c>
      <c r="AJ547" t="str">
        <f t="shared" si="360"/>
        <v>-2799801,92273427+14373,3816056391i</v>
      </c>
      <c r="AK547">
        <f t="shared" si="378"/>
        <v>2799838.8169045188</v>
      </c>
      <c r="AL547">
        <f t="shared" si="379"/>
        <v>3.1364589849467768</v>
      </c>
      <c r="AM547" t="str">
        <f t="shared" si="361"/>
        <v>1+19758,7917120113i</v>
      </c>
      <c r="AN547">
        <f t="shared" si="380"/>
        <v>19758.791737316493</v>
      </c>
      <c r="AO547">
        <f t="shared" si="381"/>
        <v>1.5707457164127578</v>
      </c>
      <c r="AP547" t="str">
        <f t="shared" si="362"/>
        <v>1+13878,1989405794i</v>
      </c>
      <c r="AQ547">
        <f t="shared" si="382"/>
        <v>13878.198976607127</v>
      </c>
      <c r="AR547">
        <f t="shared" si="383"/>
        <v>1.5707242713356435</v>
      </c>
      <c r="AS547" s="42" t="str">
        <f t="shared" si="384"/>
        <v>-0,000832899740534897+0,166212792545436i</v>
      </c>
      <c r="AT547">
        <f t="shared" si="385"/>
        <v>-15.586602024523888</v>
      </c>
      <c r="AU547" s="44">
        <f t="shared" si="386"/>
        <v>90.287109311661311</v>
      </c>
      <c r="AV547" s="42" t="str">
        <f t="shared" si="363"/>
        <v>-0,000394486823553416-0,000254779529905016i</v>
      </c>
      <c r="AW547" s="20">
        <f t="shared" si="387"/>
        <v>-66.565274724814159</v>
      </c>
      <c r="AX547" s="44">
        <f t="shared" si="388"/>
        <v>-147.14358216664422</v>
      </c>
    </row>
    <row r="548" spans="14:50" x14ac:dyDescent="0.3">
      <c r="N548" s="8">
        <v>30</v>
      </c>
      <c r="O548" s="35">
        <f t="shared" si="353"/>
        <v>1995262.31496888</v>
      </c>
      <c r="P548" s="34" t="str">
        <f t="shared" si="354"/>
        <v>324,571428571429</v>
      </c>
      <c r="Q548" s="4" t="str">
        <f t="shared" si="355"/>
        <v>1+286550,922545865i</v>
      </c>
      <c r="R548" s="4">
        <f t="shared" si="364"/>
        <v>286550.92254760989</v>
      </c>
      <c r="S548" s="4">
        <f t="shared" si="365"/>
        <v>1.5707928370137747</v>
      </c>
      <c r="T548" s="4" t="str">
        <f t="shared" si="356"/>
        <v>1+2,50732057227632i</v>
      </c>
      <c r="U548" s="4">
        <f t="shared" si="366"/>
        <v>2.6993807534618108</v>
      </c>
      <c r="V548" s="4">
        <f t="shared" si="367"/>
        <v>1.1912971409597117</v>
      </c>
      <c r="W548" t="str">
        <f t="shared" si="357"/>
        <v>1-21,7649355232319i</v>
      </c>
      <c r="X548" s="4">
        <f t="shared" si="368"/>
        <v>21.787896142823016</v>
      </c>
      <c r="Y548" s="4">
        <f t="shared" si="369"/>
        <v>-1.5248831548012201</v>
      </c>
      <c r="Z548" t="str">
        <f t="shared" si="358"/>
        <v>-14,9242868221399+18,6612557176191i</v>
      </c>
      <c r="AA548" s="4">
        <f t="shared" si="370"/>
        <v>23.895120884981313</v>
      </c>
      <c r="AB548" s="4">
        <f t="shared" si="371"/>
        <v>2.245383097571275</v>
      </c>
      <c r="AC548" s="48" t="str">
        <f t="shared" si="372"/>
        <v>-0,00148709921923003+0,00235817214337352i</v>
      </c>
      <c r="AD548" s="20">
        <f t="shared" si="373"/>
        <v>-51.094426248830622</v>
      </c>
      <c r="AE548" s="44">
        <f t="shared" si="374"/>
        <v>122.23615437117306</v>
      </c>
      <c r="AF548" t="str">
        <f t="shared" si="359"/>
        <v>-20791,6666666667</v>
      </c>
      <c r="AG548" t="str">
        <f t="shared" si="375"/>
        <v>12536602,8613816i</v>
      </c>
      <c r="AH548">
        <f t="shared" si="376"/>
        <v>12536602.8613816</v>
      </c>
      <c r="AI548">
        <f t="shared" si="377"/>
        <v>1.5707963267948966</v>
      </c>
      <c r="AJ548" t="str">
        <f t="shared" si="360"/>
        <v>-2931752,56931141+14708,1806724277i</v>
      </c>
      <c r="AK548">
        <f t="shared" si="378"/>
        <v>2931789.4634920065</v>
      </c>
      <c r="AL548">
        <f t="shared" si="379"/>
        <v>3.1365758396088732</v>
      </c>
      <c r="AM548" t="str">
        <f t="shared" si="361"/>
        <v>1+20219,0330948362i</v>
      </c>
      <c r="AN548">
        <f t="shared" si="380"/>
        <v>20219.033119565371</v>
      </c>
      <c r="AO548">
        <f t="shared" si="381"/>
        <v>1.5707468684457018</v>
      </c>
      <c r="AP548" t="str">
        <f t="shared" si="362"/>
        <v>1+14201,4637213731i</v>
      </c>
      <c r="AQ548">
        <f t="shared" si="382"/>
        <v>14201.463756580737</v>
      </c>
      <c r="AR548">
        <f t="shared" si="383"/>
        <v>1.570725911518136</v>
      </c>
      <c r="AS548" s="42" t="str">
        <f t="shared" si="384"/>
        <v>-0,000795413994830795+0,162429512950571i</v>
      </c>
      <c r="AT548">
        <f t="shared" si="385"/>
        <v>-15.786597014320309</v>
      </c>
      <c r="AU548" s="44">
        <f t="shared" si="386"/>
        <v>90.280574014866744</v>
      </c>
      <c r="AV548" s="42" t="str">
        <f t="shared" si="363"/>
        <v>-0,000381853893171087-0,000243424525013768i</v>
      </c>
      <c r="AW548" s="20">
        <f t="shared" si="387"/>
        <v>-66.881023263150936</v>
      </c>
      <c r="AX548" s="44">
        <f t="shared" si="388"/>
        <v>-147.48327161396008</v>
      </c>
    </row>
    <row r="549" spans="14:50" x14ac:dyDescent="0.3">
      <c r="N549" s="8">
        <v>31</v>
      </c>
      <c r="O549" s="35">
        <f t="shared" si="353"/>
        <v>2041737.9446695296</v>
      </c>
      <c r="P549" s="34" t="str">
        <f t="shared" si="354"/>
        <v>324,571428571429</v>
      </c>
      <c r="Q549" s="4" t="str">
        <f t="shared" si="355"/>
        <v>1+293225,550972768i</v>
      </c>
      <c r="R549" s="4">
        <f t="shared" si="364"/>
        <v>293225.55097447318</v>
      </c>
      <c r="S549" s="4">
        <f t="shared" si="365"/>
        <v>1.5707929164508911</v>
      </c>
      <c r="T549" s="4" t="str">
        <f t="shared" si="356"/>
        <v>1+2,56572357101172i</v>
      </c>
      <c r="U549" s="4">
        <f t="shared" si="366"/>
        <v>2.7537133915578673</v>
      </c>
      <c r="V549" s="4">
        <f t="shared" si="367"/>
        <v>1.1991541405679895</v>
      </c>
      <c r="W549" t="str">
        <f t="shared" si="357"/>
        <v>1-22,2719059983656i</v>
      </c>
      <c r="X549" s="4">
        <f t="shared" si="368"/>
        <v>22.294344502587052</v>
      </c>
      <c r="Y549" s="4">
        <f t="shared" si="369"/>
        <v>-1.5259268477331018</v>
      </c>
      <c r="Z549" t="str">
        <f t="shared" si="358"/>
        <v>-15,6747753388133+19,0959322029987i</v>
      </c>
      <c r="AA549" s="4">
        <f t="shared" si="370"/>
        <v>24.705327535246166</v>
      </c>
      <c r="AB549" s="4">
        <f t="shared" si="371"/>
        <v>2.2581182429136906</v>
      </c>
      <c r="AC549" s="48" t="str">
        <f t="shared" si="372"/>
        <v>-0,00145340717585636+0,00233528213098561i</v>
      </c>
      <c r="AD549" s="20">
        <f t="shared" si="373"/>
        <v>-51.211373912339411</v>
      </c>
      <c r="AE549" s="44">
        <f t="shared" si="374"/>
        <v>121.89685345724125</v>
      </c>
      <c r="AF549" t="str">
        <f t="shared" si="359"/>
        <v>-20791,6666666667</v>
      </c>
      <c r="AG549" t="str">
        <f t="shared" si="375"/>
        <v>12828617,8550586i</v>
      </c>
      <c r="AH549">
        <f t="shared" si="376"/>
        <v>12828617.855058599</v>
      </c>
      <c r="AI549">
        <f t="shared" si="377"/>
        <v>1.5707963267948966</v>
      </c>
      <c r="AJ549" t="str">
        <f t="shared" si="360"/>
        <v>-3069921,85827608+15050,7782112944i</v>
      </c>
      <c r="AK549">
        <f t="shared" si="378"/>
        <v>3069958.7524665585</v>
      </c>
      <c r="AL549">
        <f t="shared" si="379"/>
        <v>3.1366900344611253</v>
      </c>
      <c r="AM549" t="str">
        <f t="shared" si="361"/>
        <v>1+20689,9948766385i</v>
      </c>
      <c r="AN549">
        <f t="shared" si="380"/>
        <v>20689.99490080477</v>
      </c>
      <c r="AO549">
        <f t="shared" si="381"/>
        <v>1.5707479942551748</v>
      </c>
      <c r="AP549" t="str">
        <f t="shared" si="362"/>
        <v>1+14532,2583062104i</v>
      </c>
      <c r="AQ549">
        <f t="shared" si="382"/>
        <v>14532.258340616616</v>
      </c>
      <c r="AR549">
        <f t="shared" si="383"/>
        <v>1.5707275143655171</v>
      </c>
      <c r="AS549" s="42" t="str">
        <f t="shared" si="384"/>
        <v>-0,000759615304854298+0,158732338933842i</v>
      </c>
      <c r="AT549">
        <f t="shared" si="385"/>
        <v>-15.986592229607561</v>
      </c>
      <c r="AU549" s="44">
        <f t="shared" si="386"/>
        <v>90.274187472312065</v>
      </c>
      <c r="AV549" s="42" t="str">
        <f t="shared" si="363"/>
        <v>-0,000369580764386787-0,000232476636494759i</v>
      </c>
      <c r="AW549" s="20">
        <f t="shared" si="387"/>
        <v>-67.197966141946978</v>
      </c>
      <c r="AX549" s="44">
        <f t="shared" si="388"/>
        <v>-147.8289590704467</v>
      </c>
    </row>
    <row r="550" spans="14:50" x14ac:dyDescent="0.3">
      <c r="N550" s="8">
        <v>32</v>
      </c>
      <c r="O550" s="35">
        <f t="shared" si="353"/>
        <v>2089296.1308540432</v>
      </c>
      <c r="P550" s="34" t="str">
        <f t="shared" si="354"/>
        <v>324,571428571429</v>
      </c>
      <c r="Q550" s="4" t="str">
        <f t="shared" si="355"/>
        <v>1+300055,651468098i</v>
      </c>
      <c r="R550" s="4">
        <f t="shared" si="364"/>
        <v>300055.6514697643</v>
      </c>
      <c r="S550" s="4">
        <f t="shared" si="365"/>
        <v>1.5707929940797982</v>
      </c>
      <c r="T550" s="4" t="str">
        <f t="shared" si="356"/>
        <v>1+2,62548695034586i</v>
      </c>
      <c r="U550" s="4">
        <f t="shared" si="366"/>
        <v>2.8094806862543842</v>
      </c>
      <c r="V550" s="4">
        <f t="shared" si="367"/>
        <v>1.2068790728087309</v>
      </c>
      <c r="W550" t="str">
        <f t="shared" si="357"/>
        <v>1-22,7906853328634i</v>
      </c>
      <c r="X550" s="4">
        <f t="shared" si="368"/>
        <v>22.812613571039922</v>
      </c>
      <c r="Y550" s="4">
        <f t="shared" si="369"/>
        <v>-1.5269468778420596</v>
      </c>
      <c r="Z550" t="str">
        <f t="shared" si="358"/>
        <v>-16,4606332896068+19,540733604397i</v>
      </c>
      <c r="AA550" s="4">
        <f t="shared" si="370"/>
        <v>25.549808572529891</v>
      </c>
      <c r="AB550" s="4">
        <f t="shared" si="371"/>
        <v>2.2708472297108666</v>
      </c>
      <c r="AC550" s="48" t="str">
        <f t="shared" si="372"/>
        <v>-0,00141986088247448+0,00231231685995766i</v>
      </c>
      <c r="AD550" s="20">
        <f t="shared" si="373"/>
        <v>-51.329561595705975</v>
      </c>
      <c r="AE550" s="44">
        <f t="shared" si="374"/>
        <v>121.55169438267602</v>
      </c>
      <c r="AF550" t="str">
        <f t="shared" si="359"/>
        <v>-20791,6666666667</v>
      </c>
      <c r="AG550" t="str">
        <f t="shared" si="375"/>
        <v>13127434,7517293i</v>
      </c>
      <c r="AH550">
        <f t="shared" si="376"/>
        <v>13127434.7517293</v>
      </c>
      <c r="AI550">
        <f t="shared" si="377"/>
        <v>1.5707963267948966</v>
      </c>
      <c r="AJ550" t="str">
        <f t="shared" si="360"/>
        <v>-3214602,86521494+15401,3558719895i</v>
      </c>
      <c r="AK550">
        <f t="shared" si="378"/>
        <v>3214639.7594148554</v>
      </c>
      <c r="AL550">
        <f t="shared" si="379"/>
        <v>3.1368016300397188</v>
      </c>
      <c r="AM550" t="str">
        <f t="shared" si="361"/>
        <v>1+21171,926767589i</v>
      </c>
      <c r="AN550">
        <f t="shared" si="380"/>
        <v>21171.92679120518</v>
      </c>
      <c r="AO550">
        <f t="shared" si="381"/>
        <v>1.5707490944380953</v>
      </c>
      <c r="AP550" t="str">
        <f t="shared" si="362"/>
        <v>1+14870,7580867589i</v>
      </c>
      <c r="AQ550">
        <f t="shared" si="382"/>
        <v>14870.758120381934</v>
      </c>
      <c r="AR550">
        <f t="shared" si="383"/>
        <v>1.5707290807276377</v>
      </c>
      <c r="AS550" s="42" t="str">
        <f t="shared" si="384"/>
        <v>-0,000725427747694525+0,15511931131922i</v>
      </c>
      <c r="AT550">
        <f t="shared" si="385"/>
        <v>-16.186587660237628</v>
      </c>
      <c r="AU550" s="44">
        <f t="shared" si="386"/>
        <v>90.267946298423084</v>
      </c>
      <c r="AV550" s="42" t="str">
        <f t="shared" si="363"/>
        <v>-0,00035765499238644-0,000221925261070216i</v>
      </c>
      <c r="AW550" s="20">
        <f t="shared" si="387"/>
        <v>-67.516149255943617</v>
      </c>
      <c r="AX550" s="44">
        <f t="shared" si="388"/>
        <v>-148.18035931890091</v>
      </c>
    </row>
    <row r="551" spans="14:50" x14ac:dyDescent="0.3">
      <c r="N551" s="8">
        <v>33</v>
      </c>
      <c r="O551" s="35">
        <f t="shared" si="353"/>
        <v>2137962.0895022359</v>
      </c>
      <c r="P551" s="34" t="str">
        <f t="shared" si="354"/>
        <v>324,571428571429</v>
      </c>
      <c r="Q551" s="4" t="str">
        <f t="shared" si="355"/>
        <v>1+307044,845441541i</v>
      </c>
      <c r="R551" s="4">
        <f t="shared" si="364"/>
        <v>307044.84544316941</v>
      </c>
      <c r="S551" s="4">
        <f t="shared" si="365"/>
        <v>1.5707930699416557</v>
      </c>
      <c r="T551" s="4" t="str">
        <f t="shared" si="356"/>
        <v>1+2,68664239761348i</v>
      </c>
      <c r="U551" s="4">
        <f t="shared" si="366"/>
        <v>2.866713688643201</v>
      </c>
      <c r="V551" s="4">
        <f t="shared" si="367"/>
        <v>1.2144723446690082</v>
      </c>
      <c r="W551" t="str">
        <f t="shared" si="357"/>
        <v>1-23,3215485903948i</v>
      </c>
      <c r="X551" s="4">
        <f t="shared" si="368"/>
        <v>23.342978144490171</v>
      </c>
      <c r="Y551" s="4">
        <f t="shared" si="369"/>
        <v>-1.5279437774663089</v>
      </c>
      <c r="Z551" t="str">
        <f t="shared" si="358"/>
        <v>-17,2835275845951+19,9958957614045i</v>
      </c>
      <c r="AA551" s="4">
        <f t="shared" si="370"/>
        <v>26.430213261879182</v>
      </c>
      <c r="AB551" s="4">
        <f t="shared" si="371"/>
        <v>2.2835646872470257</v>
      </c>
      <c r="AC551" s="48" t="str">
        <f t="shared" si="372"/>
        <v>-0,00138647815874686+0,00228925938959317i</v>
      </c>
      <c r="AD551" s="20">
        <f t="shared" si="373"/>
        <v>-51.449032155366901</v>
      </c>
      <c r="AE551" s="44">
        <f t="shared" si="374"/>
        <v>121.20097768237464</v>
      </c>
      <c r="AF551" t="str">
        <f t="shared" si="359"/>
        <v>-20791,6666666667</v>
      </c>
      <c r="AG551" t="str">
        <f t="shared" si="375"/>
        <v>13433211,9880674i</v>
      </c>
      <c r="AH551">
        <f t="shared" si="376"/>
        <v>13433211.9880674</v>
      </c>
      <c r="AI551">
        <f t="shared" si="377"/>
        <v>1.5707963267948966</v>
      </c>
      <c r="AJ551" t="str">
        <f t="shared" si="360"/>
        <v>-3366102,47794132+15760,0995354289i</v>
      </c>
      <c r="AK551">
        <f t="shared" si="378"/>
        <v>3366139.372150247</v>
      </c>
      <c r="AL551">
        <f t="shared" si="379"/>
        <v>3.1369106855034352</v>
      </c>
      <c r="AM551" t="str">
        <f t="shared" si="361"/>
        <v>1+21665,0842943551i</v>
      </c>
      <c r="AN551">
        <f t="shared" si="380"/>
        <v>21665.08431743371</v>
      </c>
      <c r="AO551">
        <f t="shared" si="381"/>
        <v>1.5707501695777955</v>
      </c>
      <c r="AP551" t="str">
        <f t="shared" si="362"/>
        <v>1+15217,1425400827i</v>
      </c>
      <c r="AQ551">
        <f t="shared" si="382"/>
        <v>15217.142572940376</v>
      </c>
      <c r="AR551">
        <f t="shared" si="383"/>
        <v>1.5707306114350039</v>
      </c>
      <c r="AS551" s="42" t="str">
        <f t="shared" si="384"/>
        <v>-0,000692778816909417+0,151588515471836i</v>
      </c>
      <c r="AT551">
        <f t="shared" si="385"/>
        <v>-16.386583296518577</v>
      </c>
      <c r="AU551" s="44">
        <f t="shared" si="386"/>
        <v>90.261847184658237</v>
      </c>
      <c r="AV551" s="42" t="str">
        <f t="shared" si="363"/>
        <v>-0,000346064909699903-0,000211760116230082i</v>
      </c>
      <c r="AW551" s="20">
        <f t="shared" si="387"/>
        <v>-67.835615451885459</v>
      </c>
      <c r="AX551" s="44">
        <f t="shared" si="388"/>
        <v>-148.53717513296715</v>
      </c>
    </row>
    <row r="552" spans="14:50" x14ac:dyDescent="0.3">
      <c r="N552" s="8">
        <v>34</v>
      </c>
      <c r="O552" s="35">
        <f t="shared" si="353"/>
        <v>2187761.6239495561</v>
      </c>
      <c r="P552" s="34" t="str">
        <f t="shared" si="354"/>
        <v>324,571428571429</v>
      </c>
      <c r="Q552" s="4" t="str">
        <f t="shared" si="355"/>
        <v>1+314196,838656256i</v>
      </c>
      <c r="R552" s="4">
        <f t="shared" si="364"/>
        <v>314196.83865784731</v>
      </c>
      <c r="S552" s="4">
        <f t="shared" si="365"/>
        <v>1.5707931440766865</v>
      </c>
      <c r="T552" s="4" t="str">
        <f t="shared" si="356"/>
        <v>1+2,74922233824224i</v>
      </c>
      <c r="U552" s="4">
        <f t="shared" si="366"/>
        <v>2.9254441483457052</v>
      </c>
      <c r="V552" s="4">
        <f t="shared" si="367"/>
        <v>1.2219344787107935</v>
      </c>
      <c r="W552" t="str">
        <f t="shared" si="357"/>
        <v>1-23,8647772416861i</v>
      </c>
      <c r="X552" s="4">
        <f t="shared" si="368"/>
        <v>23.885719432231863</v>
      </c>
      <c r="Y552" s="4">
        <f t="shared" si="369"/>
        <v>-1.5289180672448912</v>
      </c>
      <c r="Z552" t="str">
        <f t="shared" si="358"/>
        <v>-18,1452036929056+20,4616600070217i</v>
      </c>
      <c r="AA552" s="4">
        <f t="shared" si="370"/>
        <v>27.348271376816236</v>
      </c>
      <c r="AB552" s="4">
        <f t="shared" si="371"/>
        <v>2.296265186764435</v>
      </c>
      <c r="AC552" s="48" t="str">
        <f t="shared" si="372"/>
        <v>-0,00135327767152416+0,00226609462599304i</v>
      </c>
      <c r="AD552" s="20">
        <f t="shared" si="373"/>
        <v>-51.569825339056464</v>
      </c>
      <c r="AE552" s="44">
        <f t="shared" si="374"/>
        <v>120.84501450911449</v>
      </c>
      <c r="AF552" t="str">
        <f t="shared" si="359"/>
        <v>-20791,6666666667</v>
      </c>
      <c r="AG552" t="str">
        <f t="shared" si="375"/>
        <v>13746111,6912112i</v>
      </c>
      <c r="AH552">
        <f t="shared" si="376"/>
        <v>13746111.691211199</v>
      </c>
      <c r="AI552">
        <f t="shared" si="377"/>
        <v>1.5707963267948966</v>
      </c>
      <c r="AJ552" t="str">
        <f t="shared" si="360"/>
        <v>-3524742,04744578+16127,1994122515i</v>
      </c>
      <c r="AK552">
        <f t="shared" si="378"/>
        <v>3524778.9416633146</v>
      </c>
      <c r="AL552">
        <f t="shared" si="379"/>
        <v>3.1370172586649643</v>
      </c>
      <c r="AM552" t="str">
        <f t="shared" si="361"/>
        <v>1+22169,7289355854i</v>
      </c>
      <c r="AN552">
        <f t="shared" si="380"/>
        <v>22169.728958138676</v>
      </c>
      <c r="AO552">
        <f t="shared" si="381"/>
        <v>1.5707512202443281</v>
      </c>
      <c r="AP552" t="str">
        <f t="shared" si="362"/>
        <v>1+15571,595323804i</v>
      </c>
      <c r="AQ552">
        <f t="shared" si="382"/>
        <v>15571.595355913749</v>
      </c>
      <c r="AR552">
        <f t="shared" si="383"/>
        <v>1.5707321072992169</v>
      </c>
      <c r="AS552" s="42" t="str">
        <f t="shared" si="384"/>
        <v>-0,000661599268814212+0,14813808028776i</v>
      </c>
      <c r="AT552">
        <f t="shared" si="385"/>
        <v>-16.586579129195144</v>
      </c>
      <c r="AU552" s="44">
        <f t="shared" si="386"/>
        <v>90.255886897757378</v>
      </c>
      <c r="AV552" s="42" t="str">
        <f t="shared" si="363"/>
        <v>-0,000334799580127035-0,0002019712029035i</v>
      </c>
      <c r="AW552" s="20">
        <f t="shared" si="387"/>
        <v>-68.156404468251608</v>
      </c>
      <c r="AX552" s="44">
        <f t="shared" si="388"/>
        <v>-148.89909859312809</v>
      </c>
    </row>
    <row r="553" spans="14:50" x14ac:dyDescent="0.3">
      <c r="N553" s="8">
        <v>35</v>
      </c>
      <c r="O553" s="35">
        <f t="shared" si="353"/>
        <v>2238721.1385683389</v>
      </c>
      <c r="P553" s="34" t="str">
        <f t="shared" si="354"/>
        <v>324,571428571429</v>
      </c>
      <c r="Q553" s="4" t="str">
        <f t="shared" si="355"/>
        <v>1+321515,423193712i</v>
      </c>
      <c r="R553" s="4">
        <f t="shared" si="364"/>
        <v>321515.42319526721</v>
      </c>
      <c r="S553" s="4">
        <f t="shared" si="365"/>
        <v>1.5707932165241978</v>
      </c>
      <c r="T553" s="4" t="str">
        <f t="shared" si="356"/>
        <v>1+2,81325995294498i</v>
      </c>
      <c r="U553" s="4">
        <f t="shared" si="366"/>
        <v>2.9857045337481058</v>
      </c>
      <c r="V553" s="4">
        <f t="shared" si="367"/>
        <v>1.2292661063340626</v>
      </c>
      <c r="W553" t="str">
        <f t="shared" si="357"/>
        <v>1-24,4206593137585i</v>
      </c>
      <c r="X553" s="4">
        <f t="shared" si="368"/>
        <v>24.441125205658182</v>
      </c>
      <c r="Y553" s="4">
        <f t="shared" si="369"/>
        <v>-1.5298702563562445</v>
      </c>
      <c r="Z553" t="str">
        <f t="shared" si="358"/>
        <v>-19,0474893450908+20,9382732956165i</v>
      </c>
      <c r="AA553" s="4">
        <f t="shared" si="370"/>
        <v>28.305796914294334</v>
      </c>
      <c r="AB553" s="4">
        <f t="shared" si="371"/>
        <v>2.3089432576270426</v>
      </c>
      <c r="AC553" s="48" t="str">
        <f t="shared" si="372"/>
        <v>-0,00132027878942047+0,00224280934903045i</v>
      </c>
      <c r="AD553" s="20">
        <f t="shared" si="373"/>
        <v>-51.691977739471596</v>
      </c>
      <c r="AE553" s="44">
        <f t="shared" si="374"/>
        <v>120.48412530777857</v>
      </c>
      <c r="AF553" t="str">
        <f t="shared" si="359"/>
        <v>-20791,6666666667</v>
      </c>
      <c r="AG553" t="str">
        <f t="shared" si="375"/>
        <v>14066299,7647249i</v>
      </c>
      <c r="AH553">
        <f t="shared" si="376"/>
        <v>14066299.764724899</v>
      </c>
      <c r="AI553">
        <f t="shared" si="377"/>
        <v>1.5707963267948966</v>
      </c>
      <c r="AJ553" t="str">
        <f t="shared" si="360"/>
        <v>-3690858,06952437+16502,8501436713i</v>
      </c>
      <c r="AK553">
        <f t="shared" si="378"/>
        <v>3690894.9637501235</v>
      </c>
      <c r="AL553">
        <f t="shared" si="379"/>
        <v>3.1371214060215125</v>
      </c>
      <c r="AM553" t="str">
        <f t="shared" si="361"/>
        <v>1+22686,1282605483i</v>
      </c>
      <c r="AN553">
        <f t="shared" si="380"/>
        <v>22686.128282588201</v>
      </c>
      <c r="AO553">
        <f t="shared" si="381"/>
        <v>1.5707522469947708</v>
      </c>
      <c r="AP553" t="str">
        <f t="shared" si="362"/>
        <v>1+15934,3043734804i</v>
      </c>
      <c r="AQ553">
        <f t="shared" si="382"/>
        <v>15934.304404859238</v>
      </c>
      <c r="AR553">
        <f t="shared" si="383"/>
        <v>1.5707335691134034</v>
      </c>
      <c r="AS553" s="42" t="str">
        <f t="shared" si="384"/>
        <v>-0,00063182297568343+0,144766177206564i</v>
      </c>
      <c r="AT553">
        <f t="shared" si="385"/>
        <v>-16.78657514942832</v>
      </c>
      <c r="AU553" s="44">
        <f t="shared" si="386"/>
        <v>90.250062278030029</v>
      </c>
      <c r="AV553" s="42" t="str">
        <f t="shared" si="363"/>
        <v>-0,000323848753188817-0,000192548771668107i</v>
      </c>
      <c r="AW553" s="20">
        <f t="shared" si="387"/>
        <v>-68.478552888899912</v>
      </c>
      <c r="AX553" s="44">
        <f t="shared" si="388"/>
        <v>-149.26581241419132</v>
      </c>
    </row>
    <row r="554" spans="14:50" x14ac:dyDescent="0.3">
      <c r="N554" s="8">
        <v>36</v>
      </c>
      <c r="O554" s="35">
        <f t="shared" si="353"/>
        <v>2290867.6527677765</v>
      </c>
      <c r="P554" s="34" t="str">
        <f t="shared" si="354"/>
        <v>324,571428571429</v>
      </c>
      <c r="Q554" s="4" t="str">
        <f t="shared" si="355"/>
        <v>1+329004,479464309i</v>
      </c>
      <c r="R554" s="4">
        <f t="shared" si="364"/>
        <v>329004.47946582874</v>
      </c>
      <c r="S554" s="4">
        <f t="shared" si="365"/>
        <v>1.5707932873226025</v>
      </c>
      <c r="T554" s="4" t="str">
        <f t="shared" si="356"/>
        <v>1+2,8787891953127i</v>
      </c>
      <c r="U554" s="4">
        <f t="shared" si="366"/>
        <v>3.047528052545069</v>
      </c>
      <c r="V554" s="4">
        <f t="shared" si="367"/>
        <v>1.2364679611394764</v>
      </c>
      <c r="W554" t="str">
        <f t="shared" si="357"/>
        <v>1-24,989489542645i</v>
      </c>
      <c r="X554" s="4">
        <f t="shared" si="368"/>
        <v>25.009489950855929</v>
      </c>
      <c r="Y554" s="4">
        <f t="shared" si="369"/>
        <v>-1.5308008427531778</v>
      </c>
      <c r="Z554" t="str">
        <f t="shared" si="358"/>
        <v>-19,9922984099911+21,4259883338638i</v>
      </c>
      <c r="AA554" s="4">
        <f t="shared" si="370"/>
        <v>29.304691975808247</v>
      </c>
      <c r="AB554" s="4">
        <f t="shared" si="371"/>
        <v>2.3215934036629138</v>
      </c>
      <c r="AC554" s="48" t="str">
        <f t="shared" si="372"/>
        <v>-0,00128750143629362+0,0022193922279781i</v>
      </c>
      <c r="AD554" s="20">
        <f t="shared" si="373"/>
        <v>-51.815522761857615</v>
      </c>
      <c r="AE554" s="44">
        <f t="shared" si="374"/>
        <v>120.11863848524911</v>
      </c>
      <c r="AF554" t="str">
        <f t="shared" si="359"/>
        <v>-20791,6666666667</v>
      </c>
      <c r="AG554" t="str">
        <f t="shared" si="375"/>
        <v>14393945,9765635i</v>
      </c>
      <c r="AH554">
        <f t="shared" si="376"/>
        <v>14393945.9765635</v>
      </c>
      <c r="AI554">
        <f t="shared" si="377"/>
        <v>1.5707963267948966</v>
      </c>
      <c r="AJ554" t="str">
        <f t="shared" si="360"/>
        <v>-3864802,8985316+16887,2509046783i</v>
      </c>
      <c r="AK554">
        <f t="shared" si="378"/>
        <v>3864839.7927652025</v>
      </c>
      <c r="AL554">
        <f t="shared" si="379"/>
        <v>3.1372231827847115</v>
      </c>
      <c r="AM554" t="str">
        <f t="shared" si="361"/>
        <v>1+23214,5560710016i</v>
      </c>
      <c r="AN554">
        <f t="shared" si="380"/>
        <v>23214.556092539809</v>
      </c>
      <c r="AO554">
        <f t="shared" si="381"/>
        <v>1.5707532503735202</v>
      </c>
      <c r="AP554" t="str">
        <f t="shared" si="362"/>
        <v>1+16305,4620022511i</v>
      </c>
      <c r="AQ554">
        <f t="shared" si="382"/>
        <v>16305.462032915671</v>
      </c>
      <c r="AR554">
        <f t="shared" si="383"/>
        <v>1.570734997652637</v>
      </c>
      <c r="AS554" s="42" t="str">
        <f t="shared" si="384"/>
        <v>-0,000603386785555246+0,141471019246107i</v>
      </c>
      <c r="AT554">
        <f t="shared" si="385"/>
        <v>-16.986571348777325</v>
      </c>
      <c r="AU554" s="44">
        <f t="shared" si="386"/>
        <v>90.244370237682759</v>
      </c>
      <c r="AV554" s="42" t="str">
        <f t="shared" si="363"/>
        <v>-0,000313202819245907-0,000183483292415611i</v>
      </c>
      <c r="AW554" s="20">
        <f t="shared" si="387"/>
        <v>-68.80209411063494</v>
      </c>
      <c r="AX554" s="44">
        <f t="shared" si="388"/>
        <v>-149.63699127706812</v>
      </c>
    </row>
    <row r="555" spans="14:50" x14ac:dyDescent="0.3">
      <c r="N555" s="8">
        <v>37</v>
      </c>
      <c r="O555" s="35">
        <f t="shared" si="353"/>
        <v>2344228.8153199251</v>
      </c>
      <c r="P555" s="34" t="str">
        <f t="shared" si="354"/>
        <v>324,571428571429</v>
      </c>
      <c r="Q555" s="4" t="str">
        <f t="shared" si="355"/>
        <v>1+336667,978264805i</v>
      </c>
      <c r="R555" s="4">
        <f t="shared" si="364"/>
        <v>336667.9782662901</v>
      </c>
      <c r="S555" s="4">
        <f t="shared" si="365"/>
        <v>1.5707933565094387</v>
      </c>
      <c r="T555" s="4" t="str">
        <f t="shared" si="356"/>
        <v>1+2,94584480981704i</v>
      </c>
      <c r="U555" s="4">
        <f t="shared" si="366"/>
        <v>3.1109486725958684</v>
      </c>
      <c r="V555" s="4">
        <f t="shared" si="367"/>
        <v>1.2435408724121892</v>
      </c>
      <c r="W555" t="str">
        <f t="shared" si="357"/>
        <v>1-25,5715695296618i</v>
      </c>
      <c r="X555" s="4">
        <f t="shared" si="368"/>
        <v>25.5911150247567</v>
      </c>
      <c r="Y555" s="4">
        <f t="shared" si="369"/>
        <v>-1.5317103133942043</v>
      </c>
      <c r="Z555" t="str">
        <f t="shared" si="358"/>
        <v>-20,9816349543052+21,925063714732i</v>
      </c>
      <c r="AA555" s="4">
        <f t="shared" si="370"/>
        <v>30.346950822953854</v>
      </c>
      <c r="AB555" s="4">
        <f t="shared" si="371"/>
        <v>2.3342101195819422</v>
      </c>
      <c r="AC555" s="48" t="str">
        <f t="shared" si="372"/>
        <v>-0,00125496594472331+0,00219583382565668i</v>
      </c>
      <c r="AD555" s="20">
        <f t="shared" si="373"/>
        <v>-51.94049060542806</v>
      </c>
      <c r="AE555" s="44">
        <f t="shared" si="374"/>
        <v>119.74888908313457</v>
      </c>
      <c r="AF555" t="str">
        <f t="shared" si="359"/>
        <v>-20791,6666666667</v>
      </c>
      <c r="AG555" t="str">
        <f t="shared" si="375"/>
        <v>14729224,0490852i</v>
      </c>
      <c r="AH555">
        <f t="shared" si="376"/>
        <v>14729224.0490852</v>
      </c>
      <c r="AI555">
        <f t="shared" si="377"/>
        <v>1.5707963267948966</v>
      </c>
      <c r="AJ555" t="str">
        <f t="shared" si="360"/>
        <v>-4046945,49477086+17280,6055096441i</v>
      </c>
      <c r="AK555">
        <f t="shared" si="378"/>
        <v>4046982.3890119581</v>
      </c>
      <c r="AL555">
        <f t="shared" si="379"/>
        <v>3.1373226429098531</v>
      </c>
      <c r="AM555" t="str">
        <f t="shared" si="361"/>
        <v>1+23755,2925463646i</v>
      </c>
      <c r="AN555">
        <f t="shared" si="380"/>
        <v>23755.29256741254</v>
      </c>
      <c r="AO555">
        <f t="shared" si="381"/>
        <v>1.5707542309125808</v>
      </c>
      <c r="AP555" t="str">
        <f t="shared" si="362"/>
        <v>1+16685,2650028037i</v>
      </c>
      <c r="AQ555">
        <f t="shared" si="382"/>
        <v>16685.265032770258</v>
      </c>
      <c r="AR555">
        <f t="shared" si="383"/>
        <v>1.5707363936743477</v>
      </c>
      <c r="AS555" s="42" t="str">
        <f t="shared" si="384"/>
        <v>-0,00057623038834193+0,138250860059107i</v>
      </c>
      <c r="AT555">
        <f t="shared" si="385"/>
        <v>-17.186567719180623</v>
      </c>
      <c r="AU555" s="44">
        <f t="shared" si="386"/>
        <v>90.238807759184283</v>
      </c>
      <c r="AV555" s="42" t="str">
        <f t="shared" si="363"/>
        <v>-0,000302852765430231-0,00017476542738098i</v>
      </c>
      <c r="AW555" s="20">
        <f t="shared" si="387"/>
        <v>-69.127058324608697</v>
      </c>
      <c r="AX555" s="44">
        <f t="shared" si="388"/>
        <v>-150.01230315768109</v>
      </c>
    </row>
    <row r="556" spans="14:50" x14ac:dyDescent="0.3">
      <c r="N556" s="8">
        <v>38</v>
      </c>
      <c r="O556" s="35">
        <f t="shared" si="353"/>
        <v>2398832.9190194933</v>
      </c>
      <c r="P556" s="34" t="str">
        <f t="shared" si="354"/>
        <v>324,571428571429</v>
      </c>
      <c r="Q556" s="4" t="str">
        <f t="shared" si="355"/>
        <v>1+344509,982883703i</v>
      </c>
      <c r="R556" s="4">
        <f t="shared" si="364"/>
        <v>344509.98288515431</v>
      </c>
      <c r="S556" s="4">
        <f t="shared" si="365"/>
        <v>1.5707934241213903</v>
      </c>
      <c r="T556" s="4" t="str">
        <f t="shared" si="356"/>
        <v>1+3,0144623502324i</v>
      </c>
      <c r="U556" s="4">
        <f t="shared" si="366"/>
        <v>3.1760011430993917</v>
      </c>
      <c r="V556" s="4">
        <f t="shared" si="367"/>
        <v>1.2504857587458091</v>
      </c>
      <c r="W556" t="str">
        <f t="shared" si="357"/>
        <v>1-26,1672079013229i</v>
      </c>
      <c r="X556" s="4">
        <f t="shared" si="368"/>
        <v>26.186308814933341</v>
      </c>
      <c r="Y556" s="4">
        <f t="shared" si="369"/>
        <v>-1.5325991444712099</v>
      </c>
      <c r="Z556" t="str">
        <f t="shared" si="358"/>
        <v>-22,0175974934864+22,4357640545942i</v>
      </c>
      <c r="AA556" s="4">
        <f t="shared" si="370"/>
        <v>31.434664116204576</v>
      </c>
      <c r="AB556" s="4">
        <f t="shared" si="371"/>
        <v>2.3467879073644693</v>
      </c>
      <c r="AC556" s="48" t="str">
        <f t="shared" si="372"/>
        <v>-0,00122269291059428+0,00217212659110366i</v>
      </c>
      <c r="AD556" s="20">
        <f t="shared" si="373"/>
        <v>-52.066908258435227</v>
      </c>
      <c r="AE556" s="44">
        <f t="shared" si="374"/>
        <v>119.37521746040699</v>
      </c>
      <c r="AF556" t="str">
        <f t="shared" si="359"/>
        <v>-20791,6666666667</v>
      </c>
      <c r="AG556" t="str">
        <f t="shared" si="375"/>
        <v>15072311,751162i</v>
      </c>
      <c r="AH556">
        <f t="shared" si="376"/>
        <v>15072311.751162</v>
      </c>
      <c r="AI556">
        <f t="shared" si="377"/>
        <v>1.5707963267948966</v>
      </c>
      <c r="AJ556" t="str">
        <f t="shared" si="360"/>
        <v>-4237672,20710906+17683,122520387i</v>
      </c>
      <c r="AK556">
        <f t="shared" si="378"/>
        <v>4237709.1013573185</v>
      </c>
      <c r="AL556">
        <f t="shared" si="379"/>
        <v>3.1374198391244561</v>
      </c>
      <c r="AM556" t="str">
        <f t="shared" si="361"/>
        <v>1+24308,6243922741i</v>
      </c>
      <c r="AN556">
        <f t="shared" si="380"/>
        <v>24308.624412842932</v>
      </c>
      <c r="AO556">
        <f t="shared" si="381"/>
        <v>1.5707551891318476</v>
      </c>
      <c r="AP556" t="str">
        <f t="shared" si="362"/>
        <v>1+17073,9147517163i</v>
      </c>
      <c r="AQ556">
        <f t="shared" si="382"/>
        <v>17073.914781000738</v>
      </c>
      <c r="AR556">
        <f t="shared" si="383"/>
        <v>1.5707377579187252</v>
      </c>
      <c r="AS556" s="42" t="str">
        <f t="shared" si="384"/>
        <v>-0,000550296187962373+0,135103993010954i</v>
      </c>
      <c r="AT556">
        <f t="shared" si="385"/>
        <v>-17.386564252939799</v>
      </c>
      <c r="AU556" s="44">
        <f t="shared" si="386"/>
        <v>90.233371893667751</v>
      </c>
      <c r="AV556" s="42" t="str">
        <f t="shared" si="363"/>
        <v>-0,000292790132535628-0,000166386007430329i</v>
      </c>
      <c r="AW556" s="20">
        <f t="shared" si="387"/>
        <v>-69.453472511375011</v>
      </c>
      <c r="AX556" s="44">
        <f t="shared" si="388"/>
        <v>-150.39141064592525</v>
      </c>
    </row>
    <row r="557" spans="14:50" x14ac:dyDescent="0.3">
      <c r="N557" s="8">
        <v>39</v>
      </c>
      <c r="O557" s="35">
        <f t="shared" si="353"/>
        <v>2454708.915685033</v>
      </c>
      <c r="P557" s="34" t="str">
        <f t="shared" si="354"/>
        <v>324,571428571429</v>
      </c>
      <c r="Q557" s="4" t="str">
        <f t="shared" si="355"/>
        <v>1+352534,651255655i</v>
      </c>
      <c r="R557" s="4">
        <f t="shared" si="364"/>
        <v>352534.65125707322</v>
      </c>
      <c r="S557" s="4">
        <f t="shared" si="365"/>
        <v>1.5707934901943059</v>
      </c>
      <c r="T557" s="4" t="str">
        <f t="shared" si="356"/>
        <v>1+3,08467819848698i</v>
      </c>
      <c r="U557" s="4">
        <f t="shared" si="366"/>
        <v>3.2427210160944897</v>
      </c>
      <c r="V557" s="4">
        <f t="shared" si="367"/>
        <v>1.2573036218228733</v>
      </c>
      <c r="W557" t="str">
        <f t="shared" si="357"/>
        <v>1-26,7767204729773i</v>
      </c>
      <c r="X557" s="4">
        <f t="shared" si="368"/>
        <v>26.795386903121248</v>
      </c>
      <c r="Y557" s="4">
        <f t="shared" si="369"/>
        <v>-1.5334678016334331</v>
      </c>
      <c r="Z557" t="str">
        <f t="shared" si="358"/>
        <v>-23,1023834429743+22,9583601335307i</v>
      </c>
      <c r="AA557" s="4">
        <f t="shared" si="370"/>
        <v>32.57002334612465</v>
      </c>
      <c r="AB557" s="4">
        <f t="shared" si="371"/>
        <v>2.3593212925166984</v>
      </c>
      <c r="AC557" s="48" t="str">
        <f t="shared" si="372"/>
        <v>-0,00119070304988785+0,00214826484089306i</v>
      </c>
      <c r="AD557" s="20">
        <f t="shared" si="373"/>
        <v>-52.194799506612917</v>
      </c>
      <c r="AE557" s="44">
        <f t="shared" si="374"/>
        <v>118.99796799284775</v>
      </c>
      <c r="AF557" t="str">
        <f t="shared" si="359"/>
        <v>-20791,6666666667</v>
      </c>
      <c r="AG557" t="str">
        <f t="shared" si="375"/>
        <v>15423390,9924349i</v>
      </c>
      <c r="AH557">
        <f t="shared" si="376"/>
        <v>15423390.9924349</v>
      </c>
      <c r="AI557">
        <f t="shared" si="377"/>
        <v>1.5707963267948966</v>
      </c>
      <c r="AJ557" t="str">
        <f t="shared" si="360"/>
        <v>-4437387,59247429+18095,015356754i</v>
      </c>
      <c r="AK557">
        <f t="shared" si="378"/>
        <v>4437424.4867293835</v>
      </c>
      <c r="AL557">
        <f t="shared" si="379"/>
        <v>3.1375148229561889</v>
      </c>
      <c r="AM557" t="str">
        <f t="shared" si="361"/>
        <v>1+24874,844992599i</v>
      </c>
      <c r="AN557">
        <f t="shared" si="380"/>
        <v>24874.845012699629</v>
      </c>
      <c r="AO557">
        <f t="shared" si="381"/>
        <v>1.5707561255393809</v>
      </c>
      <c r="AP557" t="str">
        <f t="shared" si="362"/>
        <v>1+17471,6173162303i</v>
      </c>
      <c r="AQ557">
        <f t="shared" si="382"/>
        <v>17471.617344848139</v>
      </c>
      <c r="AR557">
        <f t="shared" si="383"/>
        <v>1.5707390911091093</v>
      </c>
      <c r="AS557" s="42" t="str">
        <f t="shared" si="384"/>
        <v>-0,000525529180226396+0,132028750278351i</v>
      </c>
      <c r="AT557">
        <f t="shared" si="385"/>
        <v>-17.586560942702878</v>
      </c>
      <c r="AU557" s="44">
        <f t="shared" si="386"/>
        <v>90.22805975936933</v>
      </c>
      <c r="AV557" s="42" t="str">
        <f t="shared" si="363"/>
        <v>-0,000283006973012331-0,000158336011490058i</v>
      </c>
      <c r="AW557" s="20">
        <f t="shared" si="387"/>
        <v>-69.781360449315784</v>
      </c>
      <c r="AX557" s="44">
        <f t="shared" si="388"/>
        <v>-150.77397224778289</v>
      </c>
    </row>
    <row r="558" spans="14:50" x14ac:dyDescent="0.3">
      <c r="N558" s="8">
        <v>40</v>
      </c>
      <c r="O558" s="35">
        <f t="shared" si="353"/>
        <v>2511886.431509587</v>
      </c>
      <c r="P558" s="34" t="str">
        <f t="shared" si="354"/>
        <v>324,571428571429</v>
      </c>
      <c r="Q558" s="4" t="str">
        <f t="shared" si="355"/>
        <v>1+360746,238166053i</v>
      </c>
      <c r="R558" s="4">
        <f t="shared" si="364"/>
        <v>360746.23816743901</v>
      </c>
      <c r="S558" s="4">
        <f t="shared" si="365"/>
        <v>1.5707935547632184</v>
      </c>
      <c r="T558" s="4" t="str">
        <f t="shared" si="356"/>
        <v>1+3,15652958395296i</v>
      </c>
      <c r="U558" s="4">
        <f t="shared" si="366"/>
        <v>3.311144668293768</v>
      </c>
      <c r="V558" s="4">
        <f t="shared" si="367"/>
        <v>1.2639955403658796</v>
      </c>
      <c r="W558" t="str">
        <f t="shared" si="357"/>
        <v>1-27,4004304162583i</v>
      </c>
      <c r="X558" s="4">
        <f t="shared" si="368"/>
        <v>27.418672232553732</v>
      </c>
      <c r="Y558" s="4">
        <f t="shared" si="369"/>
        <v>-1.5343167402077378</v>
      </c>
      <c r="Z558" t="str">
        <f t="shared" si="358"/>
        <v>-24,2382937792079+23,4931290388999i</v>
      </c>
      <c r="AA558" s="4">
        <f t="shared" si="370"/>
        <v>33.755325466740658</v>
      </c>
      <c r="AB558" s="4">
        <f t="shared" si="371"/>
        <v>2.3718048400904608</v>
      </c>
      <c r="AC558" s="48" t="str">
        <f t="shared" si="372"/>
        <v>-0,00115901705876423+0,0021242447293655i</v>
      </c>
      <c r="AD558" s="20">
        <f t="shared" si="373"/>
        <v>-52.32418495462332</v>
      </c>
      <c r="AE558" s="44">
        <f t="shared" si="374"/>
        <v>118.61748779598038</v>
      </c>
      <c r="AF558" t="str">
        <f t="shared" si="359"/>
        <v>-20791,6666666667</v>
      </c>
      <c r="AG558" t="str">
        <f t="shared" si="375"/>
        <v>15782647,9197648i</v>
      </c>
      <c r="AH558">
        <f t="shared" si="376"/>
        <v>15782647.9197648</v>
      </c>
      <c r="AI558">
        <f t="shared" si="377"/>
        <v>1.5707963267948966</v>
      </c>
      <c r="AJ558" t="str">
        <f t="shared" si="360"/>
        <v>-4646515,27397526+18516,5024097791i</v>
      </c>
      <c r="AK558">
        <f t="shared" si="378"/>
        <v>4646552.1682368815</v>
      </c>
      <c r="AL558">
        <f t="shared" si="379"/>
        <v>3.1376076447601564</v>
      </c>
      <c r="AM558" t="str">
        <f t="shared" si="361"/>
        <v>1+25454,2545649967i</v>
      </c>
      <c r="AN558">
        <f t="shared" si="380"/>
        <v>25454.254584639777</v>
      </c>
      <c r="AO558">
        <f t="shared" si="381"/>
        <v>1.5707570406316766</v>
      </c>
      <c r="AP558" t="str">
        <f t="shared" si="362"/>
        <v>1+17878,5835635096i</v>
      </c>
      <c r="AQ558">
        <f t="shared" si="382"/>
        <v>17878.583591476021</v>
      </c>
      <c r="AR558">
        <f t="shared" si="383"/>
        <v>1.5707403939523756</v>
      </c>
      <c r="AS558" s="42" t="str">
        <f t="shared" si="384"/>
        <v>-0,000501876836212115+0,12902350196829i</v>
      </c>
      <c r="AT558">
        <f t="shared" si="385"/>
        <v>-17.786557781448867</v>
      </c>
      <c r="AU558" s="44">
        <f t="shared" si="386"/>
        <v>90.222868540102141</v>
      </c>
      <c r="AV558" s="42" t="str">
        <f t="shared" si="363"/>
        <v>-0,000273495810205851-0,000150606548986863i</v>
      </c>
      <c r="AW558" s="20">
        <f t="shared" si="387"/>
        <v>-70.110742736072169</v>
      </c>
      <c r="AX558" s="44">
        <f t="shared" si="388"/>
        <v>-151.15964366391739</v>
      </c>
    </row>
    <row r="559" spans="14:50" x14ac:dyDescent="0.3">
      <c r="N559" s="8">
        <v>41</v>
      </c>
      <c r="O559" s="35">
        <f t="shared" si="353"/>
        <v>2570395.782768866</v>
      </c>
      <c r="P559" s="34" t="str">
        <f t="shared" si="354"/>
        <v>324,571428571429</v>
      </c>
      <c r="Q559" s="4" t="str">
        <f t="shared" si="355"/>
        <v>1+369149,097506965i</v>
      </c>
      <c r="R559" s="4">
        <f t="shared" si="364"/>
        <v>369149.09750831942</v>
      </c>
      <c r="S559" s="4">
        <f t="shared" si="365"/>
        <v>1.5707936178623629</v>
      </c>
      <c r="T559" s="4" t="str">
        <f t="shared" si="356"/>
        <v>1+3,23005460318594i</v>
      </c>
      <c r="U559" s="4">
        <f t="shared" si="366"/>
        <v>3.3813093232596572</v>
      </c>
      <c r="V559" s="4">
        <f t="shared" si="367"/>
        <v>1.2705626642706074</v>
      </c>
      <c r="W559" t="str">
        <f t="shared" si="357"/>
        <v>1-28,0386684304335i</v>
      </c>
      <c r="X559" s="4">
        <f t="shared" si="368"/>
        <v>28.056495279200288</v>
      </c>
      <c r="Y559" s="4">
        <f t="shared" si="369"/>
        <v>-1.5351464054151811</v>
      </c>
      <c r="Z559" t="str">
        <f t="shared" si="358"/>
        <v>-25,4277379203039+24,0403543122537i</v>
      </c>
      <c r="AA559" s="4">
        <f t="shared" si="370"/>
        <v>34.992977741289124</v>
      </c>
      <c r="AB559" s="4">
        <f t="shared" si="371"/>
        <v>2.3842331703675499</v>
      </c>
      <c r="AC559" s="48" t="str">
        <f t="shared" si="372"/>
        <v>-0,00112765547798036+0,00210006420815315i</v>
      </c>
      <c r="AD559" s="20">
        <f t="shared" si="373"/>
        <v>-52.455082060051062</v>
      </c>
      <c r="AE559" s="44">
        <f t="shared" si="374"/>
        <v>118.23412547787885</v>
      </c>
      <c r="AF559" t="str">
        <f t="shared" si="359"/>
        <v>-20791,6666666667</v>
      </c>
      <c r="AG559" t="str">
        <f t="shared" si="375"/>
        <v>16150273,0159297i</v>
      </c>
      <c r="AH559">
        <f t="shared" si="376"/>
        <v>16150273.015929701</v>
      </c>
      <c r="AI559">
        <f t="shared" si="377"/>
        <v>1.5707963267948966</v>
      </c>
      <c r="AJ559" t="str">
        <f t="shared" si="360"/>
        <v>-4865498,83946256+18947,8071574766i</v>
      </c>
      <c r="AK559">
        <f t="shared" si="378"/>
        <v>4865535.7337304177</v>
      </c>
      <c r="AL559">
        <f t="shared" si="379"/>
        <v>3.137698353745566</v>
      </c>
      <c r="AM559" t="str">
        <f t="shared" si="361"/>
        <v>1+26047,1603200914i</v>
      </c>
      <c r="AN559">
        <f t="shared" si="380"/>
        <v>26047.160339287348</v>
      </c>
      <c r="AO559">
        <f t="shared" si="381"/>
        <v>1.5707579348939285</v>
      </c>
      <c r="AP559" t="str">
        <f t="shared" si="362"/>
        <v>1+18295,0292724452i</v>
      </c>
      <c r="AQ559">
        <f t="shared" si="382"/>
        <v>18295.029299775026</v>
      </c>
      <c r="AR559">
        <f t="shared" si="383"/>
        <v>1.5707416671393086</v>
      </c>
      <c r="AS559" s="42" t="str">
        <f t="shared" si="384"/>
        <v>-0,000479288990889382+0,126086655256926i</v>
      </c>
      <c r="AT559">
        <f t="shared" si="385"/>
        <v>-17.986554762472622</v>
      </c>
      <c r="AU559" s="44">
        <f t="shared" si="386"/>
        <v>90.217795483764874</v>
      </c>
      <c r="AV559" s="42" t="str">
        <f t="shared" si="363"/>
        <v>-0,000264249598974703-0,000143188845155822i</v>
      </c>
      <c r="AW559" s="20">
        <f t="shared" si="387"/>
        <v>-70.441636822523705</v>
      </c>
      <c r="AX559" s="44">
        <f t="shared" si="388"/>
        <v>-151.54807903835629</v>
      </c>
    </row>
    <row r="560" spans="14:50" ht="15" thickBot="1" x14ac:dyDescent="0.35">
      <c r="N560" s="8">
        <v>42</v>
      </c>
      <c r="O560" s="35">
        <f t="shared" si="353"/>
        <v>2630267.9918953842</v>
      </c>
      <c r="P560" s="34" t="str">
        <f t="shared" si="354"/>
        <v>324,571428571429</v>
      </c>
      <c r="Q560" s="4" t="str">
        <f t="shared" si="355"/>
        <v>1+377747,684585641i</v>
      </c>
      <c r="R560" s="4">
        <f t="shared" si="364"/>
        <v>377747.68458696461</v>
      </c>
      <c r="S560" s="4">
        <f t="shared" si="365"/>
        <v>1.5707936795251958</v>
      </c>
      <c r="T560" s="4" t="str">
        <f t="shared" si="356"/>
        <v>1+3,30529224012436i</v>
      </c>
      <c r="U560" s="4">
        <f t="shared" si="366"/>
        <v>3.4532530739327965</v>
      </c>
      <c r="V560" s="4">
        <f t="shared" si="367"/>
        <v>1.2770062089313754</v>
      </c>
      <c r="W560" t="str">
        <f t="shared" si="357"/>
        <v>1-28,6917729177462i</v>
      </c>
      <c r="X560" s="4">
        <f t="shared" si="368"/>
        <v>28.709194226998331</v>
      </c>
      <c r="Y560" s="4">
        <f t="shared" si="369"/>
        <v>-1.535957232583866</v>
      </c>
      <c r="Z560" t="str">
        <f t="shared" si="358"/>
        <v>-26,6732388367575+24,6003260996756i</v>
      </c>
      <c r="AA560" s="4">
        <f t="shared" si="370"/>
        <v>36.285502811082679</v>
      </c>
      <c r="AB560" s="4">
        <f t="shared" si="371"/>
        <v>2.3966009741129577</v>
      </c>
      <c r="AC560" s="43" t="str">
        <f t="shared" si="372"/>
        <v>-0,00109663856263361+0,00207572297550189i</v>
      </c>
      <c r="AD560" s="47">
        <f t="shared" si="373"/>
        <v>-52.587505179408268</v>
      </c>
      <c r="AE560" s="46">
        <f t="shared" si="374"/>
        <v>117.8482299278869</v>
      </c>
      <c r="AF560" t="str">
        <f t="shared" si="359"/>
        <v>-20791,6666666667</v>
      </c>
      <c r="AG560" t="str">
        <f t="shared" si="375"/>
        <v>16526461,2006218i</v>
      </c>
      <c r="AH560">
        <f t="shared" si="376"/>
        <v>16526461.2006218</v>
      </c>
      <c r="AI560">
        <f t="shared" si="377"/>
        <v>1.5707963267948966</v>
      </c>
      <c r="AJ560" t="str">
        <f t="shared" si="360"/>
        <v>-5094802,78243831+19389,1582833329i</v>
      </c>
      <c r="AK560">
        <f t="shared" si="378"/>
        <v>5094839.6767121218</v>
      </c>
      <c r="AL560">
        <f t="shared" si="379"/>
        <v>3.1377869980017907</v>
      </c>
      <c r="AM560" t="str">
        <f t="shared" si="361"/>
        <v>1+26653,8766243628i</v>
      </c>
      <c r="AN560">
        <f t="shared" si="380"/>
        <v>26653.876643121799</v>
      </c>
      <c r="AO560">
        <f t="shared" si="381"/>
        <v>1.5707588088002866</v>
      </c>
      <c r="AP560" t="str">
        <f t="shared" si="362"/>
        <v>1+18721,1752480644i</v>
      </c>
      <c r="AQ560">
        <f t="shared" si="382"/>
        <v>18721.175274772122</v>
      </c>
      <c r="AR560">
        <f t="shared" si="383"/>
        <v>1.5707429113449689</v>
      </c>
      <c r="AS560" s="42" t="str">
        <f t="shared" si="384"/>
        <v>-0,000457717736753435+0,123216653547897i</v>
      </c>
      <c r="AT560" s="40">
        <f t="shared" si="385"/>
        <v>-18.186551879370693</v>
      </c>
      <c r="AU560" s="46">
        <f t="shared" si="386"/>
        <v>90.21283790088431</v>
      </c>
      <c r="AV560" s="45" t="str">
        <f t="shared" si="363"/>
        <v>-0,000255261687812901-0,000136074229061763i</v>
      </c>
      <c r="AW560" s="47">
        <f t="shared" si="387"/>
        <v>-70.774057058778965</v>
      </c>
      <c r="AX560" s="46">
        <f t="shared" si="388"/>
        <v>-151.9389321712288</v>
      </c>
    </row>
    <row r="561" spans="14:30" x14ac:dyDescent="0.3">
      <c r="N561" s="8"/>
      <c r="P561" s="34"/>
      <c r="Q561" s="4"/>
      <c r="R561" s="4"/>
      <c r="S561" s="4"/>
      <c r="T561" s="4"/>
      <c r="U561" s="4"/>
      <c r="V561" s="4"/>
      <c r="X561" s="4"/>
      <c r="Y561" s="4"/>
      <c r="AA561" s="4"/>
      <c r="AB561" s="4"/>
      <c r="AC561" s="4"/>
      <c r="AD561" s="20"/>
    </row>
    <row r="562" spans="14:30" x14ac:dyDescent="0.3">
      <c r="N562" s="8"/>
      <c r="P562" s="34"/>
      <c r="Q562" s="4"/>
      <c r="R562" s="4"/>
      <c r="S562" s="4"/>
      <c r="T562" s="4"/>
      <c r="U562" s="4"/>
      <c r="V562" s="4"/>
      <c r="X562" s="4"/>
      <c r="Y562" s="4"/>
      <c r="AA562" s="4"/>
      <c r="AB562" s="4"/>
      <c r="AC562" s="4"/>
      <c r="AD562" s="20"/>
    </row>
    <row r="563" spans="14:30" x14ac:dyDescent="0.3">
      <c r="N563" s="8"/>
      <c r="P563" s="34"/>
      <c r="Q563" s="4"/>
      <c r="R563" s="4"/>
      <c r="S563" s="4"/>
      <c r="T563" s="4"/>
      <c r="U563" s="4"/>
      <c r="V563" s="4"/>
      <c r="X563" s="4"/>
      <c r="Y563" s="4"/>
      <c r="AA563" s="4"/>
      <c r="AB563" s="4"/>
      <c r="AC563" s="4"/>
      <c r="AD563" s="20"/>
    </row>
    <row r="564" spans="14:30" x14ac:dyDescent="0.3">
      <c r="N564" s="8"/>
      <c r="P564" s="34"/>
      <c r="Q564" s="4"/>
      <c r="R564" s="4"/>
      <c r="S564" s="4"/>
      <c r="T564" s="4"/>
      <c r="U564" s="4"/>
      <c r="V564" s="4"/>
      <c r="X564" s="4"/>
      <c r="Y564" s="4"/>
      <c r="AA564" s="4"/>
      <c r="AB564" s="4"/>
      <c r="AC564" s="4"/>
      <c r="AD564" s="20"/>
    </row>
    <row r="565" spans="14:30" x14ac:dyDescent="0.3">
      <c r="N565" s="8"/>
      <c r="P565" s="34"/>
      <c r="Q565" s="4"/>
      <c r="R565" s="4"/>
      <c r="S565" s="4"/>
      <c r="T565" s="4"/>
      <c r="U565" s="4"/>
      <c r="V565" s="4"/>
      <c r="X565" s="4"/>
      <c r="Y565" s="4"/>
      <c r="AA565" s="4"/>
      <c r="AB565" s="4"/>
      <c r="AC565" s="4"/>
      <c r="AD565" s="20"/>
    </row>
    <row r="566" spans="14:30" x14ac:dyDescent="0.3">
      <c r="N566" s="8"/>
      <c r="P566" s="34"/>
      <c r="Q566" s="4"/>
      <c r="R566" s="4"/>
      <c r="S566" s="4"/>
      <c r="T566" s="4"/>
      <c r="U566" s="4"/>
      <c r="V566" s="4"/>
      <c r="X566" s="4"/>
      <c r="Y566" s="4"/>
      <c r="AA566" s="4"/>
      <c r="AB566" s="4"/>
      <c r="AC566" s="4"/>
      <c r="AD566" s="20"/>
    </row>
    <row r="567" spans="14:30" x14ac:dyDescent="0.3">
      <c r="N567" s="8"/>
      <c r="P567" s="34"/>
      <c r="Q567" s="4"/>
      <c r="R567" s="4"/>
      <c r="S567" s="4"/>
      <c r="T567" s="4"/>
      <c r="U567" s="4"/>
      <c r="V567" s="4"/>
      <c r="X567" s="4"/>
      <c r="Y567" s="4"/>
      <c r="AA567" s="4"/>
      <c r="AB567" s="4"/>
      <c r="AC567" s="4"/>
      <c r="AD567" s="20"/>
    </row>
    <row r="568" spans="14:30" x14ac:dyDescent="0.3">
      <c r="N568" s="8"/>
      <c r="P568" s="34"/>
      <c r="Q568" s="4"/>
      <c r="R568" s="4"/>
      <c r="S568" s="4"/>
      <c r="T568" s="4"/>
      <c r="U568" s="4"/>
      <c r="V568" s="4"/>
      <c r="X568" s="4"/>
      <c r="Y568" s="4"/>
      <c r="AA568" s="4"/>
      <c r="AB568" s="4"/>
      <c r="AC568" s="4"/>
      <c r="AD568" s="20"/>
    </row>
    <row r="569" spans="14:30" x14ac:dyDescent="0.3">
      <c r="N569" s="8"/>
      <c r="P569" s="34"/>
      <c r="Q569" s="4"/>
      <c r="R569" s="4"/>
      <c r="S569" s="4"/>
      <c r="T569" s="4"/>
      <c r="U569" s="4"/>
      <c r="V569" s="4"/>
      <c r="X569" s="4"/>
      <c r="Y569" s="4"/>
      <c r="AA569" s="4"/>
      <c r="AB569" s="4"/>
      <c r="AC569" s="4"/>
      <c r="AD569" s="20"/>
    </row>
    <row r="570" spans="14:30" x14ac:dyDescent="0.3">
      <c r="N570" s="8"/>
      <c r="P570" s="34"/>
      <c r="Q570" s="4"/>
      <c r="R570" s="4"/>
      <c r="S570" s="4"/>
      <c r="T570" s="4"/>
      <c r="U570" s="4"/>
      <c r="V570" s="4"/>
      <c r="X570" s="4"/>
      <c r="Y570" s="4"/>
      <c r="AA570" s="4"/>
      <c r="AB570" s="4"/>
      <c r="AC570" s="4"/>
      <c r="AD570" s="20"/>
    </row>
    <row r="571" spans="14:30" x14ac:dyDescent="0.3">
      <c r="N571" s="8"/>
      <c r="P571" s="34"/>
      <c r="Q571" s="4"/>
      <c r="R571" s="4"/>
      <c r="S571" s="4"/>
      <c r="T571" s="4"/>
      <c r="U571" s="4"/>
      <c r="V571" s="4"/>
      <c r="X571" s="4"/>
      <c r="Y571" s="4"/>
      <c r="AA571" s="4"/>
      <c r="AB571" s="4"/>
      <c r="AC571" s="4"/>
      <c r="AD571" s="20"/>
    </row>
    <row r="572" spans="14:30" x14ac:dyDescent="0.3">
      <c r="N572" s="8"/>
      <c r="P572" s="34"/>
      <c r="Q572" s="4"/>
      <c r="R572" s="4"/>
      <c r="S572" s="4"/>
      <c r="T572" s="4"/>
      <c r="U572" s="4"/>
      <c r="V572" s="4"/>
      <c r="X572" s="4"/>
      <c r="Y572" s="4"/>
      <c r="AA572" s="4"/>
      <c r="AB572" s="4"/>
      <c r="AC572" s="4"/>
      <c r="AD572" s="20"/>
    </row>
    <row r="573" spans="14:30" x14ac:dyDescent="0.3">
      <c r="N573" s="8"/>
      <c r="P573" s="34"/>
      <c r="Q573" s="4"/>
      <c r="R573" s="4"/>
      <c r="S573" s="4"/>
      <c r="T573" s="4"/>
      <c r="U573" s="4"/>
      <c r="V573" s="4"/>
      <c r="X573" s="4"/>
      <c r="Y573" s="4"/>
      <c r="AA573" s="4"/>
      <c r="AB573" s="4"/>
      <c r="AC573" s="4"/>
      <c r="AD573" s="20"/>
    </row>
    <row r="574" spans="14:30" x14ac:dyDescent="0.3">
      <c r="N574" s="8"/>
      <c r="P574" s="34"/>
      <c r="Q574" s="4"/>
      <c r="R574" s="4"/>
      <c r="S574" s="4"/>
      <c r="T574" s="4"/>
      <c r="U574" s="4"/>
      <c r="V574" s="4"/>
      <c r="X574" s="4"/>
      <c r="Y574" s="4"/>
      <c r="AA574" s="4"/>
      <c r="AB574" s="4"/>
      <c r="AC574" s="4"/>
      <c r="AD574" s="20"/>
    </row>
    <row r="575" spans="14:30" x14ac:dyDescent="0.3">
      <c r="N575" s="8"/>
      <c r="P575" s="34"/>
      <c r="Q575" s="4"/>
      <c r="R575" s="4"/>
      <c r="S575" s="4"/>
      <c r="T575" s="4"/>
      <c r="U575" s="4"/>
      <c r="V575" s="4"/>
      <c r="X575" s="4"/>
      <c r="Y575" s="4"/>
      <c r="AA575" s="4"/>
      <c r="AB575" s="4"/>
      <c r="AC575" s="4"/>
      <c r="AD575" s="20"/>
    </row>
    <row r="576" spans="14:30" x14ac:dyDescent="0.3">
      <c r="N576" s="8"/>
      <c r="P576" s="34"/>
      <c r="Q576" s="4"/>
      <c r="R576" s="4"/>
      <c r="S576" s="4"/>
      <c r="T576" s="4"/>
      <c r="U576" s="4"/>
      <c r="V576" s="4"/>
      <c r="X576" s="4"/>
      <c r="Y576" s="4"/>
      <c r="AA576" s="4"/>
      <c r="AB576" s="4"/>
      <c r="AC576" s="4"/>
      <c r="AD576" s="20"/>
    </row>
    <row r="577" spans="14:30" x14ac:dyDescent="0.3">
      <c r="N577" s="8"/>
      <c r="P577" s="34"/>
      <c r="Q577" s="4"/>
      <c r="R577" s="4"/>
      <c r="S577" s="4"/>
      <c r="T577" s="4"/>
      <c r="U577" s="4"/>
      <c r="V577" s="4"/>
      <c r="X577" s="4"/>
      <c r="Y577" s="4"/>
      <c r="AA577" s="4"/>
      <c r="AB577" s="4"/>
      <c r="AC577" s="4"/>
      <c r="AD577" s="20"/>
    </row>
    <row r="578" spans="14:30" x14ac:dyDescent="0.3">
      <c r="N578" s="8"/>
      <c r="P578" s="34"/>
      <c r="Q578" s="4"/>
      <c r="R578" s="4"/>
      <c r="S578" s="4"/>
      <c r="T578" s="4"/>
      <c r="U578" s="4"/>
      <c r="V578" s="4"/>
      <c r="X578" s="4"/>
      <c r="Y578" s="4"/>
      <c r="AA578" s="4"/>
      <c r="AB578" s="4"/>
      <c r="AC578" s="4"/>
      <c r="AD578" s="20"/>
    </row>
    <row r="579" spans="14:30" x14ac:dyDescent="0.3">
      <c r="N579" s="8"/>
      <c r="P579" s="34"/>
      <c r="Q579" s="4"/>
      <c r="R579" s="4"/>
      <c r="S579" s="4"/>
      <c r="T579" s="4"/>
      <c r="U579" s="4"/>
      <c r="V579" s="4"/>
      <c r="X579" s="4"/>
      <c r="Y579" s="4"/>
      <c r="AA579" s="4"/>
      <c r="AB579" s="4"/>
      <c r="AC579" s="4"/>
      <c r="AD579" s="20"/>
    </row>
    <row r="580" spans="14:30" x14ac:dyDescent="0.3">
      <c r="N580" s="8"/>
      <c r="P580" s="34"/>
      <c r="Q580" s="4"/>
      <c r="R580" s="4"/>
      <c r="S580" s="4"/>
      <c r="T580" s="4"/>
      <c r="U580" s="4"/>
      <c r="V580" s="4"/>
      <c r="X580" s="4"/>
      <c r="Y580" s="4"/>
      <c r="AA580" s="4"/>
      <c r="AB580" s="4"/>
      <c r="AC580" s="4"/>
      <c r="AD580" s="20"/>
    </row>
    <row r="581" spans="14:30" x14ac:dyDescent="0.3">
      <c r="N581" s="8"/>
      <c r="P581" s="34"/>
      <c r="Q581" s="4"/>
      <c r="R581" s="4"/>
      <c r="S581" s="4"/>
      <c r="T581" s="4"/>
      <c r="U581" s="4"/>
      <c r="V581" s="4"/>
      <c r="X581" s="4"/>
      <c r="Y581" s="4"/>
      <c r="AA581" s="4"/>
      <c r="AB581" s="4"/>
      <c r="AC581" s="4"/>
      <c r="AD581" s="20"/>
    </row>
    <row r="582" spans="14:30" x14ac:dyDescent="0.3">
      <c r="N582" s="8"/>
      <c r="P582" s="34"/>
      <c r="Q582" s="4"/>
      <c r="R582" s="4"/>
      <c r="S582" s="4"/>
      <c r="T582" s="4"/>
      <c r="U582" s="4"/>
      <c r="V582" s="4"/>
      <c r="X582" s="4"/>
      <c r="Y582" s="4"/>
      <c r="AA582" s="4"/>
      <c r="AB582" s="4"/>
      <c r="AC582" s="4"/>
      <c r="AD582" s="20"/>
    </row>
    <row r="583" spans="14:30" x14ac:dyDescent="0.3">
      <c r="N583" s="8"/>
      <c r="P583" s="34"/>
      <c r="Q583" s="4"/>
      <c r="R583" s="4"/>
      <c r="S583" s="4"/>
      <c r="T583" s="4"/>
      <c r="U583" s="4"/>
      <c r="V583" s="4"/>
      <c r="X583" s="4"/>
      <c r="Y583" s="4"/>
      <c r="AA583" s="4"/>
      <c r="AB583" s="4"/>
      <c r="AC583" s="4"/>
      <c r="AD583" s="20"/>
    </row>
    <row r="584" spans="14:30" x14ac:dyDescent="0.3">
      <c r="N584" s="8"/>
      <c r="P584" s="34"/>
      <c r="Q584" s="4"/>
      <c r="R584" s="4"/>
      <c r="S584" s="4"/>
      <c r="T584" s="4"/>
      <c r="U584" s="4"/>
      <c r="V584" s="4"/>
      <c r="X584" s="4"/>
      <c r="Y584" s="4"/>
      <c r="AA584" s="4"/>
      <c r="AB584" s="4"/>
      <c r="AC584" s="4"/>
      <c r="AD584" s="20"/>
    </row>
    <row r="585" spans="14:30" x14ac:dyDescent="0.3">
      <c r="N585" s="8"/>
      <c r="P585" s="34"/>
      <c r="Q585" s="4"/>
      <c r="R585" s="4"/>
      <c r="S585" s="4"/>
      <c r="T585" s="4"/>
      <c r="U585" s="4"/>
      <c r="V585" s="4"/>
      <c r="X585" s="4"/>
      <c r="Y585" s="4"/>
      <c r="AA585" s="4"/>
      <c r="AB585" s="4"/>
      <c r="AC585" s="4"/>
      <c r="AD585" s="20"/>
    </row>
    <row r="586" spans="14:30" x14ac:dyDescent="0.3">
      <c r="N586" s="8"/>
      <c r="P586" s="34"/>
      <c r="Q586" s="4"/>
      <c r="R586" s="4"/>
      <c r="S586" s="4"/>
      <c r="T586" s="4"/>
      <c r="U586" s="4"/>
      <c r="V586" s="4"/>
      <c r="X586" s="4"/>
      <c r="Y586" s="4"/>
      <c r="AA586" s="4"/>
      <c r="AB586" s="4"/>
      <c r="AC586" s="4"/>
      <c r="AD586" s="20"/>
    </row>
    <row r="587" spans="14:30" x14ac:dyDescent="0.3">
      <c r="N587" s="8"/>
      <c r="P587" s="34"/>
      <c r="Q587" s="4"/>
      <c r="R587" s="4"/>
      <c r="S587" s="4"/>
      <c r="T587" s="4"/>
      <c r="U587" s="4"/>
      <c r="V587" s="4"/>
      <c r="X587" s="4"/>
      <c r="Y587" s="4"/>
      <c r="AA587" s="4"/>
      <c r="AB587" s="4"/>
      <c r="AC587" s="4"/>
      <c r="AD587" s="20"/>
    </row>
    <row r="588" spans="14:30" x14ac:dyDescent="0.3">
      <c r="N588" s="8"/>
      <c r="P588" s="34"/>
      <c r="Q588" s="4"/>
      <c r="R588" s="4"/>
      <c r="S588" s="4"/>
      <c r="T588" s="4"/>
      <c r="U588" s="4"/>
      <c r="V588" s="4"/>
      <c r="X588" s="4"/>
      <c r="Y588" s="4"/>
      <c r="AA588" s="4"/>
      <c r="AB588" s="4"/>
      <c r="AC588" s="4"/>
      <c r="AD588" s="20"/>
    </row>
    <row r="589" spans="14:30" x14ac:dyDescent="0.3">
      <c r="N589" s="8"/>
      <c r="P589" s="34"/>
      <c r="Q589" s="4"/>
      <c r="R589" s="4"/>
      <c r="S589" s="4"/>
      <c r="T589" s="4"/>
      <c r="U589" s="4"/>
      <c r="V589" s="4"/>
      <c r="X589" s="4"/>
      <c r="Y589" s="4"/>
      <c r="AA589" s="4"/>
      <c r="AB589" s="4"/>
      <c r="AC589" s="4"/>
      <c r="AD589" s="20"/>
    </row>
    <row r="590" spans="14:30" x14ac:dyDescent="0.3">
      <c r="N590" s="8"/>
      <c r="P590" s="34"/>
      <c r="Q590" s="4"/>
      <c r="R590" s="4"/>
      <c r="S590" s="4"/>
      <c r="T590" s="4"/>
      <c r="U590" s="4"/>
      <c r="V590" s="4"/>
      <c r="X590" s="4"/>
      <c r="Y590" s="4"/>
      <c r="AA590" s="4"/>
      <c r="AB590" s="4"/>
      <c r="AC590" s="4"/>
      <c r="AD590" s="20"/>
    </row>
    <row r="591" spans="14:30" x14ac:dyDescent="0.3">
      <c r="N591" s="8"/>
      <c r="P591" s="34"/>
      <c r="Q591" s="4"/>
      <c r="R591" s="4"/>
      <c r="S591" s="4"/>
      <c r="T591" s="4"/>
      <c r="U591" s="4"/>
      <c r="V591" s="4"/>
      <c r="X591" s="4"/>
      <c r="Y591" s="4"/>
      <c r="AA591" s="4"/>
      <c r="AB591" s="4"/>
      <c r="AC591" s="4"/>
      <c r="AD591" s="20"/>
    </row>
    <row r="592" spans="14:30" x14ac:dyDescent="0.3">
      <c r="N592" s="8"/>
      <c r="P592" s="34"/>
      <c r="Q592" s="4"/>
      <c r="R592" s="4"/>
      <c r="S592" s="4"/>
      <c r="T592" s="4"/>
      <c r="U592" s="4"/>
      <c r="V592" s="4"/>
      <c r="X592" s="4"/>
      <c r="Y592" s="4"/>
      <c r="AA592" s="4"/>
      <c r="AB592" s="4"/>
      <c r="AC592" s="4"/>
      <c r="AD592" s="20"/>
    </row>
    <row r="593" spans="14:30" x14ac:dyDescent="0.3">
      <c r="N593" s="8"/>
      <c r="P593" s="34"/>
      <c r="Q593" s="4"/>
      <c r="R593" s="4"/>
      <c r="S593" s="4"/>
      <c r="T593" s="4"/>
      <c r="U593" s="4"/>
      <c r="V593" s="4"/>
      <c r="X593" s="4"/>
      <c r="Y593" s="4"/>
      <c r="AA593" s="4"/>
      <c r="AB593" s="4"/>
      <c r="AC593" s="4"/>
      <c r="AD593" s="20"/>
    </row>
    <row r="594" spans="14:30" x14ac:dyDescent="0.3">
      <c r="N594" s="8"/>
      <c r="P594" s="34"/>
      <c r="Q594" s="4"/>
      <c r="R594" s="4"/>
      <c r="S594" s="4"/>
      <c r="T594" s="4"/>
      <c r="U594" s="4"/>
      <c r="V594" s="4"/>
      <c r="X594" s="4"/>
      <c r="Y594" s="4"/>
      <c r="AA594" s="4"/>
      <c r="AB594" s="4"/>
      <c r="AC594" s="4"/>
      <c r="AD594" s="20"/>
    </row>
    <row r="595" spans="14:30" x14ac:dyDescent="0.3">
      <c r="N595" s="8"/>
      <c r="P595" s="34"/>
      <c r="Q595" s="4"/>
      <c r="R595" s="4"/>
      <c r="S595" s="4"/>
      <c r="T595" s="4"/>
      <c r="U595" s="4"/>
      <c r="V595" s="4"/>
      <c r="X595" s="4"/>
      <c r="Y595" s="4"/>
      <c r="AA595" s="4"/>
      <c r="AB595" s="4"/>
      <c r="AC595" s="4"/>
      <c r="AD595" s="20"/>
    </row>
    <row r="596" spans="14:30" x14ac:dyDescent="0.3">
      <c r="N596" s="8"/>
      <c r="P596" s="34"/>
      <c r="Q596" s="4"/>
      <c r="R596" s="4"/>
      <c r="S596" s="4"/>
      <c r="T596" s="4"/>
      <c r="U596" s="4"/>
      <c r="V596" s="4"/>
      <c r="X596" s="4"/>
      <c r="Y596" s="4"/>
      <c r="AA596" s="4"/>
      <c r="AB596" s="4"/>
      <c r="AC596" s="4"/>
      <c r="AD596" s="20"/>
    </row>
    <row r="597" spans="14:30" x14ac:dyDescent="0.3">
      <c r="N597" s="8"/>
      <c r="P597" s="34"/>
      <c r="Q597" s="4"/>
      <c r="R597" s="4"/>
      <c r="S597" s="4"/>
      <c r="T597" s="4"/>
      <c r="U597" s="4"/>
      <c r="V597" s="4"/>
      <c r="X597" s="4"/>
      <c r="Y597" s="4"/>
      <c r="AA597" s="4"/>
      <c r="AB597" s="4"/>
      <c r="AC597" s="4"/>
      <c r="AD597" s="20"/>
    </row>
    <row r="598" spans="14:30" x14ac:dyDescent="0.3">
      <c r="N598" s="8"/>
      <c r="P598" s="34"/>
      <c r="Q598" s="4"/>
      <c r="R598" s="4"/>
      <c r="S598" s="4"/>
      <c r="T598" s="4"/>
      <c r="U598" s="4"/>
      <c r="V598" s="4"/>
      <c r="X598" s="4"/>
      <c r="Y598" s="4"/>
      <c r="AA598" s="4"/>
      <c r="AB598" s="4"/>
      <c r="AC598" s="4"/>
      <c r="AD598" s="20"/>
    </row>
    <row r="599" spans="14:30" x14ac:dyDescent="0.3">
      <c r="N599" s="8"/>
      <c r="P599" s="34"/>
      <c r="Q599" s="4"/>
      <c r="R599" s="4"/>
      <c r="S599" s="4"/>
      <c r="T599" s="4"/>
      <c r="U599" s="4"/>
      <c r="V599" s="4"/>
      <c r="X599" s="4"/>
      <c r="Y599" s="4"/>
      <c r="AA599" s="4"/>
      <c r="AB599" s="4"/>
      <c r="AC599" s="4"/>
      <c r="AD599" s="20"/>
    </row>
    <row r="600" spans="14:30" x14ac:dyDescent="0.3">
      <c r="N600" s="8"/>
      <c r="P600" s="34"/>
      <c r="Q600" s="4"/>
      <c r="R600" s="4"/>
      <c r="S600" s="4"/>
      <c r="T600" s="4"/>
      <c r="U600" s="4"/>
      <c r="V600" s="4"/>
      <c r="X600" s="4"/>
      <c r="Y600" s="4"/>
      <c r="AA600" s="4"/>
      <c r="AB600" s="4"/>
      <c r="AC600" s="4"/>
      <c r="AD600" s="20"/>
    </row>
    <row r="601" spans="14:30" x14ac:dyDescent="0.3">
      <c r="N601" s="8"/>
      <c r="P601" s="34"/>
      <c r="Q601" s="4"/>
      <c r="R601" s="4"/>
      <c r="S601" s="4"/>
      <c r="T601" s="4"/>
      <c r="U601" s="4"/>
      <c r="V601" s="4"/>
      <c r="X601" s="4"/>
      <c r="Y601" s="4"/>
      <c r="AA601" s="4"/>
      <c r="AB601" s="4"/>
      <c r="AC601" s="4"/>
      <c r="AD601" s="20"/>
    </row>
    <row r="602" spans="14:30" x14ac:dyDescent="0.3">
      <c r="N602" s="8"/>
      <c r="P602" s="34"/>
      <c r="Q602" s="4"/>
      <c r="R602" s="4"/>
      <c r="S602" s="4"/>
      <c r="T602" s="4"/>
      <c r="U602" s="4"/>
      <c r="V602" s="4"/>
      <c r="X602" s="4"/>
      <c r="Y602" s="4"/>
      <c r="AA602" s="4"/>
      <c r="AB602" s="4"/>
      <c r="AC602" s="4"/>
      <c r="AD602" s="20"/>
    </row>
    <row r="603" spans="14:30" x14ac:dyDescent="0.3">
      <c r="N603" s="8"/>
      <c r="P603" s="34"/>
      <c r="Q603" s="4"/>
      <c r="R603" s="4"/>
      <c r="S603" s="4"/>
      <c r="T603" s="4"/>
      <c r="U603" s="4"/>
      <c r="V603" s="4"/>
      <c r="X603" s="4"/>
      <c r="Y603" s="4"/>
      <c r="AA603" s="4"/>
      <c r="AB603" s="4"/>
      <c r="AC603" s="4"/>
      <c r="AD603" s="20"/>
    </row>
    <row r="604" spans="14:30" x14ac:dyDescent="0.3">
      <c r="N604" s="8"/>
      <c r="P604" s="34"/>
      <c r="Q604" s="4"/>
      <c r="R604" s="4"/>
      <c r="S604" s="4"/>
      <c r="T604" s="4"/>
      <c r="U604" s="4"/>
      <c r="V604" s="4"/>
      <c r="X604" s="4"/>
      <c r="Y604" s="4"/>
      <c r="AA604" s="4"/>
      <c r="AB604" s="4"/>
      <c r="AC604" s="4"/>
      <c r="AD604" s="20"/>
    </row>
    <row r="605" spans="14:30" x14ac:dyDescent="0.3">
      <c r="N605" s="8"/>
      <c r="P605" s="34"/>
      <c r="Q605" s="4"/>
      <c r="R605" s="4"/>
      <c r="S605" s="4"/>
      <c r="T605" s="4"/>
      <c r="U605" s="4"/>
      <c r="V605" s="4"/>
      <c r="X605" s="4"/>
      <c r="Y605" s="4"/>
      <c r="AA605" s="4"/>
      <c r="AB605" s="4"/>
      <c r="AC605" s="4"/>
      <c r="AD605" s="20"/>
    </row>
    <row r="606" spans="14:30" x14ac:dyDescent="0.3">
      <c r="N606" s="8"/>
      <c r="P606" s="34"/>
      <c r="Q606" s="4"/>
      <c r="R606" s="4"/>
      <c r="S606" s="4"/>
      <c r="T606" s="4"/>
      <c r="U606" s="4"/>
      <c r="V606" s="4"/>
      <c r="X606" s="4"/>
      <c r="Y606" s="4"/>
      <c r="AA606" s="4"/>
      <c r="AB606" s="4"/>
      <c r="AC606" s="4"/>
      <c r="AD606" s="20"/>
    </row>
    <row r="607" spans="14:30" x14ac:dyDescent="0.3">
      <c r="N607" s="8"/>
      <c r="P607" s="34"/>
      <c r="Q607" s="4"/>
      <c r="R607" s="4"/>
      <c r="S607" s="4"/>
      <c r="T607" s="4"/>
      <c r="U607" s="4"/>
      <c r="V607" s="4"/>
      <c r="X607" s="4"/>
      <c r="Y607" s="4"/>
      <c r="AA607" s="4"/>
      <c r="AB607" s="4"/>
      <c r="AC607" s="4"/>
      <c r="AD607" s="20"/>
    </row>
    <row r="608" spans="14:30" x14ac:dyDescent="0.3">
      <c r="N608" s="8"/>
      <c r="P608" s="34"/>
      <c r="Q608" s="4"/>
      <c r="R608" s="4"/>
      <c r="S608" s="4"/>
      <c r="T608" s="4"/>
      <c r="U608" s="4"/>
      <c r="V608" s="4"/>
      <c r="X608" s="4"/>
      <c r="Y608" s="4"/>
      <c r="AA608" s="4"/>
      <c r="AB608" s="4"/>
      <c r="AC608" s="4"/>
      <c r="AD608" s="20"/>
    </row>
    <row r="609" spans="14:30" x14ac:dyDescent="0.3">
      <c r="N609" s="8"/>
      <c r="P609" s="34"/>
      <c r="Q609" s="4"/>
      <c r="R609" s="4"/>
      <c r="S609" s="4"/>
      <c r="T609" s="4"/>
      <c r="U609" s="4"/>
      <c r="V609" s="4"/>
      <c r="X609" s="4"/>
      <c r="Y609" s="4"/>
      <c r="AA609" s="4"/>
      <c r="AB609" s="4"/>
      <c r="AC609" s="4"/>
      <c r="AD609" s="20"/>
    </row>
    <row r="610" spans="14:30" x14ac:dyDescent="0.3">
      <c r="N610" s="8"/>
      <c r="P610" s="34"/>
      <c r="Q610" s="4"/>
      <c r="R610" s="4"/>
      <c r="S610" s="4"/>
      <c r="T610" s="4"/>
      <c r="U610" s="4"/>
      <c r="V610" s="4"/>
      <c r="X610" s="4"/>
      <c r="Y610" s="4"/>
      <c r="AA610" s="4"/>
      <c r="AB610" s="4"/>
      <c r="AC610" s="4"/>
      <c r="AD610" s="20"/>
    </row>
    <row r="611" spans="14:30" x14ac:dyDescent="0.3">
      <c r="N611" s="8"/>
      <c r="P611" s="34"/>
      <c r="Q611" s="4"/>
      <c r="R611" s="4"/>
      <c r="S611" s="4"/>
      <c r="T611" s="4"/>
      <c r="U611" s="4"/>
      <c r="V611" s="4"/>
      <c r="X611" s="4"/>
      <c r="Y611" s="4"/>
      <c r="AA611" s="4"/>
      <c r="AB611" s="4"/>
      <c r="AC611" s="4"/>
      <c r="AD611" s="20"/>
    </row>
    <row r="612" spans="14:30" x14ac:dyDescent="0.3">
      <c r="N612" s="8"/>
      <c r="P612" s="34"/>
      <c r="Q612" s="4"/>
      <c r="R612" s="4"/>
      <c r="S612" s="4"/>
      <c r="T612" s="4"/>
      <c r="U612" s="4"/>
      <c r="V612" s="4"/>
      <c r="X612" s="4"/>
      <c r="Y612" s="4"/>
      <c r="AA612" s="4"/>
      <c r="AB612" s="4"/>
      <c r="AC612" s="4"/>
      <c r="AD612" s="20"/>
    </row>
    <row r="613" spans="14:30" x14ac:dyDescent="0.3">
      <c r="N613" s="8"/>
      <c r="P613" s="34"/>
      <c r="Q613" s="4"/>
      <c r="R613" s="4"/>
      <c r="S613" s="4"/>
      <c r="T613" s="4"/>
      <c r="U613" s="4"/>
      <c r="V613" s="4"/>
      <c r="X613" s="4"/>
      <c r="Y613" s="4"/>
      <c r="AA613" s="4"/>
      <c r="AB613" s="4"/>
      <c r="AC613" s="4"/>
      <c r="AD613" s="20"/>
    </row>
    <row r="614" spans="14:30" x14ac:dyDescent="0.3">
      <c r="N614" s="8"/>
      <c r="P614" s="34"/>
      <c r="Q614" s="4"/>
      <c r="R614" s="4"/>
      <c r="S614" s="4"/>
      <c r="T614" s="4"/>
      <c r="U614" s="4"/>
      <c r="V614" s="4"/>
      <c r="X614" s="4"/>
      <c r="Y614" s="4"/>
      <c r="AA614" s="4"/>
      <c r="AB614" s="4"/>
      <c r="AC614" s="4"/>
      <c r="AD614" s="20"/>
    </row>
    <row r="615" spans="14:30" x14ac:dyDescent="0.3">
      <c r="N615" s="8"/>
      <c r="P615" s="34"/>
      <c r="Q615" s="4"/>
      <c r="R615" s="4"/>
      <c r="S615" s="4"/>
      <c r="T615" s="4"/>
      <c r="U615" s="4"/>
      <c r="V615" s="4"/>
      <c r="X615" s="4"/>
      <c r="Y615" s="4"/>
      <c r="AA615" s="4"/>
      <c r="AB615" s="4"/>
      <c r="AC615" s="4"/>
      <c r="AD615" s="20"/>
    </row>
    <row r="616" spans="14:30" x14ac:dyDescent="0.3">
      <c r="N616" s="8"/>
      <c r="P616" s="34"/>
      <c r="Q616" s="4"/>
      <c r="R616" s="4"/>
      <c r="S616" s="4"/>
      <c r="T616" s="4"/>
      <c r="U616" s="4"/>
      <c r="V616" s="4"/>
      <c r="X616" s="4"/>
      <c r="Y616" s="4"/>
      <c r="AA616" s="4"/>
      <c r="AB616" s="4"/>
      <c r="AC616" s="4"/>
      <c r="AD616" s="20"/>
    </row>
    <row r="617" spans="14:30" x14ac:dyDescent="0.3">
      <c r="N617" s="8"/>
      <c r="P617" s="34"/>
      <c r="Q617" s="4"/>
      <c r="R617" s="4"/>
      <c r="S617" s="4"/>
      <c r="T617" s="4"/>
      <c r="U617" s="4"/>
      <c r="V617" s="4"/>
      <c r="X617" s="4"/>
      <c r="Y617" s="4"/>
      <c r="AA617" s="4"/>
      <c r="AB617" s="4"/>
      <c r="AC617" s="4"/>
      <c r="AD617" s="20"/>
    </row>
    <row r="618" spans="14:30" x14ac:dyDescent="0.3">
      <c r="N618" s="8"/>
      <c r="P618" s="34"/>
      <c r="Q618" s="4"/>
      <c r="R618" s="4"/>
      <c r="S618" s="4"/>
      <c r="T618" s="4"/>
      <c r="U618" s="4"/>
      <c r="V618" s="4"/>
      <c r="X618" s="4"/>
      <c r="Y618" s="4"/>
      <c r="AA618" s="4"/>
      <c r="AB618" s="4"/>
      <c r="AC618" s="4"/>
      <c r="AD618" s="20"/>
    </row>
    <row r="619" spans="14:30" x14ac:dyDescent="0.3">
      <c r="N619" s="8"/>
      <c r="P619" s="34"/>
      <c r="Q619" s="4"/>
      <c r="R619" s="4"/>
      <c r="S619" s="4"/>
      <c r="T619" s="4"/>
      <c r="U619" s="4"/>
      <c r="V619" s="4"/>
      <c r="X619" s="4"/>
      <c r="Y619" s="4"/>
      <c r="AA619" s="4"/>
      <c r="AB619" s="4"/>
      <c r="AC619" s="4"/>
      <c r="AD619" s="20"/>
    </row>
    <row r="620" spans="14:30" x14ac:dyDescent="0.3">
      <c r="N620" s="8"/>
      <c r="P620" s="34"/>
      <c r="Q620" s="4"/>
      <c r="R620" s="4"/>
      <c r="S620" s="4"/>
      <c r="T620" s="4"/>
      <c r="U620" s="4"/>
      <c r="V620" s="4"/>
      <c r="X620" s="4"/>
      <c r="Y620" s="4"/>
      <c r="AA620" s="4"/>
      <c r="AB620" s="4"/>
      <c r="AC620" s="4"/>
      <c r="AD620" s="20"/>
    </row>
    <row r="621" spans="14:30" x14ac:dyDescent="0.3">
      <c r="N621" s="8"/>
      <c r="P621" s="34"/>
      <c r="Q621" s="4"/>
      <c r="R621" s="4"/>
      <c r="S621" s="4"/>
      <c r="T621" s="4"/>
      <c r="U621" s="4"/>
      <c r="V621" s="4"/>
      <c r="X621" s="4"/>
      <c r="Y621" s="4"/>
      <c r="AA621" s="4"/>
      <c r="AB621" s="4"/>
      <c r="AC621" s="4"/>
      <c r="AD621" s="20"/>
    </row>
    <row r="622" spans="14:30" x14ac:dyDescent="0.3">
      <c r="N622" s="8"/>
      <c r="P622" s="34"/>
      <c r="Q622" s="4"/>
      <c r="R622" s="4"/>
      <c r="S622" s="4"/>
      <c r="T622" s="4"/>
      <c r="U622" s="4"/>
      <c r="V622" s="4"/>
      <c r="X622" s="4"/>
      <c r="Y622" s="4"/>
      <c r="AA622" s="4"/>
      <c r="AB622" s="4"/>
      <c r="AC622" s="4"/>
      <c r="AD622" s="20"/>
    </row>
    <row r="623" spans="14:30" x14ac:dyDescent="0.3">
      <c r="N623" s="8"/>
      <c r="P623" s="34"/>
      <c r="Q623" s="4"/>
      <c r="R623" s="4"/>
      <c r="S623" s="4"/>
      <c r="T623" s="4"/>
      <c r="U623" s="4"/>
      <c r="V623" s="4"/>
      <c r="X623" s="4"/>
      <c r="Y623" s="4"/>
      <c r="AA623" s="4"/>
      <c r="AB623" s="4"/>
      <c r="AC623" s="4"/>
      <c r="AD623" s="20"/>
    </row>
    <row r="624" spans="14:30" x14ac:dyDescent="0.3">
      <c r="N624" s="8"/>
      <c r="P624" s="34"/>
      <c r="Q624" s="4"/>
      <c r="R624" s="4"/>
      <c r="S624" s="4"/>
      <c r="T624" s="4"/>
      <c r="U624" s="4"/>
      <c r="V624" s="4"/>
      <c r="X624" s="4"/>
      <c r="Y624" s="4"/>
      <c r="AA624" s="4"/>
      <c r="AB624" s="4"/>
      <c r="AC624" s="4"/>
      <c r="AD624" s="20"/>
    </row>
    <row r="625" spans="14:30" x14ac:dyDescent="0.3">
      <c r="N625" s="8"/>
      <c r="P625" s="34"/>
      <c r="Q625" s="4"/>
      <c r="R625" s="4"/>
      <c r="S625" s="4"/>
      <c r="T625" s="4"/>
      <c r="U625" s="4"/>
      <c r="V625" s="4"/>
      <c r="X625" s="4"/>
      <c r="Y625" s="4"/>
      <c r="AA625" s="4"/>
      <c r="AB625" s="4"/>
      <c r="AC625" s="4"/>
      <c r="AD625" s="20"/>
    </row>
    <row r="626" spans="14:30" x14ac:dyDescent="0.3">
      <c r="N626" s="8"/>
      <c r="P626" s="34"/>
      <c r="Q626" s="4"/>
      <c r="R626" s="4"/>
      <c r="S626" s="4"/>
      <c r="T626" s="4"/>
      <c r="U626" s="4"/>
      <c r="V626" s="4"/>
      <c r="X626" s="4"/>
      <c r="Y626" s="4"/>
      <c r="AA626" s="4"/>
      <c r="AB626" s="4"/>
      <c r="AC626" s="4"/>
      <c r="AD626" s="20"/>
    </row>
    <row r="627" spans="14:30" x14ac:dyDescent="0.3">
      <c r="N627" s="8"/>
      <c r="P627" s="34"/>
      <c r="Q627" s="4"/>
      <c r="R627" s="4"/>
      <c r="S627" s="4"/>
      <c r="T627" s="4"/>
      <c r="U627" s="4"/>
      <c r="V627" s="4"/>
      <c r="X627" s="4"/>
      <c r="Y627" s="4"/>
      <c r="AA627" s="4"/>
      <c r="AB627" s="4"/>
      <c r="AC627" s="4"/>
      <c r="AD627" s="20"/>
    </row>
    <row r="628" spans="14:30" x14ac:dyDescent="0.3">
      <c r="N628" s="8"/>
      <c r="P628" s="34"/>
      <c r="Q628" s="4"/>
      <c r="R628" s="4"/>
      <c r="S628" s="4"/>
      <c r="T628" s="4"/>
      <c r="U628" s="4"/>
      <c r="V628" s="4"/>
      <c r="X628" s="4"/>
      <c r="Y628" s="4"/>
      <c r="AA628" s="4"/>
      <c r="AB628" s="4"/>
      <c r="AC628" s="4"/>
      <c r="AD628" s="20"/>
    </row>
    <row r="629" spans="14:30" x14ac:dyDescent="0.3">
      <c r="N629" s="8"/>
      <c r="P629" s="34"/>
      <c r="Q629" s="4"/>
      <c r="R629" s="4"/>
      <c r="S629" s="4"/>
      <c r="T629" s="4"/>
      <c r="U629" s="4"/>
      <c r="V629" s="4"/>
      <c r="X629" s="4"/>
      <c r="Y629" s="4"/>
      <c r="AA629" s="4"/>
      <c r="AB629" s="4"/>
      <c r="AC629" s="4"/>
      <c r="AD629" s="20"/>
    </row>
    <row r="630" spans="14:30" x14ac:dyDescent="0.3">
      <c r="N630" s="8"/>
      <c r="P630" s="34"/>
      <c r="Q630" s="4"/>
      <c r="R630" s="4"/>
      <c r="S630" s="4"/>
      <c r="T630" s="4"/>
      <c r="U630" s="4"/>
      <c r="V630" s="4"/>
      <c r="X630" s="4"/>
      <c r="Y630" s="4"/>
      <c r="AA630" s="4"/>
      <c r="AB630" s="4"/>
      <c r="AC630" s="4"/>
      <c r="AD630" s="20"/>
    </row>
    <row r="631" spans="14:30" x14ac:dyDescent="0.3">
      <c r="N631" s="8"/>
      <c r="P631" s="34"/>
      <c r="Q631" s="4"/>
      <c r="R631" s="4"/>
      <c r="S631" s="4"/>
      <c r="T631" s="4"/>
      <c r="U631" s="4"/>
      <c r="V631" s="4"/>
      <c r="X631" s="4"/>
      <c r="Y631" s="4"/>
      <c r="AA631" s="4"/>
      <c r="AB631" s="4"/>
      <c r="AC631" s="4"/>
      <c r="AD631" s="20"/>
    </row>
    <row r="632" spans="14:30" x14ac:dyDescent="0.3">
      <c r="N632" s="8"/>
      <c r="P632" s="34"/>
      <c r="Q632" s="4"/>
      <c r="R632" s="4"/>
      <c r="S632" s="4"/>
      <c r="T632" s="4"/>
      <c r="U632" s="4"/>
      <c r="V632" s="4"/>
      <c r="X632" s="4"/>
      <c r="Y632" s="4"/>
      <c r="AA632" s="4"/>
      <c r="AB632" s="4"/>
      <c r="AC632" s="4"/>
      <c r="AD632" s="20"/>
    </row>
    <row r="633" spans="14:30" x14ac:dyDescent="0.3">
      <c r="N633" s="8"/>
      <c r="P633" s="34"/>
      <c r="Q633" s="4"/>
      <c r="R633" s="4"/>
      <c r="S633" s="4"/>
      <c r="T633" s="4"/>
      <c r="U633" s="4"/>
      <c r="V633" s="4"/>
      <c r="X633" s="4"/>
      <c r="Y633" s="4"/>
      <c r="AA633" s="4"/>
      <c r="AB633" s="4"/>
      <c r="AC633" s="4"/>
      <c r="AD633" s="20"/>
    </row>
    <row r="634" spans="14:30" x14ac:dyDescent="0.3">
      <c r="N634" s="8"/>
      <c r="P634" s="34"/>
      <c r="Q634" s="4"/>
      <c r="R634" s="4"/>
      <c r="S634" s="4"/>
      <c r="T634" s="4"/>
      <c r="U634" s="4"/>
      <c r="V634" s="4"/>
      <c r="X634" s="4"/>
      <c r="Y634" s="4"/>
      <c r="AA634" s="4"/>
      <c r="AB634" s="4"/>
      <c r="AC634" s="4"/>
      <c r="AD634" s="20"/>
    </row>
    <row r="635" spans="14:30" x14ac:dyDescent="0.3">
      <c r="N635" s="8"/>
      <c r="P635" s="34"/>
      <c r="Q635" s="4"/>
      <c r="R635" s="4"/>
      <c r="S635" s="4"/>
      <c r="T635" s="4"/>
      <c r="U635" s="4"/>
      <c r="V635" s="4"/>
      <c r="X635" s="4"/>
      <c r="Y635" s="4"/>
      <c r="AA635" s="4"/>
      <c r="AB635" s="4"/>
      <c r="AC635" s="4"/>
      <c r="AD635" s="20"/>
    </row>
    <row r="636" spans="14:30" x14ac:dyDescent="0.3">
      <c r="N636" s="8"/>
      <c r="P636" s="34"/>
      <c r="Q636" s="4"/>
      <c r="R636" s="4"/>
      <c r="S636" s="4"/>
      <c r="T636" s="4"/>
      <c r="U636" s="4"/>
      <c r="V636" s="4"/>
      <c r="X636" s="4"/>
      <c r="Y636" s="4"/>
      <c r="AA636" s="4"/>
      <c r="AB636" s="4"/>
      <c r="AC636" s="4"/>
      <c r="AD636" s="20"/>
    </row>
    <row r="637" spans="14:30" x14ac:dyDescent="0.3">
      <c r="N637" s="8"/>
      <c r="P637" s="34"/>
      <c r="Q637" s="4"/>
      <c r="R637" s="4"/>
      <c r="S637" s="4"/>
      <c r="T637" s="4"/>
      <c r="U637" s="4"/>
      <c r="V637" s="4"/>
      <c r="X637" s="4"/>
      <c r="Y637" s="4"/>
      <c r="AA637" s="4"/>
      <c r="AB637" s="4"/>
      <c r="AC637" s="4"/>
      <c r="AD637" s="20"/>
    </row>
    <row r="638" spans="14:30" x14ac:dyDescent="0.3">
      <c r="N638" s="8"/>
      <c r="P638" s="34"/>
      <c r="Q638" s="4"/>
      <c r="R638" s="4"/>
      <c r="S638" s="4"/>
      <c r="T638" s="4"/>
      <c r="U638" s="4"/>
      <c r="V638" s="4"/>
      <c r="X638" s="4"/>
      <c r="Y638" s="4"/>
      <c r="AA638" s="4"/>
      <c r="AB638" s="4"/>
      <c r="AC638" s="4"/>
      <c r="AD638" s="20"/>
    </row>
    <row r="639" spans="14:30" x14ac:dyDescent="0.3">
      <c r="N639" s="8"/>
      <c r="P639" s="34"/>
      <c r="Q639" s="4"/>
      <c r="R639" s="4"/>
      <c r="S639" s="4"/>
      <c r="T639" s="4"/>
      <c r="U639" s="4"/>
      <c r="V639" s="4"/>
      <c r="X639" s="4"/>
      <c r="Y639" s="4"/>
      <c r="AA639" s="4"/>
      <c r="AB639" s="4"/>
      <c r="AC639" s="4"/>
      <c r="AD639" s="20"/>
    </row>
    <row r="640" spans="14:30" x14ac:dyDescent="0.3">
      <c r="N640" s="8"/>
      <c r="P640" s="34"/>
      <c r="Q640" s="4"/>
      <c r="R640" s="4"/>
      <c r="S640" s="4"/>
      <c r="T640" s="4"/>
      <c r="U640" s="4"/>
      <c r="V640" s="4"/>
      <c r="X640" s="4"/>
      <c r="Y640" s="4"/>
      <c r="AA640" s="4"/>
      <c r="AB640" s="4"/>
      <c r="AC640" s="4"/>
      <c r="AD640" s="20"/>
    </row>
    <row r="641" spans="14:30" x14ac:dyDescent="0.3">
      <c r="N641" s="8"/>
      <c r="P641" s="34"/>
      <c r="Q641" s="4"/>
      <c r="R641" s="4"/>
      <c r="S641" s="4"/>
      <c r="T641" s="4"/>
      <c r="U641" s="4"/>
      <c r="V641" s="4"/>
      <c r="X641" s="4"/>
      <c r="Y641" s="4"/>
      <c r="AA641" s="4"/>
      <c r="AB641" s="4"/>
      <c r="AC641" s="4"/>
      <c r="AD641" s="20"/>
    </row>
    <row r="642" spans="14:30" x14ac:dyDescent="0.3">
      <c r="N642" s="8"/>
      <c r="P642" s="34"/>
      <c r="Q642" s="4"/>
      <c r="R642" s="4"/>
      <c r="S642" s="4"/>
      <c r="T642" s="4"/>
      <c r="U642" s="4"/>
      <c r="V642" s="4"/>
      <c r="X642" s="4"/>
      <c r="Y642" s="4"/>
      <c r="AA642" s="4"/>
      <c r="AB642" s="4"/>
      <c r="AC642" s="4"/>
      <c r="AD642" s="20"/>
    </row>
    <row r="643" spans="14:30" x14ac:dyDescent="0.3">
      <c r="N643" s="8"/>
      <c r="P643" s="34"/>
      <c r="Q643" s="4"/>
      <c r="R643" s="4"/>
      <c r="S643" s="4"/>
      <c r="T643" s="4"/>
      <c r="U643" s="4"/>
      <c r="V643" s="4"/>
      <c r="X643" s="4"/>
      <c r="Y643" s="4"/>
      <c r="AA643" s="4"/>
      <c r="AB643" s="4"/>
      <c r="AC643" s="4"/>
      <c r="AD643" s="20"/>
    </row>
    <row r="644" spans="14:30" x14ac:dyDescent="0.3">
      <c r="N644" s="8"/>
      <c r="P644" s="34"/>
      <c r="Q644" s="4"/>
      <c r="R644" s="4"/>
      <c r="S644" s="4"/>
      <c r="T644" s="4"/>
      <c r="U644" s="4"/>
      <c r="V644" s="4"/>
      <c r="X644" s="4"/>
      <c r="Y644" s="4"/>
      <c r="AA644" s="4"/>
      <c r="AB644" s="4"/>
      <c r="AC644" s="4"/>
      <c r="AD644" s="20"/>
    </row>
    <row r="645" spans="14:30" x14ac:dyDescent="0.3">
      <c r="N645" s="8"/>
      <c r="P645" s="34"/>
      <c r="Q645" s="4"/>
      <c r="R645" s="4"/>
      <c r="S645" s="4"/>
      <c r="T645" s="4"/>
      <c r="U645" s="4"/>
      <c r="V645" s="4"/>
      <c r="X645" s="4"/>
      <c r="Y645" s="4"/>
      <c r="AA645" s="4"/>
      <c r="AB645" s="4"/>
      <c r="AC645" s="4"/>
      <c r="AD645" s="20"/>
    </row>
    <row r="646" spans="14:30" x14ac:dyDescent="0.3">
      <c r="N646" s="8"/>
      <c r="P646" s="34"/>
      <c r="Q646" s="4"/>
      <c r="R646" s="4"/>
      <c r="S646" s="4"/>
      <c r="T646" s="4"/>
      <c r="U646" s="4"/>
      <c r="V646" s="4"/>
      <c r="X646" s="4"/>
      <c r="Y646" s="4"/>
      <c r="AA646" s="4"/>
      <c r="AB646" s="4"/>
      <c r="AC646" s="4"/>
      <c r="AD646" s="20"/>
    </row>
    <row r="647" spans="14:30" x14ac:dyDescent="0.3">
      <c r="N647" s="8"/>
      <c r="P647" s="34"/>
      <c r="Q647" s="4"/>
      <c r="R647" s="4"/>
      <c r="S647" s="4"/>
      <c r="T647" s="4"/>
      <c r="U647" s="4"/>
      <c r="V647" s="4"/>
      <c r="X647" s="4"/>
      <c r="Y647" s="4"/>
      <c r="AA647" s="4"/>
      <c r="AB647" s="4"/>
      <c r="AC647" s="4"/>
      <c r="AD647" s="20"/>
    </row>
    <row r="648" spans="14:30" x14ac:dyDescent="0.3">
      <c r="N648" s="8"/>
      <c r="P648" s="34"/>
      <c r="Q648" s="4"/>
      <c r="R648" s="4"/>
      <c r="S648" s="4"/>
      <c r="T648" s="4"/>
      <c r="U648" s="4"/>
      <c r="V648" s="4"/>
      <c r="X648" s="4"/>
      <c r="Y648" s="4"/>
      <c r="AA648" s="4"/>
      <c r="AB648" s="4"/>
      <c r="AC648" s="4"/>
      <c r="AD648" s="20"/>
    </row>
    <row r="649" spans="14:30" x14ac:dyDescent="0.3">
      <c r="N649" s="8"/>
      <c r="P649" s="34"/>
      <c r="Q649" s="4"/>
      <c r="R649" s="4"/>
      <c r="S649" s="4"/>
      <c r="T649" s="4"/>
      <c r="U649" s="4"/>
      <c r="V649" s="4"/>
      <c r="X649" s="4"/>
      <c r="Y649" s="4"/>
      <c r="AA649" s="4"/>
      <c r="AB649" s="4"/>
      <c r="AC649" s="4"/>
      <c r="AD649" s="20"/>
    </row>
    <row r="650" spans="14:30" x14ac:dyDescent="0.3">
      <c r="N650" s="8"/>
      <c r="P650" s="34"/>
      <c r="Q650" s="4"/>
      <c r="R650" s="4"/>
      <c r="S650" s="4"/>
      <c r="T650" s="4"/>
      <c r="U650" s="4"/>
      <c r="V650" s="4"/>
      <c r="X650" s="4"/>
      <c r="Y650" s="4"/>
      <c r="AA650" s="4"/>
      <c r="AB650" s="4"/>
      <c r="AC650" s="4"/>
      <c r="AD650" s="20"/>
    </row>
    <row r="651" spans="14:30" x14ac:dyDescent="0.3">
      <c r="N651" s="8"/>
      <c r="P651" s="34"/>
      <c r="Q651" s="4"/>
      <c r="R651" s="4"/>
      <c r="S651" s="4"/>
      <c r="T651" s="4"/>
      <c r="U651" s="4"/>
      <c r="V651" s="4"/>
      <c r="X651" s="4"/>
      <c r="Y651" s="4"/>
      <c r="AA651" s="4"/>
      <c r="AB651" s="4"/>
      <c r="AC651" s="4"/>
      <c r="AD651" s="20"/>
    </row>
    <row r="652" spans="14:30" x14ac:dyDescent="0.3">
      <c r="N652" s="8"/>
      <c r="P652" s="34"/>
      <c r="Q652" s="4"/>
      <c r="R652" s="4"/>
      <c r="S652" s="4"/>
      <c r="T652" s="4"/>
      <c r="U652" s="4"/>
      <c r="V652" s="4"/>
      <c r="X652" s="4"/>
      <c r="Y652" s="4"/>
      <c r="AA652" s="4"/>
      <c r="AB652" s="4"/>
      <c r="AC652" s="4"/>
      <c r="AD652" s="20"/>
    </row>
    <row r="653" spans="14:30" x14ac:dyDescent="0.3">
      <c r="N653" s="8"/>
      <c r="P653" s="34"/>
      <c r="Q653" s="4"/>
      <c r="R653" s="4"/>
      <c r="S653" s="4"/>
      <c r="T653" s="4"/>
      <c r="U653" s="4"/>
      <c r="V653" s="4"/>
      <c r="X653" s="4"/>
      <c r="Y653" s="4"/>
      <c r="AA653" s="4"/>
      <c r="AB653" s="4"/>
      <c r="AC653" s="4"/>
      <c r="AD653" s="20"/>
    </row>
    <row r="654" spans="14:30" x14ac:dyDescent="0.3">
      <c r="N654" s="8"/>
      <c r="P654" s="34"/>
      <c r="Q654" s="4"/>
      <c r="R654" s="4"/>
      <c r="S654" s="4"/>
      <c r="T654" s="4"/>
      <c r="U654" s="4"/>
      <c r="V654" s="4"/>
      <c r="X654" s="4"/>
      <c r="Y654" s="4"/>
      <c r="AA654" s="4"/>
      <c r="AB654" s="4"/>
      <c r="AC654" s="4"/>
      <c r="AD654" s="20"/>
    </row>
    <row r="655" spans="14:30" x14ac:dyDescent="0.3">
      <c r="N655" s="8"/>
      <c r="P655" s="34"/>
      <c r="Q655" s="4"/>
      <c r="R655" s="4"/>
      <c r="S655" s="4"/>
      <c r="T655" s="4"/>
      <c r="U655" s="4"/>
      <c r="V655" s="4"/>
      <c r="X655" s="4"/>
      <c r="Y655" s="4"/>
      <c r="AA655" s="4"/>
      <c r="AB655" s="4"/>
      <c r="AC655" s="4"/>
      <c r="AD655" s="20"/>
    </row>
    <row r="656" spans="14:30" x14ac:dyDescent="0.3">
      <c r="N656" s="8"/>
      <c r="P656" s="34"/>
      <c r="Q656" s="4"/>
      <c r="R656" s="4"/>
      <c r="S656" s="4"/>
      <c r="T656" s="4"/>
      <c r="U656" s="4"/>
      <c r="V656" s="4"/>
      <c r="X656" s="4"/>
      <c r="Y656" s="4"/>
      <c r="AA656" s="4"/>
      <c r="AB656" s="4"/>
      <c r="AC656" s="4"/>
      <c r="AD656" s="20"/>
    </row>
    <row r="657" spans="14:30" x14ac:dyDescent="0.3">
      <c r="N657" s="8"/>
      <c r="P657" s="34"/>
      <c r="Q657" s="4"/>
      <c r="R657" s="4"/>
      <c r="S657" s="4"/>
      <c r="T657" s="4"/>
      <c r="U657" s="4"/>
      <c r="V657" s="4"/>
      <c r="X657" s="4"/>
      <c r="Y657" s="4"/>
      <c r="AA657" s="4"/>
      <c r="AB657" s="4"/>
      <c r="AC657" s="4"/>
      <c r="AD657" s="20"/>
    </row>
    <row r="658" spans="14:30" x14ac:dyDescent="0.3">
      <c r="N658" s="8"/>
      <c r="P658" s="34"/>
      <c r="Q658" s="4"/>
      <c r="R658" s="4"/>
      <c r="S658" s="4"/>
      <c r="T658" s="4"/>
      <c r="U658" s="4"/>
      <c r="V658" s="4"/>
      <c r="X658" s="4"/>
      <c r="Y658" s="4"/>
      <c r="AA658" s="4"/>
      <c r="AB658" s="4"/>
      <c r="AC658" s="4"/>
      <c r="AD658" s="20"/>
    </row>
    <row r="659" spans="14:30" x14ac:dyDescent="0.3">
      <c r="N659" s="8"/>
      <c r="P659" s="34"/>
      <c r="Q659" s="4"/>
      <c r="R659" s="4"/>
      <c r="S659" s="4"/>
      <c r="T659" s="4"/>
      <c r="U659" s="4"/>
      <c r="V659" s="4"/>
      <c r="X659" s="4"/>
      <c r="Y659" s="4"/>
      <c r="AA659" s="4"/>
      <c r="AB659" s="4"/>
      <c r="AC659" s="4"/>
      <c r="AD659" s="20"/>
    </row>
    <row r="660" spans="14:30" x14ac:dyDescent="0.3">
      <c r="N660" s="8"/>
      <c r="P660" s="34"/>
      <c r="Q660" s="4"/>
      <c r="R660" s="4"/>
      <c r="S660" s="4"/>
      <c r="T660" s="4"/>
      <c r="U660" s="4"/>
      <c r="V660" s="4"/>
      <c r="X660" s="4"/>
      <c r="Y660" s="4"/>
      <c r="AA660" s="4"/>
      <c r="AB660" s="4"/>
      <c r="AC660" s="4"/>
      <c r="AD660" s="20"/>
    </row>
    <row r="661" spans="14:30" x14ac:dyDescent="0.3">
      <c r="N661" s="8"/>
      <c r="P661" s="34"/>
      <c r="Q661" s="4"/>
      <c r="R661" s="4"/>
      <c r="S661" s="4"/>
      <c r="T661" s="4"/>
      <c r="U661" s="4"/>
      <c r="V661" s="4"/>
      <c r="X661" s="4"/>
      <c r="Y661" s="4"/>
      <c r="AA661" s="4"/>
      <c r="AB661" s="4"/>
      <c r="AC661" s="4"/>
      <c r="AD661" s="20"/>
    </row>
    <row r="662" spans="14:30" x14ac:dyDescent="0.3">
      <c r="N662" s="8"/>
      <c r="P662" s="34"/>
      <c r="Q662" s="4"/>
      <c r="R662" s="4"/>
      <c r="S662" s="4"/>
      <c r="T662" s="4"/>
      <c r="U662" s="4"/>
      <c r="V662" s="4"/>
      <c r="X662" s="4"/>
      <c r="Y662" s="4"/>
      <c r="AA662" s="4"/>
      <c r="AB662" s="4"/>
      <c r="AC662" s="4"/>
      <c r="AD662" s="20"/>
    </row>
    <row r="663" spans="14:30" x14ac:dyDescent="0.3">
      <c r="N663" s="8"/>
      <c r="P663" s="34"/>
      <c r="Q663" s="4"/>
      <c r="R663" s="4"/>
      <c r="S663" s="4"/>
      <c r="T663" s="4"/>
      <c r="U663" s="4"/>
      <c r="V663" s="4"/>
      <c r="X663" s="4"/>
      <c r="Y663" s="4"/>
      <c r="AA663" s="4"/>
      <c r="AB663" s="4"/>
      <c r="AC663" s="4"/>
      <c r="AD663" s="20"/>
    </row>
    <row r="664" spans="14:30" x14ac:dyDescent="0.3">
      <c r="N664" s="8"/>
      <c r="P664" s="34"/>
      <c r="Q664" s="4"/>
      <c r="R664" s="4"/>
      <c r="S664" s="4"/>
      <c r="T664" s="4"/>
      <c r="U664" s="4"/>
      <c r="V664" s="4"/>
      <c r="X664" s="4"/>
      <c r="Y664" s="4"/>
      <c r="AA664" s="4"/>
      <c r="AB664" s="4"/>
      <c r="AC664" s="4"/>
      <c r="AD664" s="20"/>
    </row>
    <row r="665" spans="14:30" x14ac:dyDescent="0.3">
      <c r="N665" s="8"/>
      <c r="P665" s="34"/>
      <c r="Q665" s="4"/>
      <c r="R665" s="4"/>
      <c r="S665" s="4"/>
      <c r="T665" s="4"/>
      <c r="U665" s="4"/>
      <c r="V665" s="4"/>
      <c r="X665" s="4"/>
      <c r="Y665" s="4"/>
      <c r="AA665" s="4"/>
      <c r="AB665" s="4"/>
      <c r="AC665" s="4"/>
      <c r="AD665" s="20"/>
    </row>
    <row r="666" spans="14:30" x14ac:dyDescent="0.3">
      <c r="N666" s="8"/>
      <c r="P666" s="34"/>
      <c r="Q666" s="4"/>
      <c r="R666" s="4"/>
      <c r="S666" s="4"/>
      <c r="T666" s="4"/>
      <c r="U666" s="4"/>
      <c r="V666" s="4"/>
      <c r="X666" s="4"/>
      <c r="Y666" s="4"/>
      <c r="AA666" s="4"/>
      <c r="AB666" s="4"/>
      <c r="AC666" s="4"/>
      <c r="AD666" s="20"/>
    </row>
    <row r="667" spans="14:30" x14ac:dyDescent="0.3">
      <c r="N667" s="8"/>
      <c r="P667" s="34"/>
      <c r="Q667" s="4"/>
      <c r="R667" s="4"/>
      <c r="S667" s="4"/>
      <c r="T667" s="4"/>
      <c r="U667" s="4"/>
      <c r="V667" s="4"/>
      <c r="X667" s="4"/>
      <c r="Y667" s="4"/>
      <c r="AA667" s="4"/>
      <c r="AB667" s="4"/>
      <c r="AC667" s="4"/>
      <c r="AD667" s="20"/>
    </row>
    <row r="668" spans="14:30" x14ac:dyDescent="0.3">
      <c r="N668" s="8"/>
      <c r="P668" s="34"/>
      <c r="Q668" s="4"/>
      <c r="R668" s="4"/>
      <c r="S668" s="4"/>
      <c r="T668" s="4"/>
      <c r="U668" s="4"/>
      <c r="V668" s="4"/>
      <c r="X668" s="4"/>
      <c r="Y668" s="4"/>
      <c r="AA668" s="4"/>
      <c r="AB668" s="4"/>
      <c r="AC668" s="4"/>
      <c r="AD668" s="20"/>
    </row>
    <row r="669" spans="14:30" x14ac:dyDescent="0.3">
      <c r="N669" s="8"/>
      <c r="P669" s="34"/>
      <c r="Q669" s="4"/>
      <c r="R669" s="4"/>
      <c r="S669" s="4"/>
      <c r="T669" s="4"/>
      <c r="U669" s="4"/>
      <c r="V669" s="4"/>
      <c r="X669" s="4"/>
      <c r="Y669" s="4"/>
      <c r="AA669" s="4"/>
      <c r="AB669" s="4"/>
      <c r="AC669" s="4"/>
      <c r="AD669" s="20"/>
    </row>
    <row r="670" spans="14:30" x14ac:dyDescent="0.3">
      <c r="N670" s="8"/>
      <c r="P670" s="34"/>
      <c r="Q670" s="4"/>
      <c r="R670" s="4"/>
      <c r="S670" s="4"/>
      <c r="T670" s="4"/>
      <c r="U670" s="4"/>
      <c r="V670" s="4"/>
      <c r="X670" s="4"/>
      <c r="Y670" s="4"/>
      <c r="AA670" s="4"/>
      <c r="AB670" s="4"/>
      <c r="AC670" s="4"/>
      <c r="AD670" s="20"/>
    </row>
    <row r="671" spans="14:30" x14ac:dyDescent="0.3">
      <c r="N671" s="8"/>
      <c r="P671" s="34"/>
      <c r="Q671" s="4"/>
      <c r="R671" s="4"/>
      <c r="S671" s="4"/>
      <c r="T671" s="4"/>
      <c r="U671" s="4"/>
      <c r="V671" s="4"/>
      <c r="X671" s="4"/>
      <c r="Y671" s="4"/>
      <c r="AA671" s="4"/>
      <c r="AB671" s="4"/>
      <c r="AC671" s="4"/>
      <c r="AD671" s="20"/>
    </row>
    <row r="672" spans="14:30" x14ac:dyDescent="0.3">
      <c r="N672" s="8"/>
      <c r="P672" s="34"/>
      <c r="Q672" s="4"/>
      <c r="R672" s="4"/>
      <c r="S672" s="4"/>
      <c r="T672" s="4"/>
      <c r="U672" s="4"/>
      <c r="V672" s="4"/>
      <c r="X672" s="4"/>
      <c r="Y672" s="4"/>
      <c r="AA672" s="4"/>
      <c r="AB672" s="4"/>
      <c r="AC672" s="4"/>
      <c r="AD672" s="20"/>
    </row>
    <row r="673" spans="14:30" x14ac:dyDescent="0.3">
      <c r="N673" s="8"/>
      <c r="P673" s="34"/>
      <c r="Q673" s="4"/>
      <c r="R673" s="4"/>
      <c r="S673" s="4"/>
      <c r="T673" s="4"/>
      <c r="U673" s="4"/>
      <c r="V673" s="4"/>
      <c r="X673" s="4"/>
      <c r="Y673" s="4"/>
      <c r="AA673" s="4"/>
      <c r="AB673" s="4"/>
      <c r="AC673" s="4"/>
      <c r="AD673" s="20"/>
    </row>
    <row r="674" spans="14:30" x14ac:dyDescent="0.3">
      <c r="N674" s="8"/>
      <c r="P674" s="34"/>
      <c r="Q674" s="4"/>
      <c r="R674" s="4"/>
      <c r="S674" s="4"/>
      <c r="T674" s="4"/>
      <c r="U674" s="4"/>
      <c r="V674" s="4"/>
      <c r="X674" s="4"/>
      <c r="Y674" s="4"/>
      <c r="AA674" s="4"/>
      <c r="AB674" s="4"/>
      <c r="AC674" s="4"/>
      <c r="AD674" s="20"/>
    </row>
    <row r="675" spans="14:30" x14ac:dyDescent="0.3">
      <c r="N675" s="8"/>
      <c r="P675" s="34"/>
      <c r="Q675" s="4"/>
      <c r="R675" s="4"/>
      <c r="S675" s="4"/>
      <c r="T675" s="4"/>
      <c r="U675" s="4"/>
      <c r="V675" s="4"/>
      <c r="X675" s="4"/>
      <c r="Y675" s="4"/>
      <c r="AA675" s="4"/>
      <c r="AB675" s="4"/>
      <c r="AC675" s="4"/>
      <c r="AD675" s="20"/>
    </row>
    <row r="676" spans="14:30" x14ac:dyDescent="0.3">
      <c r="N676" s="8"/>
      <c r="P676" s="34"/>
      <c r="Q676" s="4"/>
      <c r="R676" s="4"/>
      <c r="S676" s="4"/>
      <c r="T676" s="4"/>
      <c r="U676" s="4"/>
      <c r="V676" s="4"/>
      <c r="X676" s="4"/>
      <c r="Y676" s="4"/>
      <c r="AA676" s="4"/>
      <c r="AB676" s="4"/>
      <c r="AC676" s="4"/>
      <c r="AD676" s="20"/>
    </row>
    <row r="677" spans="14:30" x14ac:dyDescent="0.3">
      <c r="N677" s="8"/>
      <c r="P677" s="34"/>
      <c r="Q677" s="4"/>
      <c r="R677" s="4"/>
      <c r="S677" s="4"/>
      <c r="T677" s="4"/>
      <c r="U677" s="4"/>
      <c r="V677" s="4"/>
      <c r="X677" s="4"/>
      <c r="Y677" s="4"/>
      <c r="AA677" s="4"/>
      <c r="AB677" s="4"/>
      <c r="AC677" s="4"/>
      <c r="AD677" s="20"/>
    </row>
    <row r="678" spans="14:30" x14ac:dyDescent="0.3">
      <c r="N678" s="8"/>
      <c r="P678" s="34"/>
      <c r="Q678" s="4"/>
      <c r="R678" s="4"/>
      <c r="S678" s="4"/>
      <c r="T678" s="4"/>
      <c r="U678" s="4"/>
      <c r="V678" s="4"/>
      <c r="X678" s="4"/>
      <c r="Y678" s="4"/>
      <c r="AA678" s="4"/>
      <c r="AB678" s="4"/>
      <c r="AC678" s="4"/>
      <c r="AD678" s="20"/>
    </row>
    <row r="679" spans="14:30" x14ac:dyDescent="0.3">
      <c r="N679" s="8"/>
      <c r="P679" s="34"/>
      <c r="Q679" s="4"/>
      <c r="R679" s="4"/>
      <c r="S679" s="4"/>
      <c r="T679" s="4"/>
      <c r="U679" s="4"/>
      <c r="V679" s="4"/>
      <c r="X679" s="4"/>
      <c r="Y679" s="4"/>
      <c r="AA679" s="4"/>
      <c r="AB679" s="4"/>
      <c r="AC679" s="4"/>
      <c r="AD679" s="20"/>
    </row>
    <row r="680" spans="14:30" x14ac:dyDescent="0.3">
      <c r="N680" s="8"/>
      <c r="P680" s="34"/>
      <c r="Q680" s="4"/>
      <c r="R680" s="4"/>
      <c r="S680" s="4"/>
      <c r="T680" s="4"/>
      <c r="U680" s="4"/>
      <c r="V680" s="4"/>
      <c r="X680" s="4"/>
      <c r="Y680" s="4"/>
      <c r="AA680" s="4"/>
      <c r="AB680" s="4"/>
      <c r="AC680" s="4"/>
      <c r="AD680" s="20"/>
    </row>
    <row r="681" spans="14:30" x14ac:dyDescent="0.3">
      <c r="N681" s="8"/>
      <c r="P681" s="34"/>
      <c r="Q681" s="4"/>
      <c r="R681" s="4"/>
      <c r="S681" s="4"/>
      <c r="T681" s="4"/>
      <c r="U681" s="4"/>
      <c r="V681" s="4"/>
      <c r="X681" s="4"/>
      <c r="Y681" s="4"/>
      <c r="AA681" s="4"/>
      <c r="AB681" s="4"/>
      <c r="AC681" s="4"/>
      <c r="AD681" s="20"/>
    </row>
    <row r="682" spans="14:30" x14ac:dyDescent="0.3">
      <c r="N682" s="8"/>
      <c r="P682" s="34"/>
      <c r="Q682" s="4"/>
      <c r="R682" s="4"/>
      <c r="S682" s="4"/>
      <c r="T682" s="4"/>
      <c r="U682" s="4"/>
      <c r="V682" s="4"/>
      <c r="X682" s="4"/>
      <c r="Y682" s="4"/>
      <c r="AA682" s="4"/>
      <c r="AB682" s="4"/>
      <c r="AC682" s="4"/>
      <c r="AD682" s="20"/>
    </row>
    <row r="683" spans="14:30" x14ac:dyDescent="0.3">
      <c r="N683" s="8"/>
      <c r="P683" s="34"/>
      <c r="Q683" s="4"/>
      <c r="R683" s="4"/>
      <c r="S683" s="4"/>
      <c r="T683" s="4"/>
      <c r="U683" s="4"/>
      <c r="V683" s="4"/>
      <c r="X683" s="4"/>
      <c r="Y683" s="4"/>
      <c r="AA683" s="4"/>
      <c r="AB683" s="4"/>
      <c r="AC683" s="4"/>
      <c r="AD683" s="20"/>
    </row>
    <row r="684" spans="14:30" x14ac:dyDescent="0.3">
      <c r="N684" s="8"/>
      <c r="P684" s="34"/>
      <c r="Q684" s="4"/>
      <c r="R684" s="4"/>
      <c r="S684" s="4"/>
      <c r="T684" s="4"/>
      <c r="U684" s="4"/>
      <c r="V684" s="4"/>
      <c r="X684" s="4"/>
      <c r="Y684" s="4"/>
      <c r="AA684" s="4"/>
      <c r="AB684" s="4"/>
      <c r="AC684" s="4"/>
      <c r="AD684" s="20"/>
    </row>
    <row r="685" spans="14:30" x14ac:dyDescent="0.3">
      <c r="N685" s="8"/>
      <c r="P685" s="34"/>
      <c r="Q685" s="4"/>
      <c r="R685" s="4"/>
      <c r="S685" s="4"/>
      <c r="T685" s="4"/>
      <c r="U685" s="4"/>
      <c r="V685" s="4"/>
      <c r="X685" s="4"/>
      <c r="Y685" s="4"/>
      <c r="AA685" s="4"/>
      <c r="AB685" s="4"/>
      <c r="AC685" s="4"/>
      <c r="AD685" s="20"/>
    </row>
    <row r="686" spans="14:30" x14ac:dyDescent="0.3">
      <c r="N686" s="8"/>
      <c r="P686" s="34"/>
      <c r="Q686" s="4"/>
      <c r="R686" s="4"/>
      <c r="S686" s="4"/>
      <c r="T686" s="4"/>
      <c r="U686" s="4"/>
      <c r="V686" s="4"/>
      <c r="X686" s="4"/>
      <c r="Y686" s="4"/>
      <c r="AA686" s="4"/>
      <c r="AB686" s="4"/>
      <c r="AC686" s="4"/>
      <c r="AD686" s="20"/>
    </row>
    <row r="687" spans="14:30" x14ac:dyDescent="0.3">
      <c r="N687" s="8"/>
      <c r="P687" s="34"/>
      <c r="Q687" s="4"/>
      <c r="R687" s="4"/>
      <c r="S687" s="4"/>
      <c r="T687" s="4"/>
      <c r="U687" s="4"/>
      <c r="V687" s="4"/>
      <c r="X687" s="4"/>
      <c r="Y687" s="4"/>
      <c r="AA687" s="4"/>
      <c r="AB687" s="4"/>
      <c r="AC687" s="4"/>
      <c r="AD687" s="20"/>
    </row>
    <row r="688" spans="14:30" x14ac:dyDescent="0.3">
      <c r="N688" s="8"/>
      <c r="P688" s="34"/>
      <c r="Q688" s="4"/>
      <c r="R688" s="4"/>
      <c r="S688" s="4"/>
      <c r="T688" s="4"/>
      <c r="U688" s="4"/>
      <c r="V688" s="4"/>
      <c r="X688" s="4"/>
      <c r="Y688" s="4"/>
      <c r="AA688" s="4"/>
      <c r="AB688" s="4"/>
      <c r="AC688" s="4"/>
      <c r="AD688" s="20"/>
    </row>
    <row r="689" spans="14:30" x14ac:dyDescent="0.3">
      <c r="N689" s="8"/>
      <c r="P689" s="34"/>
      <c r="Q689" s="4"/>
      <c r="R689" s="4"/>
      <c r="S689" s="4"/>
      <c r="T689" s="4"/>
      <c r="U689" s="4"/>
      <c r="V689" s="4"/>
      <c r="X689" s="4"/>
      <c r="Y689" s="4"/>
      <c r="AA689" s="4"/>
      <c r="AB689" s="4"/>
      <c r="AC689" s="4"/>
      <c r="AD689" s="20"/>
    </row>
    <row r="690" spans="14:30" x14ac:dyDescent="0.3">
      <c r="N690" s="8"/>
      <c r="P690" s="34"/>
      <c r="Q690" s="4"/>
      <c r="R690" s="4"/>
      <c r="S690" s="4"/>
      <c r="T690" s="4"/>
      <c r="U690" s="4"/>
      <c r="V690" s="4"/>
      <c r="X690" s="4"/>
      <c r="Y690" s="4"/>
      <c r="AA690" s="4"/>
      <c r="AB690" s="4"/>
      <c r="AC690" s="4"/>
      <c r="AD690" s="20"/>
    </row>
    <row r="691" spans="14:30" x14ac:dyDescent="0.3">
      <c r="N691" s="8"/>
      <c r="P691" s="34"/>
      <c r="Q691" s="4"/>
      <c r="R691" s="4"/>
      <c r="S691" s="4"/>
      <c r="T691" s="4"/>
      <c r="U691" s="4"/>
      <c r="V691" s="4"/>
      <c r="X691" s="4"/>
      <c r="Y691" s="4"/>
      <c r="AA691" s="4"/>
      <c r="AB691" s="4"/>
      <c r="AC691" s="4"/>
      <c r="AD691" s="20"/>
    </row>
    <row r="692" spans="14:30" x14ac:dyDescent="0.3">
      <c r="N692" s="8"/>
      <c r="P692" s="34"/>
      <c r="Q692" s="4"/>
      <c r="R692" s="4"/>
      <c r="S692" s="4"/>
      <c r="T692" s="4"/>
      <c r="U692" s="4"/>
      <c r="V692" s="4"/>
      <c r="X692" s="4"/>
      <c r="Y692" s="4"/>
      <c r="AA692" s="4"/>
      <c r="AB692" s="4"/>
      <c r="AC692" s="4"/>
      <c r="AD692" s="20"/>
    </row>
    <row r="693" spans="14:30" x14ac:dyDescent="0.3">
      <c r="N693" s="8"/>
      <c r="P693" s="34"/>
      <c r="Q693" s="4"/>
      <c r="R693" s="4"/>
      <c r="S693" s="4"/>
      <c r="T693" s="4"/>
      <c r="U693" s="4"/>
      <c r="V693" s="4"/>
      <c r="X693" s="4"/>
      <c r="Y693" s="4"/>
      <c r="AA693" s="4"/>
      <c r="AB693" s="4"/>
      <c r="AC693" s="4"/>
      <c r="AD693" s="20"/>
    </row>
    <row r="694" spans="14:30" x14ac:dyDescent="0.3">
      <c r="N694" s="8"/>
      <c r="P694" s="34"/>
      <c r="Q694" s="4"/>
      <c r="R694" s="4"/>
      <c r="S694" s="4"/>
      <c r="T694" s="4"/>
      <c r="U694" s="4"/>
      <c r="V694" s="4"/>
      <c r="X694" s="4"/>
      <c r="Y694" s="4"/>
      <c r="AA694" s="4"/>
      <c r="AB694" s="4"/>
      <c r="AC694" s="4"/>
      <c r="AD694" s="20"/>
    </row>
    <row r="695" spans="14:30" x14ac:dyDescent="0.3">
      <c r="N695" s="8"/>
      <c r="P695" s="34"/>
      <c r="Q695" s="4"/>
      <c r="R695" s="4"/>
      <c r="S695" s="4"/>
      <c r="T695" s="4"/>
      <c r="U695" s="4"/>
      <c r="V695" s="4"/>
      <c r="X695" s="4"/>
      <c r="Y695" s="4"/>
      <c r="AA695" s="4"/>
      <c r="AB695" s="4"/>
      <c r="AC695" s="4"/>
      <c r="AD695" s="20"/>
    </row>
    <row r="696" spans="14:30" x14ac:dyDescent="0.3">
      <c r="N696" s="8"/>
      <c r="P696" s="34"/>
      <c r="Q696" s="4"/>
      <c r="R696" s="4"/>
      <c r="S696" s="4"/>
      <c r="T696" s="4"/>
      <c r="U696" s="4"/>
      <c r="V696" s="4"/>
      <c r="X696" s="4"/>
      <c r="Y696" s="4"/>
      <c r="AA696" s="4"/>
      <c r="AB696" s="4"/>
      <c r="AC696" s="4"/>
      <c r="AD696" s="20"/>
    </row>
    <row r="697" spans="14:30" x14ac:dyDescent="0.3">
      <c r="N697" s="8"/>
      <c r="P697" s="34"/>
      <c r="Q697" s="4"/>
      <c r="R697" s="4"/>
      <c r="S697" s="4"/>
      <c r="T697" s="4"/>
      <c r="U697" s="4"/>
      <c r="V697" s="4"/>
      <c r="X697" s="4"/>
      <c r="Y697" s="4"/>
      <c r="AA697" s="4"/>
      <c r="AB697" s="4"/>
      <c r="AC697" s="4"/>
      <c r="AD697" s="20"/>
    </row>
    <row r="698" spans="14:30" x14ac:dyDescent="0.3">
      <c r="N698" s="8"/>
      <c r="P698" s="34"/>
      <c r="Q698" s="4"/>
      <c r="R698" s="4"/>
      <c r="S698" s="4"/>
      <c r="T698" s="4"/>
      <c r="U698" s="4"/>
      <c r="V698" s="4"/>
      <c r="X698" s="4"/>
      <c r="Y698" s="4"/>
      <c r="AA698" s="4"/>
      <c r="AB698" s="4"/>
      <c r="AC698" s="4"/>
      <c r="AD698" s="20"/>
    </row>
    <row r="699" spans="14:30" x14ac:dyDescent="0.3">
      <c r="N699" s="8"/>
      <c r="P699" s="34"/>
      <c r="Q699" s="4"/>
      <c r="R699" s="4"/>
      <c r="S699" s="4"/>
      <c r="T699" s="4"/>
      <c r="U699" s="4"/>
      <c r="V699" s="4"/>
      <c r="X699" s="4"/>
      <c r="Y699" s="4"/>
      <c r="AA699" s="4"/>
      <c r="AB699" s="4"/>
      <c r="AC699" s="4"/>
      <c r="AD699" s="20"/>
    </row>
    <row r="700" spans="14:30" x14ac:dyDescent="0.3">
      <c r="N700" s="8"/>
      <c r="P700" s="34"/>
      <c r="Q700" s="4"/>
      <c r="R700" s="4"/>
      <c r="S700" s="4"/>
      <c r="T700" s="4"/>
      <c r="U700" s="4"/>
      <c r="V700" s="4"/>
      <c r="X700" s="4"/>
      <c r="Y700" s="4"/>
      <c r="AA700" s="4"/>
      <c r="AB700" s="4"/>
      <c r="AC700" s="4"/>
      <c r="AD700" s="20"/>
    </row>
    <row r="701" spans="14:30" x14ac:dyDescent="0.3">
      <c r="N701" s="8"/>
      <c r="P701" s="34"/>
      <c r="Q701" s="4"/>
      <c r="R701" s="4"/>
      <c r="S701" s="4"/>
      <c r="T701" s="4"/>
      <c r="U701" s="4"/>
      <c r="V701" s="4"/>
      <c r="X701" s="4"/>
      <c r="Y701" s="4"/>
      <c r="AA701" s="4"/>
      <c r="AB701" s="4"/>
      <c r="AC701" s="4"/>
      <c r="AD701" s="20"/>
    </row>
    <row r="702" spans="14:30" x14ac:dyDescent="0.3">
      <c r="N702" s="8"/>
      <c r="P702" s="34"/>
      <c r="Q702" s="4"/>
      <c r="R702" s="4"/>
      <c r="S702" s="4"/>
      <c r="T702" s="4"/>
      <c r="U702" s="4"/>
      <c r="V702" s="4"/>
      <c r="X702" s="4"/>
      <c r="Y702" s="4"/>
      <c r="AA702" s="4"/>
      <c r="AB702" s="4"/>
      <c r="AC702" s="4"/>
      <c r="AD702" s="20"/>
    </row>
    <row r="703" spans="14:30" x14ac:dyDescent="0.3">
      <c r="N703" s="8"/>
      <c r="P703" s="34"/>
      <c r="Q703" s="4"/>
      <c r="R703" s="4"/>
      <c r="S703" s="4"/>
      <c r="T703" s="4"/>
      <c r="U703" s="4"/>
      <c r="V703" s="4"/>
      <c r="X703" s="4"/>
      <c r="Y703" s="4"/>
      <c r="AA703" s="4"/>
      <c r="AB703" s="4"/>
      <c r="AC703" s="4"/>
      <c r="AD703" s="20"/>
    </row>
    <row r="704" spans="14:30" x14ac:dyDescent="0.3">
      <c r="N704" s="8"/>
      <c r="P704" s="34"/>
      <c r="Q704" s="4"/>
      <c r="R704" s="4"/>
      <c r="S704" s="4"/>
      <c r="T704" s="4"/>
      <c r="U704" s="4"/>
      <c r="V704" s="4"/>
      <c r="X704" s="4"/>
      <c r="Y704" s="4"/>
      <c r="AA704" s="4"/>
      <c r="AB704" s="4"/>
      <c r="AC704" s="4"/>
      <c r="AD704" s="20"/>
    </row>
    <row r="705" spans="14:30" x14ac:dyDescent="0.3">
      <c r="N705" s="8"/>
      <c r="P705" s="34"/>
      <c r="Q705" s="4"/>
      <c r="R705" s="4"/>
      <c r="S705" s="4"/>
      <c r="T705" s="4"/>
      <c r="U705" s="4"/>
      <c r="V705" s="4"/>
      <c r="X705" s="4"/>
      <c r="Y705" s="4"/>
      <c r="AA705" s="4"/>
      <c r="AB705" s="4"/>
      <c r="AC705" s="4"/>
      <c r="AD705" s="20"/>
    </row>
    <row r="706" spans="14:30" x14ac:dyDescent="0.3">
      <c r="N706" s="8"/>
      <c r="P706" s="34"/>
      <c r="Q706" s="4"/>
      <c r="R706" s="4"/>
      <c r="S706" s="4"/>
      <c r="T706" s="4"/>
      <c r="U706" s="4"/>
      <c r="V706" s="4"/>
      <c r="X706" s="4"/>
      <c r="Y706" s="4"/>
      <c r="AA706" s="4"/>
      <c r="AB706" s="4"/>
      <c r="AC706" s="4"/>
      <c r="AD706" s="20"/>
    </row>
    <row r="707" spans="14:30" x14ac:dyDescent="0.3">
      <c r="N707" s="8"/>
      <c r="P707" s="34"/>
      <c r="Q707" s="4"/>
      <c r="R707" s="4"/>
      <c r="S707" s="4"/>
      <c r="T707" s="4"/>
      <c r="U707" s="4"/>
      <c r="V707" s="4"/>
      <c r="X707" s="4"/>
      <c r="Y707" s="4"/>
      <c r="AA707" s="4"/>
      <c r="AB707" s="4"/>
      <c r="AC707" s="4"/>
      <c r="AD707" s="20"/>
    </row>
    <row r="708" spans="14:30" x14ac:dyDescent="0.3">
      <c r="N708" s="8"/>
      <c r="P708" s="34"/>
      <c r="Q708" s="4"/>
      <c r="R708" s="4"/>
      <c r="S708" s="4"/>
      <c r="T708" s="4"/>
      <c r="U708" s="4"/>
      <c r="V708" s="4"/>
      <c r="X708" s="4"/>
      <c r="Y708" s="4"/>
      <c r="AA708" s="4"/>
      <c r="AB708" s="4"/>
      <c r="AC708" s="4"/>
      <c r="AD708" s="20"/>
    </row>
  </sheetData>
  <mergeCells count="31">
    <mergeCell ref="P16:AE16"/>
    <mergeCell ref="AF16:AU16"/>
    <mergeCell ref="AV16:AX16"/>
    <mergeCell ref="Q17:S17"/>
    <mergeCell ref="T17:V17"/>
    <mergeCell ref="W17:Y17"/>
    <mergeCell ref="Z17:AB17"/>
    <mergeCell ref="AC17:AE17"/>
    <mergeCell ref="AG17:AI17"/>
    <mergeCell ref="AJ17:AL17"/>
    <mergeCell ref="AM17:AO17"/>
    <mergeCell ref="AP17:AR17"/>
    <mergeCell ref="AS17:AU17"/>
    <mergeCell ref="AV17:AX17"/>
    <mergeCell ref="E6:K6"/>
    <mergeCell ref="A1:M1"/>
    <mergeCell ref="N1:X1"/>
    <mergeCell ref="P4:AE4"/>
    <mergeCell ref="AF4:AU4"/>
    <mergeCell ref="AG5:AI5"/>
    <mergeCell ref="AJ5:AL5"/>
    <mergeCell ref="AP5:AR5"/>
    <mergeCell ref="AS5:AU5"/>
    <mergeCell ref="AV4:AX4"/>
    <mergeCell ref="Q5:S5"/>
    <mergeCell ref="T5:V5"/>
    <mergeCell ref="W5:Y5"/>
    <mergeCell ref="Z5:AB5"/>
    <mergeCell ref="AC5:AE5"/>
    <mergeCell ref="AM5:AO5"/>
    <mergeCell ref="AV5:AX5"/>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U708"/>
  <sheetViews>
    <sheetView zoomScale="85" zoomScaleNormal="85" workbookViewId="0">
      <selection activeCell="K35" sqref="K35"/>
    </sheetView>
  </sheetViews>
  <sheetFormatPr baseColWidth="10" defaultColWidth="8.88671875" defaultRowHeight="14.4" x14ac:dyDescent="0.3"/>
  <cols>
    <col min="1" max="1" width="13.109375" customWidth="1"/>
    <col min="2" max="2" width="25" customWidth="1"/>
    <col min="15" max="15" width="16.6640625" style="35" bestFit="1" customWidth="1"/>
    <col min="16" max="16" width="16.6640625" customWidth="1"/>
    <col min="33" max="33" width="10.109375" customWidth="1"/>
    <col min="34" max="34" width="12" bestFit="1" customWidth="1"/>
  </cols>
  <sheetData>
    <row r="1" spans="1:47" ht="28.2" x14ac:dyDescent="0.5">
      <c r="A1" s="225" t="s">
        <v>16</v>
      </c>
      <c r="B1" s="225"/>
      <c r="C1" s="225"/>
      <c r="D1" s="225"/>
      <c r="E1" s="225"/>
      <c r="F1" s="225"/>
      <c r="G1" s="225"/>
      <c r="H1" s="225"/>
      <c r="I1" s="225"/>
      <c r="J1" s="225"/>
      <c r="K1" s="225"/>
      <c r="L1" s="225"/>
      <c r="M1" s="225"/>
      <c r="N1" s="225" t="s">
        <v>183</v>
      </c>
      <c r="O1" s="225"/>
      <c r="P1" s="225"/>
      <c r="Q1" s="225"/>
      <c r="R1" s="225"/>
      <c r="S1" s="225"/>
      <c r="T1" s="225"/>
      <c r="U1" s="225"/>
      <c r="V1" s="225"/>
      <c r="W1" s="225"/>
      <c r="X1" s="225"/>
    </row>
    <row r="2" spans="1:47" x14ac:dyDescent="0.3">
      <c r="A2" s="5"/>
      <c r="B2" s="5" t="s">
        <v>17</v>
      </c>
      <c r="C2" s="6"/>
      <c r="D2" s="4"/>
      <c r="E2" s="5"/>
      <c r="F2" s="5"/>
      <c r="G2" s="5"/>
      <c r="H2" s="5"/>
      <c r="I2" s="5"/>
      <c r="J2" s="5"/>
      <c r="K2" s="5"/>
      <c r="L2" s="5"/>
      <c r="M2" s="5"/>
      <c r="O2"/>
    </row>
    <row r="3" spans="1:47" ht="15" thickBot="1" x14ac:dyDescent="0.35">
      <c r="A3" s="5"/>
      <c r="B3" s="5" t="s">
        <v>18</v>
      </c>
      <c r="C3" s="9"/>
      <c r="D3" s="4"/>
      <c r="E3" s="5"/>
      <c r="F3" s="14"/>
      <c r="G3" s="15"/>
      <c r="H3" s="15"/>
      <c r="I3" s="15"/>
      <c r="J3" s="15"/>
      <c r="K3" s="25"/>
      <c r="L3" s="5"/>
      <c r="M3" s="5"/>
      <c r="O3"/>
    </row>
    <row r="4" spans="1:47" ht="15" thickBot="1" x14ac:dyDescent="0.35">
      <c r="A4" s="5"/>
      <c r="B4" s="5" t="s">
        <v>19</v>
      </c>
      <c r="C4" s="7"/>
      <c r="D4" s="4"/>
      <c r="E4" s="5"/>
      <c r="F4" s="14"/>
      <c r="G4" s="15"/>
      <c r="H4" s="15"/>
      <c r="I4" s="15"/>
      <c r="J4" s="15"/>
      <c r="K4" s="25"/>
      <c r="L4" s="5"/>
      <c r="M4" s="5"/>
      <c r="N4" s="62"/>
      <c r="O4" s="68"/>
      <c r="P4" s="228" t="s">
        <v>214</v>
      </c>
      <c r="Q4" s="228"/>
      <c r="R4" s="228"/>
      <c r="S4" s="228"/>
      <c r="T4" s="228"/>
      <c r="U4" s="228"/>
      <c r="V4" s="228"/>
      <c r="W4" s="228"/>
      <c r="X4" s="228"/>
      <c r="Y4" s="228"/>
      <c r="Z4" s="228"/>
      <c r="AA4" s="228"/>
      <c r="AB4" s="228"/>
      <c r="AC4" s="228"/>
      <c r="AD4" s="228"/>
      <c r="AE4" s="229"/>
      <c r="AF4" s="227" t="s">
        <v>215</v>
      </c>
      <c r="AG4" s="228"/>
      <c r="AH4" s="228"/>
      <c r="AI4" s="228"/>
      <c r="AJ4" s="228"/>
      <c r="AK4" s="228"/>
      <c r="AL4" s="228"/>
      <c r="AM4" s="228"/>
      <c r="AN4" s="228"/>
      <c r="AO4" s="228"/>
      <c r="AP4" s="228"/>
      <c r="AQ4" s="228"/>
      <c r="AR4" s="229"/>
      <c r="AS4" s="227" t="s">
        <v>226</v>
      </c>
      <c r="AT4" s="228"/>
      <c r="AU4" s="229"/>
    </row>
    <row r="5" spans="1:47" x14ac:dyDescent="0.3">
      <c r="A5" s="5"/>
      <c r="D5" s="4"/>
      <c r="E5" s="5"/>
      <c r="F5" s="5"/>
      <c r="G5" s="5"/>
      <c r="H5" s="5"/>
      <c r="I5" s="5"/>
      <c r="J5" s="5"/>
      <c r="K5" s="5"/>
      <c r="L5" s="5"/>
      <c r="M5" s="5"/>
      <c r="N5" s="42"/>
      <c r="O5" s="44"/>
      <c r="Q5" s="230" t="s">
        <v>206</v>
      </c>
      <c r="R5" s="230"/>
      <c r="S5" s="230"/>
      <c r="T5" s="231" t="s">
        <v>208</v>
      </c>
      <c r="U5" s="231"/>
      <c r="V5" s="231"/>
      <c r="W5" s="231" t="s">
        <v>208</v>
      </c>
      <c r="X5" s="231"/>
      <c r="Y5" s="231"/>
      <c r="Z5" s="231" t="s">
        <v>211</v>
      </c>
      <c r="AA5" s="231"/>
      <c r="AB5" s="231"/>
      <c r="AC5" s="232" t="s">
        <v>213</v>
      </c>
      <c r="AD5" s="231"/>
      <c r="AE5" s="233"/>
      <c r="AG5" s="231" t="s">
        <v>222</v>
      </c>
      <c r="AH5" s="231"/>
      <c r="AI5" s="231"/>
      <c r="AJ5" s="231" t="s">
        <v>223</v>
      </c>
      <c r="AK5" s="231"/>
      <c r="AL5" s="231"/>
      <c r="AM5" s="231" t="s">
        <v>217</v>
      </c>
      <c r="AN5" s="231"/>
      <c r="AO5" s="231"/>
      <c r="AP5" s="232" t="s">
        <v>213</v>
      </c>
      <c r="AQ5" s="231"/>
      <c r="AR5" s="233"/>
      <c r="AS5" s="232" t="s">
        <v>213</v>
      </c>
      <c r="AT5" s="231"/>
      <c r="AU5" s="233"/>
    </row>
    <row r="6" spans="1:47" ht="15" thickBot="1" x14ac:dyDescent="0.35">
      <c r="A6" s="8" t="s">
        <v>20</v>
      </c>
      <c r="B6" s="8" t="s">
        <v>21</v>
      </c>
      <c r="C6" s="8" t="s">
        <v>22</v>
      </c>
      <c r="D6" s="4"/>
      <c r="E6" s="226" t="s">
        <v>23</v>
      </c>
      <c r="F6" s="226"/>
      <c r="G6" s="226"/>
      <c r="H6" s="226"/>
      <c r="I6" s="226"/>
      <c r="J6" s="226"/>
      <c r="K6" s="226"/>
      <c r="L6" s="5"/>
      <c r="M6" s="8"/>
      <c r="N6" s="42"/>
      <c r="O6" s="44"/>
      <c r="P6" s="4" t="s">
        <v>189</v>
      </c>
      <c r="Q6" t="s">
        <v>212</v>
      </c>
      <c r="R6" s="4" t="s">
        <v>209</v>
      </c>
      <c r="S6" s="4" t="s">
        <v>210</v>
      </c>
      <c r="T6" s="4" t="s">
        <v>212</v>
      </c>
      <c r="U6" s="4" t="s">
        <v>209</v>
      </c>
      <c r="V6" s="4" t="s">
        <v>210</v>
      </c>
      <c r="W6" s="4" t="s">
        <v>212</v>
      </c>
      <c r="X6" s="4" t="s">
        <v>209</v>
      </c>
      <c r="Y6" s="4" t="s">
        <v>210</v>
      </c>
      <c r="Z6" s="4" t="s">
        <v>212</v>
      </c>
      <c r="AA6" s="4" t="s">
        <v>209</v>
      </c>
      <c r="AB6" s="4" t="s">
        <v>210</v>
      </c>
      <c r="AC6" s="48" t="s">
        <v>227</v>
      </c>
      <c r="AD6" s="4" t="s">
        <v>209</v>
      </c>
      <c r="AE6" s="61" t="s">
        <v>210</v>
      </c>
      <c r="AF6" s="4" t="s">
        <v>224</v>
      </c>
      <c r="AG6" s="4" t="s">
        <v>212</v>
      </c>
      <c r="AH6" s="4" t="s">
        <v>225</v>
      </c>
      <c r="AI6" s="4" t="s">
        <v>210</v>
      </c>
      <c r="AJ6" s="4" t="s">
        <v>212</v>
      </c>
      <c r="AK6" s="4" t="s">
        <v>225</v>
      </c>
      <c r="AL6" s="4" t="s">
        <v>210</v>
      </c>
      <c r="AM6" s="4" t="s">
        <v>212</v>
      </c>
      <c r="AN6" s="4" t="s">
        <v>225</v>
      </c>
      <c r="AO6" s="4" t="s">
        <v>210</v>
      </c>
      <c r="AP6" s="48" t="s">
        <v>227</v>
      </c>
      <c r="AQ6" s="4" t="s">
        <v>209</v>
      </c>
      <c r="AR6" s="61" t="s">
        <v>210</v>
      </c>
      <c r="AS6" s="48" t="s">
        <v>227</v>
      </c>
      <c r="AT6" s="4" t="s">
        <v>209</v>
      </c>
      <c r="AU6" s="61" t="s">
        <v>210</v>
      </c>
    </row>
    <row r="7" spans="1:47" ht="15" thickBot="1" x14ac:dyDescent="0.35">
      <c r="A7" s="8"/>
      <c r="B7" s="8"/>
      <c r="C7" s="8"/>
      <c r="D7" s="4"/>
      <c r="E7" s="5"/>
      <c r="F7" s="5"/>
      <c r="G7" s="5"/>
      <c r="H7" s="5"/>
      <c r="I7" s="5"/>
      <c r="J7" s="5"/>
      <c r="K7" s="5"/>
      <c r="L7" s="5"/>
      <c r="M7" s="8"/>
      <c r="N7" t="s">
        <v>395</v>
      </c>
      <c r="O7" s="68">
        <f>fcross</f>
        <v>4000</v>
      </c>
      <c r="P7" s="64" t="str">
        <f>COMPLEX(ADC_VINmin,0)</f>
        <v>166,243902439024</v>
      </c>
      <c r="Q7" s="65" t="str">
        <f>IMSUM(COMPLEX(1,0),IMDIV(COMPLEX(0,2*PI()*O7),COMPLEX(wp_lf_VINmin,0)))</f>
        <v>1+490,39495080426i</v>
      </c>
      <c r="R7" s="65">
        <f>IMABS(Q7)</f>
        <v>490.39597038955429</v>
      </c>
      <c r="S7" s="65">
        <f t="shared" ref="S7" si="0">IMARGUMENT(Q7)</f>
        <v>1.5687571569129712</v>
      </c>
      <c r="T7" s="65" t="str">
        <f>IMSUM(COMPLEX(1,0),IMDIV(COMPLEX(0,2*PI()*O7),COMPLEX(wz_esr_VINmin,0)))</f>
        <v>1+0,00502654824574366i</v>
      </c>
      <c r="U7" s="65">
        <f>IMABS(T7)</f>
        <v>1.0000126330138368</v>
      </c>
      <c r="V7" s="65">
        <f t="shared" ref="V7" si="1">IMARGUMENT(T7)</f>
        <v>5.0265059124823246E-3</v>
      </c>
      <c r="W7" s="63" t="str">
        <f>IMSUB(COMPLEX(1,0),IMDIV(COMPLEX(0,2*PI()*O7),COMPLEX(wz_RHP_VINmin,0)))</f>
        <v>1-0,193925472443814i</v>
      </c>
      <c r="X7" s="65">
        <f>IMABS(W7)</f>
        <v>1.0186300058718849</v>
      </c>
      <c r="Y7" s="65">
        <f t="shared" ref="Y7" si="2">IMARGUMENT(W7)</f>
        <v>-0.19154790343991401</v>
      </c>
      <c r="Z7" s="63" t="str">
        <f>IMSUM(COMPLEX(1,0),IMDIV(COMPLEX(0,2*PI()*O7),COMPLEX(Q_VINmin*(wsl_VINmin/2),0)),IMDIV(IMPOWER(COMPLEX(0,2*PI()*O7),2),IMPOWER(COMPLEX(wsl_VINmin/2,0),2)))</f>
        <v>0,999936-0,00591797516119976i</v>
      </c>
      <c r="AA7" s="65">
        <f>IMABS(Z7)</f>
        <v>0.99995351218244577</v>
      </c>
      <c r="AB7" s="65">
        <f t="shared" ref="AB7" si="3">IMARGUMENT(Z7)</f>
        <v>-5.9182848367470954E-3</v>
      </c>
      <c r="AC7" s="66" t="str">
        <f>(IMDIV(IMPRODUCT(P7,T7,W7),IMPRODUCT(Q7,Z7)))</f>
        <v>-0,0613372588126504-0,339844390630233i</v>
      </c>
      <c r="AD7" s="67">
        <f>20*LOG(IMABS(AC7))</f>
        <v>-9.2351805300121104</v>
      </c>
      <c r="AE7" s="68">
        <f t="shared" ref="AE7" si="4">(180/PI())*IMARGUMENT(AC7)</f>
        <v>-100.23096029615731</v>
      </c>
      <c r="AF7" s="63" t="str">
        <f t="shared" ref="AF7:AF13" si="5">COMPLEX(Adc_ea,0)</f>
        <v>-0,0000125211169631323</v>
      </c>
      <c r="AG7" s="63" t="str">
        <f>COMPLEX(0,2*PI()*O7*wp0_ea)</f>
        <v>0,000121466538358396i</v>
      </c>
      <c r="AH7" s="63">
        <f>IMABS(AG7)</f>
        <v>1.21466538358396E-4</v>
      </c>
      <c r="AI7" s="63">
        <f>IMARGUMENT(AG7)</f>
        <v>1.5707963267948966</v>
      </c>
      <c r="AJ7" s="63" t="str">
        <f>IMSUM(COMPLEX(1,0),IMDIV(COMPLEX(0,2*PI()*O7),COMPLEX(wp1_ea,0)))</f>
        <v>1+0,194397307202243i</v>
      </c>
      <c r="AK7" s="63">
        <f>IMABS(AJ7)</f>
        <v>1.0187199384754788</v>
      </c>
      <c r="AL7" s="63">
        <f>IMARGUMENT(AJ7)</f>
        <v>0.19200259686498222</v>
      </c>
      <c r="AM7" s="63" t="str">
        <f>IMSUM(COMPLEX(1,0),IMDIV(COMPLEX(0,2*PI()*O7),COMPLEX(wz_ea,0)))</f>
        <v>1+28,4703692638921i</v>
      </c>
      <c r="AN7" s="63">
        <f>IMABS(AM7)</f>
        <v>28.487925969125449</v>
      </c>
      <c r="AO7" s="63">
        <f>IMARGUMENT(AM7)</f>
        <v>1.5356865234224073</v>
      </c>
      <c r="AP7" s="62" t="str">
        <f>IMPRODUCT(AF7,IMDIV(AM7,IMPRODUCT(AG7,AJ7)))</f>
        <v>-2,80862881584555+0,649072728809328i</v>
      </c>
      <c r="AQ7" s="63">
        <f>20*LOG(IMABS(AP7))</f>
        <v>9.1958488677802404</v>
      </c>
      <c r="AR7" s="68">
        <f>(180/PI())*IMARGUMENT(AP7)</f>
        <v>166.98741799130696</v>
      </c>
      <c r="AS7" s="62" t="str">
        <f>IMPRODUCT(AC7,AP7)</f>
        <v>0,392857318583095+0,914684406472333i</v>
      </c>
      <c r="AT7" s="67">
        <f>20*LOG(IMABS(AS7))</f>
        <v>-3.933166223186646E-2</v>
      </c>
      <c r="AU7" s="68">
        <f>(180/PI())*IMARGUMENT(AS7)</f>
        <v>66.756457695149649</v>
      </c>
    </row>
    <row r="8" spans="1:47" ht="15" thickBot="1" x14ac:dyDescent="0.35">
      <c r="A8" s="8"/>
      <c r="B8" s="8"/>
      <c r="C8" s="8"/>
      <c r="D8" s="4"/>
      <c r="E8" s="5"/>
      <c r="F8" s="5"/>
      <c r="G8" s="5"/>
      <c r="H8" s="5"/>
      <c r="I8" s="5"/>
      <c r="J8" s="5"/>
      <c r="K8" s="5"/>
      <c r="L8" s="5"/>
      <c r="M8" s="8"/>
      <c r="N8" s="62" t="s">
        <v>254</v>
      </c>
      <c r="O8" s="68">
        <f>fcross</f>
        <v>4000</v>
      </c>
      <c r="P8" s="64" t="str">
        <f t="shared" ref="P8:P13" si="6">COMPLEX(Adc,0)</f>
        <v>324,571428571429</v>
      </c>
      <c r="Q8" s="65" t="str">
        <f>IMSUM(COMPLEX(1,0),IMDIV(COMPLEX(0,2*PI()*O8),COMPLEX(wp_lf,0)))</f>
        <v>1+574,462656656418i</v>
      </c>
      <c r="R8" s="65">
        <f>IMABS(Q8)</f>
        <v>574.46352703435355</v>
      </c>
      <c r="S8" s="65">
        <f t="shared" ref="S8" si="7">IMARGUMENT(Q8)</f>
        <v>1.5690555713631273</v>
      </c>
      <c r="T8" s="65" t="str">
        <f>IMSUM(COMPLEX(1,0),IMDIV(COMPLEX(0,2*PI()*O8),COMPLEX(wz_esr,0)))</f>
        <v>1+0,00502654824574366i</v>
      </c>
      <c r="U8" s="65">
        <f>IMABS(T8)</f>
        <v>1.0000126330138368</v>
      </c>
      <c r="V8" s="65">
        <f t="shared" ref="V8" si="8">IMARGUMENT(T8)</f>
        <v>5.0265059124823246E-3</v>
      </c>
      <c r="W8" s="63" t="str">
        <f>IMSUB(COMPLEX(1,0),IMDIV(COMPLEX(0,2*PI()*O8),COMPLEX(wz_rhp,0)))</f>
        <v>1-0,0436332312998582i</v>
      </c>
      <c r="X8" s="65">
        <f>IMABS(W8)</f>
        <v>1.0009514767827994</v>
      </c>
      <c r="Y8" s="65">
        <f t="shared" ref="Y8" si="9">IMARGUMENT(W8)</f>
        <v>-4.3605572383328815E-2</v>
      </c>
      <c r="Z8" s="63" t="str">
        <f>IMSUM(COMPLEX(1,0),IMDIV(COMPLEX(0,2*PI()*O8),COMPLEX(Q*(wsl/2),0)),IMDIV(IMPOWER(COMPLEX(0,2*PI()*O8),2),IMPOWER(COMPLEX(wsl/2,0),2)))</f>
        <v>0,999936+0,0374111325164984i</v>
      </c>
      <c r="AA8" s="65">
        <f>IMABS(Z8)</f>
        <v>1.0006355964746443</v>
      </c>
      <c r="AB8" s="65">
        <f t="shared" ref="AB8" si="10">IMARGUMENT(Z8)</f>
        <v>3.7396084826395726E-2</v>
      </c>
      <c r="AC8" s="66" t="str">
        <f>(IMDIV(IMPRODUCT(P8,T8,W8),IMPRODUCT(Q8,Z8)))</f>
        <v>-0,0419176197356772-0,563628111106649i</v>
      </c>
      <c r="AD8" s="67">
        <f>20*LOG(IMABS(AC8))</f>
        <v>-4.9561922118985882</v>
      </c>
      <c r="AE8" s="68">
        <f t="shared" ref="AE8" si="11">(180/PI())*IMARGUMENT(AC8)</f>
        <v>-94.253317577795002</v>
      </c>
      <c r="AF8" s="63" t="str">
        <f t="shared" si="5"/>
        <v>-0,0000125211169631323</v>
      </c>
      <c r="AG8" s="63" t="str">
        <f>COMPLEX(0,2*PI()*O8*wp0_ea)</f>
        <v>0,000121466538358396i</v>
      </c>
      <c r="AH8" s="63">
        <f>IMABS(AG8)</f>
        <v>1.21466538358396E-4</v>
      </c>
      <c r="AI8" s="63">
        <f>IMARGUMENT(AG8)</f>
        <v>1.5707963267948966</v>
      </c>
      <c r="AJ8" s="63" t="str">
        <f>IMSUM(COMPLEX(1,0),IMDIV(COMPLEX(0,2*PI()*O8),COMPLEX(wp1_ea,0)))</f>
        <v>1+0,194397307202243i</v>
      </c>
      <c r="AK8" s="63">
        <f>IMABS(AJ8)</f>
        <v>1.0187199384754788</v>
      </c>
      <c r="AL8" s="63">
        <f>IMARGUMENT(AJ8)</f>
        <v>0.19200259686498222</v>
      </c>
      <c r="AM8" s="63" t="str">
        <f>IMSUM(COMPLEX(1,0),IMDIV(COMPLEX(0,2*PI()*O8),COMPLEX(wz_ea,0)))</f>
        <v>1+28,4703692638921i</v>
      </c>
      <c r="AN8" s="63">
        <f>IMABS(AM8)</f>
        <v>28.487925969125449</v>
      </c>
      <c r="AO8" s="63">
        <f>IMARGUMENT(AM8)</f>
        <v>1.5356865234224073</v>
      </c>
      <c r="AP8" s="62" t="str">
        <f>IMPRODUCT(AF8,IMDIV(AM8,IMPRODUCT(AG8,AJ8)))</f>
        <v>-2,80862881584555+0,649072728809328i</v>
      </c>
      <c r="AQ8" s="63">
        <f>20*LOG(IMABS(AP8))</f>
        <v>9.1958488677802404</v>
      </c>
      <c r="AR8" s="68">
        <f>(180/PI())*IMARGUMENT(AP8)</f>
        <v>166.98741799130696</v>
      </c>
      <c r="AS8" s="62" t="str">
        <f>IMPRODUCT(AC8,AP8)</f>
        <v>0,483566670790919+1,5558145704477i</v>
      </c>
      <c r="AT8" s="67">
        <f>20*LOG(IMABS(AS8))</f>
        <v>4.2396566558816327</v>
      </c>
      <c r="AU8" s="68">
        <f>(180/PI())*IMARGUMENT(AS8)</f>
        <v>72.734100413511925</v>
      </c>
    </row>
    <row r="9" spans="1:47" x14ac:dyDescent="0.3">
      <c r="A9" s="51" t="s">
        <v>159</v>
      </c>
      <c r="B9" s="8"/>
      <c r="C9" s="8"/>
      <c r="D9" s="4"/>
      <c r="E9" s="5"/>
      <c r="F9" s="5"/>
      <c r="G9" s="5"/>
      <c r="H9" s="5"/>
      <c r="I9" s="5"/>
      <c r="J9" s="5"/>
      <c r="K9" s="5"/>
      <c r="L9" s="5"/>
      <c r="M9" s="8"/>
      <c r="N9" s="53" t="s">
        <v>255</v>
      </c>
      <c r="O9" s="69">
        <f>wz_rhp/(2*PI())</f>
        <v>91673.24722093172</v>
      </c>
      <c r="P9" s="54" t="str">
        <f t="shared" si="6"/>
        <v>324,571428571429</v>
      </c>
      <c r="Q9" s="55" t="str">
        <f>IMSUM(COMPLEX(1,0),IMDIV(COMPLEX(0,2*PI()*O9),COMPLEX(wp_lf,0)))</f>
        <v>1+13165,7142857143i</v>
      </c>
      <c r="R9" s="55">
        <f t="shared" ref="R9:R13" si="12">IMABS(Q9)</f>
        <v>13165.714323691729</v>
      </c>
      <c r="S9" s="55">
        <f t="shared" ref="S9:S11" si="13">IMARGUMENT(Q9)</f>
        <v>1.5707203719339315</v>
      </c>
      <c r="T9" s="55" t="str">
        <f t="shared" ref="T9:T13" si="14">IMSUM(COMPLEX(1,0),IMDIV(COMPLEX(0,2*PI()*O9),COMPLEX(wz_esr,0)))</f>
        <v>1+0,1152i</v>
      </c>
      <c r="U9" s="55">
        <f t="shared" ref="U9:U13" si="15">IMABS(T9)</f>
        <v>1.0066136498180422</v>
      </c>
      <c r="V9" s="55">
        <f t="shared" ref="V9:V11" si="16">IMARGUMENT(T9)</f>
        <v>0.1146944118078377</v>
      </c>
      <c r="W9" s="56" t="str">
        <f t="shared" ref="W9:W13" si="17">IMSUB(COMPLEX(1,0),IMDIV(COMPLEX(0,2*PI()*O9),COMPLEX(wz_rhp,0)))</f>
        <v>1-i</v>
      </c>
      <c r="X9" s="55">
        <f t="shared" ref="X9:X13" si="18">IMABS(W9)</f>
        <v>1.4142135623730951</v>
      </c>
      <c r="Y9" s="55">
        <f t="shared" ref="Y9:Y11" si="19">IMARGUMENT(W9)</f>
        <v>-0.78539816339744828</v>
      </c>
      <c r="Z9" s="56" t="str">
        <f t="shared" ref="Z9:Z13" si="20">IMSUM(COMPLEX(1,0),IMDIV(COMPLEX(0,2*PI()*O9),COMPLEX(Q*(wsl/2),0)),IMDIV(IMPOWER(COMPLEX(0,2*PI()*O9),2),IMPOWER(COMPLEX(wsl/2,0),2)))</f>
        <v>0,96638406297588+0,857399999999999i</v>
      </c>
      <c r="AA9" s="55">
        <f t="shared" ref="AA9:AA13" si="21">IMABS(Z9)</f>
        <v>1.2919105685664809</v>
      </c>
      <c r="AB9" s="55">
        <f t="shared" ref="AB9:AB11" si="22">IMARGUMENT(Z9)</f>
        <v>0.72571203155201502</v>
      </c>
      <c r="AC9" s="57" t="str">
        <f t="shared" ref="AC9:AC11" si="23">(IMDIV(IMPRODUCT(P9,T9,W9),IMPRODUCT(Q9,Z9)))</f>
        <v>-0,0267527562093434-0,00471512456211495i</v>
      </c>
      <c r="AD9" s="58">
        <f t="shared" ref="AD9:AD13" si="24">20*LOG(IMABS(AC9))</f>
        <v>-31.319775565865157</v>
      </c>
      <c r="AE9" s="59">
        <f t="shared" ref="AE9:AE11" si="25">(180/PI())*IMARGUMENT(AC9)</f>
        <v>-170.00437892650393</v>
      </c>
      <c r="AF9" s="56" t="str">
        <f t="shared" si="5"/>
        <v>-0,0000125211169631323</v>
      </c>
      <c r="AG9" s="56" t="str">
        <f t="shared" ref="AG9:AG13" si="26">COMPLEX(0,2*PI()*O9*wp0_ea)</f>
        <v>0,002783808i</v>
      </c>
      <c r="AH9" s="56">
        <f t="shared" ref="AH9:AH13" si="27">IMABS(AG9)</f>
        <v>2.783808E-3</v>
      </c>
      <c r="AI9" s="56">
        <f t="shared" ref="AI9:AI11" si="28">IMARGUMENT(AG9)</f>
        <v>1.5707963267948966</v>
      </c>
      <c r="AJ9" s="56" t="str">
        <f t="shared" ref="AJ9:AJ13" si="29">IMSUM(COMPLEX(1,0),IMDIV(COMPLEX(0,2*PI()*O9),COMPLEX(wp1_ea,0)))</f>
        <v>1+4,45525810055866i</v>
      </c>
      <c r="AK9" s="56">
        <f t="shared" ref="AK9:AK13" si="30">IMABS(AJ9)</f>
        <v>4.5661060809614966</v>
      </c>
      <c r="AL9" s="56">
        <f t="shared" ref="AL9:AL11" si="31">IMARGUMENT(AJ9)</f>
        <v>1.3500017430434135</v>
      </c>
      <c r="AM9" s="56" t="str">
        <f t="shared" ref="AM9:AM13" si="32">IMSUM(COMPLEX(1,0),IMDIV(COMPLEX(0,2*PI()*O9),COMPLEX(wz_ea,0)))</f>
        <v>1+652,4928i</v>
      </c>
      <c r="AN9" s="56">
        <f t="shared" ref="AN9:AN13" si="33">IMABS(AM9)</f>
        <v>652.49356629153056</v>
      </c>
      <c r="AO9" s="56">
        <f t="shared" ref="AO9:AO11" si="34">IMARGUMENT(AM9)</f>
        <v>1.5692637440337331</v>
      </c>
      <c r="AP9" s="53" t="str">
        <f t="shared" ref="AP9:AP11" si="35">IMPRODUCT(AF9,IMDIV(AM9,IMPRODUCT(AG9,AJ9)))</f>
        <v>-0,139801543408065+0,627349796579903i</v>
      </c>
      <c r="AQ9" s="56">
        <f t="shared" ref="AQ9:AQ13" si="36">20*LOG(IMABS(AP9))</f>
        <v>-3.8393193848238849</v>
      </c>
      <c r="AR9" s="59">
        <f t="shared" ref="AR9:AR11" si="37">(180/PI())*IMARGUMENT(AP9)</f>
        <v>102.56278726433855</v>
      </c>
      <c r="AS9" s="53" t="str">
        <f t="shared" ref="AS9:AS11" si="38">IMPRODUCT(AC9,AP9)</f>
        <v>0,00669810904337762-0,0161241544747384i</v>
      </c>
      <c r="AT9" s="58">
        <f t="shared" ref="AT9:AT13" si="39">20*LOG(IMABS(AS9))</f>
        <v>-35.159094950689024</v>
      </c>
      <c r="AU9" s="59">
        <f t="shared" ref="AU9:AU11" si="40">(180/PI())*IMARGUMENT(AS9)</f>
        <v>-67.441591662165436</v>
      </c>
    </row>
    <row r="10" spans="1:47" x14ac:dyDescent="0.3">
      <c r="A10" t="s">
        <v>26</v>
      </c>
      <c r="B10" s="3">
        <f>VIN_min</f>
        <v>9</v>
      </c>
      <c r="C10" t="s">
        <v>11</v>
      </c>
      <c r="E10" t="s">
        <v>29</v>
      </c>
      <c r="N10" s="42" t="s">
        <v>208</v>
      </c>
      <c r="O10" s="70">
        <f>wz_esr/(2*PI())</f>
        <v>795774.71545947669</v>
      </c>
      <c r="P10" s="34" t="str">
        <f t="shared" si="6"/>
        <v>324,571428571429</v>
      </c>
      <c r="Q10" s="4" t="str">
        <f t="shared" ref="Q10:Q13" si="41">IMSUM(COMPLEX(1,0),IMDIV(COMPLEX(0,2*PI()*O10),COMPLEX(wp_lf,0)))</f>
        <v>1+114285,714285714i</v>
      </c>
      <c r="R10" s="4">
        <f t="shared" si="12"/>
        <v>114285.71429008902</v>
      </c>
      <c r="S10" s="4">
        <f t="shared" si="13"/>
        <v>1.5707875767948969</v>
      </c>
      <c r="T10" s="4" t="str">
        <f t="shared" si="14"/>
        <v>1+i</v>
      </c>
      <c r="U10" s="4">
        <f t="shared" si="15"/>
        <v>1.4142135623730951</v>
      </c>
      <c r="V10" s="4">
        <f t="shared" si="16"/>
        <v>0.78539816339744828</v>
      </c>
      <c r="W10" t="str">
        <f t="shared" si="17"/>
        <v>1-8,68055555555556i</v>
      </c>
      <c r="X10" s="4">
        <f t="shared" si="18"/>
        <v>8.7379657102260655</v>
      </c>
      <c r="Y10" s="4">
        <f t="shared" si="19"/>
        <v>-1.4561019149870589</v>
      </c>
      <c r="Z10" t="str">
        <f t="shared" si="20"/>
        <v>-1,53302959105845+7,44270833333333i</v>
      </c>
      <c r="AA10" s="4">
        <f t="shared" si="21"/>
        <v>7.5989530240770824</v>
      </c>
      <c r="AB10" s="4">
        <f t="shared" si="22"/>
        <v>1.7739327088925958</v>
      </c>
      <c r="AC10" s="48" t="str">
        <f t="shared" si="23"/>
        <v>-0,00296450927687987+0,00354134764903812i</v>
      </c>
      <c r="AD10" s="20">
        <f t="shared" si="24"/>
        <v>-46.71020171574979</v>
      </c>
      <c r="AE10" s="44">
        <f t="shared" si="25"/>
        <v>129.93314970864023</v>
      </c>
      <c r="AF10" t="str">
        <f t="shared" si="5"/>
        <v>-0,0000125211169631323</v>
      </c>
      <c r="AG10" t="str">
        <f t="shared" si="26"/>
        <v>0,024165i</v>
      </c>
      <c r="AH10">
        <f t="shared" si="27"/>
        <v>2.4164999999999999E-2</v>
      </c>
      <c r="AI10">
        <f t="shared" si="28"/>
        <v>1.5707963267948966</v>
      </c>
      <c r="AJ10" t="str">
        <f t="shared" si="29"/>
        <v>1+38,6741154562384i</v>
      </c>
      <c r="AK10">
        <f t="shared" si="30"/>
        <v>38.687041839903671</v>
      </c>
      <c r="AL10">
        <f t="shared" si="31"/>
        <v>1.5449449992449777</v>
      </c>
      <c r="AM10" t="str">
        <f t="shared" si="32"/>
        <v>1+5664i</v>
      </c>
      <c r="AN10">
        <f t="shared" si="33"/>
        <v>5664.0000882768354</v>
      </c>
      <c r="AO10">
        <f t="shared" si="34"/>
        <v>1.5706197731244147</v>
      </c>
      <c r="AP10" s="42" t="str">
        <f t="shared" si="35"/>
        <v>-0,00194747958405583+0,0758352012016699i</v>
      </c>
      <c r="AQ10">
        <f t="shared" si="36"/>
        <v>-22.399719975202672</v>
      </c>
      <c r="AR10" s="44">
        <f t="shared" si="37"/>
        <v>91.471056183244471</v>
      </c>
      <c r="AS10" s="42" t="str">
        <f t="shared" si="38"/>
        <v>-0,000262785490196399-0,000231710859722948i</v>
      </c>
      <c r="AT10" s="20">
        <f t="shared" si="39"/>
        <v>-69.109921690952447</v>
      </c>
      <c r="AU10" s="44">
        <f t="shared" si="40"/>
        <v>-138.59579410811531</v>
      </c>
    </row>
    <row r="11" spans="1:47" ht="15" thickBot="1" x14ac:dyDescent="0.35">
      <c r="A11" t="s">
        <v>27</v>
      </c>
      <c r="B11" s="3">
        <f>VIN_nom</f>
        <v>24</v>
      </c>
      <c r="C11" t="s">
        <v>11</v>
      </c>
      <c r="E11" t="s">
        <v>30</v>
      </c>
      <c r="N11" s="45" t="s">
        <v>206</v>
      </c>
      <c r="O11" s="71">
        <f>wp_lf/(2*PI())</f>
        <v>6.9630287602704204</v>
      </c>
      <c r="P11" s="60" t="str">
        <f t="shared" si="6"/>
        <v>324,571428571429</v>
      </c>
      <c r="Q11" s="39" t="str">
        <f t="shared" si="41"/>
        <v>1+i</v>
      </c>
      <c r="R11" s="39">
        <f t="shared" si="12"/>
        <v>1.4142135623730951</v>
      </c>
      <c r="S11" s="39">
        <f t="shared" si="13"/>
        <v>0.78539816339744828</v>
      </c>
      <c r="T11" s="39" t="str">
        <f t="shared" si="14"/>
        <v>1+0,00000875i</v>
      </c>
      <c r="U11" s="39">
        <f t="shared" si="15"/>
        <v>1.0000000000382814</v>
      </c>
      <c r="V11" s="39">
        <f t="shared" si="16"/>
        <v>8.7499999997766925E-6</v>
      </c>
      <c r="W11" s="40" t="str">
        <f t="shared" si="17"/>
        <v>1-0,0000759548611111111i</v>
      </c>
      <c r="X11" s="39">
        <f t="shared" si="18"/>
        <v>1.0000000028845704</v>
      </c>
      <c r="Y11" s="39">
        <f t="shared" si="19"/>
        <v>-7.5954860965046339E-5</v>
      </c>
      <c r="Z11" s="40" t="str">
        <f t="shared" si="20"/>
        <v>0,999999999806065+0,0000651236979166666i</v>
      </c>
      <c r="AA11" s="39">
        <f t="shared" si="21"/>
        <v>1.0000000019266129</v>
      </c>
      <c r="AB11" s="39">
        <f t="shared" si="22"/>
        <v>6.5123697837231082E-5</v>
      </c>
      <c r="AC11" s="43" t="str">
        <f t="shared" si="23"/>
        <v>162,264237991866-162,307188061154i</v>
      </c>
      <c r="AD11" s="47">
        <f t="shared" si="24"/>
        <v>47.215905792507932</v>
      </c>
      <c r="AE11" s="46">
        <f t="shared" si="25"/>
        <v>-45.007581867928302</v>
      </c>
      <c r="AF11" s="40" t="str">
        <f t="shared" si="5"/>
        <v>-0,0000125211169631323</v>
      </c>
      <c r="AG11" s="40" t="str">
        <f t="shared" si="26"/>
        <v>0,00000021144375i</v>
      </c>
      <c r="AH11" s="40">
        <f t="shared" si="27"/>
        <v>2.1144374999999999E-7</v>
      </c>
      <c r="AI11" s="40">
        <f t="shared" si="28"/>
        <v>1.5707963267948966</v>
      </c>
      <c r="AJ11" s="40" t="str">
        <f t="shared" si="29"/>
        <v>1+0,000338398510242086i</v>
      </c>
      <c r="AK11" s="40">
        <f t="shared" si="30"/>
        <v>1.0000000572567742</v>
      </c>
      <c r="AL11" s="40">
        <f t="shared" si="31"/>
        <v>3.3839849732501511E-4</v>
      </c>
      <c r="AM11" s="40" t="str">
        <f t="shared" si="32"/>
        <v>1+0,04956i</v>
      </c>
      <c r="AN11" s="40">
        <f t="shared" si="33"/>
        <v>1.0012273436138268</v>
      </c>
      <c r="AO11" s="40">
        <f t="shared" si="34"/>
        <v>4.9519483374992963E-2</v>
      </c>
      <c r="AP11" s="45" t="str">
        <f t="shared" si="35"/>
        <v>-2,91476744425017+59,218234264674i</v>
      </c>
      <c r="AQ11" s="40">
        <f t="shared" si="36"/>
        <v>35.459617935718143</v>
      </c>
      <c r="AR11" s="46">
        <f t="shared" si="37"/>
        <v>92.817868595365042</v>
      </c>
      <c r="AS11" s="45" t="str">
        <f t="shared" si="38"/>
        <v>9138,58256718116+10082,0893659096i</v>
      </c>
      <c r="AT11" s="47">
        <f t="shared" si="39"/>
        <v>82.675523728226082</v>
      </c>
      <c r="AU11" s="46">
        <f t="shared" si="40"/>
        <v>47.810286727436832</v>
      </c>
    </row>
    <row r="12" spans="1:47" x14ac:dyDescent="0.3">
      <c r="A12" t="s">
        <v>28</v>
      </c>
      <c r="B12" s="3">
        <f>VIN_max</f>
        <v>30</v>
      </c>
      <c r="C12" t="s">
        <v>11</v>
      </c>
      <c r="E12" t="s">
        <v>31</v>
      </c>
      <c r="N12" s="53" t="s">
        <v>217</v>
      </c>
      <c r="O12" s="59">
        <f>wz_ea/(2*PI())</f>
        <v>140.4969483508963</v>
      </c>
      <c r="P12" s="54" t="str">
        <f t="shared" si="6"/>
        <v>324,571428571429</v>
      </c>
      <c r="Q12" s="55" t="str">
        <f t="shared" si="41"/>
        <v>1+20,1775625504439i</v>
      </c>
      <c r="R12" s="55">
        <f t="shared" si="12"/>
        <v>20.202327352982778</v>
      </c>
      <c r="S12" s="55">
        <f t="shared" ref="S12:S13" si="42">IMARGUMENT(Q12)</f>
        <v>1.5212768434199035</v>
      </c>
      <c r="T12" s="55" t="str">
        <f t="shared" si="14"/>
        <v>1+0,000176553672316384i</v>
      </c>
      <c r="U12" s="55">
        <f t="shared" si="15"/>
        <v>1.0000000155855995</v>
      </c>
      <c r="V12" s="55">
        <f t="shared" ref="V12:V13" si="43">IMARGUMENT(T12)</f>
        <v>1.765536704819208E-4</v>
      </c>
      <c r="W12" s="56" t="str">
        <f t="shared" si="17"/>
        <v>1-0,00153258396107972i</v>
      </c>
      <c r="X12" s="55">
        <f t="shared" si="18"/>
        <v>1.0000011744061093</v>
      </c>
      <c r="Y12" s="55">
        <f t="shared" ref="Y12:Y13" si="44">IMARGUMENT(W12)</f>
        <v>-1.5325827611633953E-3</v>
      </c>
      <c r="Z12" s="56" t="str">
        <f t="shared" si="20"/>
        <v>0,99999992104243+0,00131403748822975i</v>
      </c>
      <c r="AA12" s="55">
        <f t="shared" si="21"/>
        <v>1.0000007843893857</v>
      </c>
      <c r="AB12" s="55">
        <f t="shared" ref="AB12:AB13" si="45">IMARGUMENT(Z12)</f>
        <v>1.3140368356697927E-3</v>
      </c>
      <c r="AC12" s="57" t="str">
        <f t="shared" ref="AC12:AC13" si="46">(IMDIV(IMPRODUCT(P12,T12,W12),IMPRODUCT(Q12,Z12)))</f>
        <v>0,752409677297744-16,048419761102i</v>
      </c>
      <c r="AD12" s="58">
        <f t="shared" si="24"/>
        <v>24.118181183154988</v>
      </c>
      <c r="AE12" s="59">
        <f t="shared" ref="AE12:AE13" si="47">(180/PI())*IMARGUMENT(AC12)</f>
        <v>-87.315726107546269</v>
      </c>
      <c r="AF12" s="56" t="str">
        <f t="shared" si="5"/>
        <v>-0,0000125211169631323</v>
      </c>
      <c r="AG12" s="56" t="str">
        <f t="shared" si="26"/>
        <v>4,26641949152542E-06i</v>
      </c>
      <c r="AH12" s="56">
        <f t="shared" si="27"/>
        <v>4.2664194915254196E-6</v>
      </c>
      <c r="AI12" s="56">
        <f t="shared" ref="AI12:AI13" si="48">IMARGUMENT(AG12)</f>
        <v>1.5707963267948966</v>
      </c>
      <c r="AJ12" s="56" t="str">
        <f t="shared" si="29"/>
        <v>1+0,00682805710738672i</v>
      </c>
      <c r="AK12" s="56">
        <f t="shared" si="30"/>
        <v>1.0000233109102317</v>
      </c>
      <c r="AL12" s="56">
        <f t="shared" ref="AL12:AL13" si="49">IMARGUMENT(AJ12)</f>
        <v>6.8279509969673326E-3</v>
      </c>
      <c r="AM12" s="56" t="str">
        <f t="shared" si="32"/>
        <v>1+i</v>
      </c>
      <c r="AN12" s="56">
        <f t="shared" si="33"/>
        <v>1.4142135623730951</v>
      </c>
      <c r="AO12" s="56">
        <f t="shared" ref="AO12:AO13" si="50">IMARGUMENT(AM12)</f>
        <v>0.78539816339744828</v>
      </c>
      <c r="AP12" s="53" t="str">
        <f t="shared" ref="AP12:AP13" si="51">IMPRODUCT(AF12,IMDIV(AM12,IMPRODUCT(AG12,AJ12)))</f>
        <v>-2,91463189100201+2,95470807950328i</v>
      </c>
      <c r="AQ12" s="56">
        <f t="shared" si="36"/>
        <v>12.361687835697063</v>
      </c>
      <c r="AR12" s="59">
        <f t="shared" ref="AR12:AR13" si="52">(180/PI())*IMARGUMENT(AP12)</f>
        <v>134.6087872251517</v>
      </c>
      <c r="AS12" s="53" t="str">
        <f t="shared" ref="AS12:AS13" si="53">IMPRODUCT(AC12,AP12)</f>
        <v>45,2253982908376+48,9983869885029i</v>
      </c>
      <c r="AT12" s="58">
        <f t="shared" si="39"/>
        <v>36.479869018852057</v>
      </c>
      <c r="AU12" s="59">
        <f t="shared" ref="AU12:AU13" si="54">(180/PI())*IMARGUMENT(AS12)</f>
        <v>47.293061117605504</v>
      </c>
    </row>
    <row r="13" spans="1:47" ht="15" thickBot="1" x14ac:dyDescent="0.35">
      <c r="A13" t="s">
        <v>60</v>
      </c>
      <c r="B13" s="3">
        <f>Fsw</f>
        <v>1000000</v>
      </c>
      <c r="C13" t="s">
        <v>61</v>
      </c>
      <c r="E13" t="s">
        <v>62</v>
      </c>
      <c r="N13" s="45" t="s">
        <v>223</v>
      </c>
      <c r="O13" s="46">
        <f>wp1_ea/(2*PI())</f>
        <v>20576.416708481269</v>
      </c>
      <c r="P13" s="60" t="str">
        <f t="shared" si="6"/>
        <v>324,571428571429</v>
      </c>
      <c r="Q13" s="39" t="str">
        <f t="shared" si="41"/>
        <v>1+2955,09575170592i</v>
      </c>
      <c r="R13" s="39">
        <f t="shared" si="12"/>
        <v>2955.0959209051703</v>
      </c>
      <c r="S13" s="39">
        <f t="shared" si="42"/>
        <v>1.5704579282975717</v>
      </c>
      <c r="T13" s="39" t="str">
        <f t="shared" si="14"/>
        <v>1+0,0258570878274268i</v>
      </c>
      <c r="U13" s="39">
        <f t="shared" si="15"/>
        <v>1.0003342386377241</v>
      </c>
      <c r="V13" s="39">
        <f t="shared" si="43"/>
        <v>2.5851327549918989E-2</v>
      </c>
      <c r="W13" s="40" t="str">
        <f t="shared" si="17"/>
        <v>1-0,224453887390858i</v>
      </c>
      <c r="X13" s="39">
        <f t="shared" si="18"/>
        <v>1.0248802601108424</v>
      </c>
      <c r="Y13" s="39">
        <f t="shared" si="44"/>
        <v>-0.22079458375148334</v>
      </c>
      <c r="Z13" s="40" t="str">
        <f t="shared" si="20"/>
        <v>0,998306444301756+0,192446763048921i</v>
      </c>
      <c r="AA13" s="39">
        <f t="shared" si="21"/>
        <v>1.0166865364223245</v>
      </c>
      <c r="AB13" s="39">
        <f t="shared" si="45"/>
        <v>0.19043718926939338</v>
      </c>
      <c r="AC13" s="43" t="str">
        <f t="shared" si="46"/>
        <v>-0,0415999958560455-0,102647360172419i</v>
      </c>
      <c r="AD13" s="47">
        <f t="shared" si="24"/>
        <v>-19.112602113105808</v>
      </c>
      <c r="AE13" s="46">
        <f t="shared" si="47"/>
        <v>-112.06128422666717</v>
      </c>
      <c r="AF13" s="40" t="str">
        <f t="shared" si="5"/>
        <v>-0,0000125211169631323</v>
      </c>
      <c r="AG13" s="40" t="str">
        <f t="shared" si="26"/>
        <v>0,000624836527349769i</v>
      </c>
      <c r="AH13" s="40">
        <f t="shared" si="27"/>
        <v>6.2483652734976903E-4</v>
      </c>
      <c r="AI13" s="40">
        <f t="shared" si="48"/>
        <v>1.5707963267948966</v>
      </c>
      <c r="AJ13" s="40" t="str">
        <f t="shared" si="29"/>
        <v>1+i</v>
      </c>
      <c r="AK13" s="40">
        <f t="shared" si="30"/>
        <v>1.4142135623730951</v>
      </c>
      <c r="AL13" s="40">
        <f t="shared" si="49"/>
        <v>0.78539816339744828</v>
      </c>
      <c r="AM13" s="40" t="str">
        <f t="shared" si="32"/>
        <v>1+146,454545454545i</v>
      </c>
      <c r="AN13" s="40">
        <f t="shared" si="33"/>
        <v>146.45795944330712</v>
      </c>
      <c r="AO13" s="40">
        <f t="shared" si="50"/>
        <v>1.5639683757979292</v>
      </c>
      <c r="AP13" s="45" t="str">
        <f t="shared" si="51"/>
        <v>-1,45738388901527+1,47742291748923i</v>
      </c>
      <c r="AQ13" s="40">
        <f t="shared" si="36"/>
        <v>6.3414928696848474</v>
      </c>
      <c r="AR13" s="46">
        <f t="shared" si="52"/>
        <v>134.60878722515162</v>
      </c>
      <c r="AS13" s="45" t="str">
        <f t="shared" si="53"/>
        <v>0,212280726082206+0,0881358217200525i</v>
      </c>
      <c r="AT13" s="47">
        <f t="shared" si="39"/>
        <v>-12.771109243420952</v>
      </c>
      <c r="AU13" s="46">
        <f t="shared" si="54"/>
        <v>22.547502998484433</v>
      </c>
    </row>
    <row r="15" spans="1:47" ht="15" thickBot="1" x14ac:dyDescent="0.35">
      <c r="A15" s="50" t="s">
        <v>216</v>
      </c>
      <c r="O15" s="35" t="s">
        <v>185</v>
      </c>
      <c r="P15">
        <f>B16</f>
        <v>24</v>
      </c>
      <c r="Q15" t="s">
        <v>11</v>
      </c>
    </row>
    <row r="16" spans="1:47" ht="15" thickBot="1" x14ac:dyDescent="0.35">
      <c r="A16" t="s">
        <v>187</v>
      </c>
      <c r="B16" s="30">
        <f>VIN_var</f>
        <v>24</v>
      </c>
      <c r="C16" t="s">
        <v>11</v>
      </c>
      <c r="E16" t="s">
        <v>188</v>
      </c>
      <c r="O16" s="49"/>
      <c r="P16" s="228" t="s">
        <v>214</v>
      </c>
      <c r="Q16" s="228"/>
      <c r="R16" s="228"/>
      <c r="S16" s="228"/>
      <c r="T16" s="228"/>
      <c r="U16" s="228"/>
      <c r="V16" s="228"/>
      <c r="W16" s="228"/>
      <c r="X16" s="228"/>
      <c r="Y16" s="228"/>
      <c r="Z16" s="228"/>
      <c r="AA16" s="228"/>
      <c r="AB16" s="228"/>
      <c r="AC16" s="228"/>
      <c r="AD16" s="228"/>
      <c r="AE16" s="229"/>
      <c r="AF16" s="227" t="s">
        <v>215</v>
      </c>
      <c r="AG16" s="228"/>
      <c r="AH16" s="228"/>
      <c r="AI16" s="228"/>
      <c r="AJ16" s="228"/>
      <c r="AK16" s="228"/>
      <c r="AL16" s="228"/>
      <c r="AM16" s="228"/>
      <c r="AN16" s="228"/>
      <c r="AO16" s="228"/>
      <c r="AP16" s="228"/>
      <c r="AQ16" s="228"/>
      <c r="AR16" s="229"/>
      <c r="AS16" s="227" t="s">
        <v>226</v>
      </c>
      <c r="AT16" s="228"/>
      <c r="AU16" s="229"/>
    </row>
    <row r="17" spans="1:47" x14ac:dyDescent="0.3">
      <c r="A17" t="s">
        <v>501</v>
      </c>
      <c r="B17" s="30">
        <f>POUT_Total</f>
        <v>80</v>
      </c>
      <c r="C17" t="s">
        <v>36</v>
      </c>
      <c r="E17" t="s">
        <v>502</v>
      </c>
      <c r="O17" s="37"/>
      <c r="Q17" s="230" t="s">
        <v>206</v>
      </c>
      <c r="R17" s="230"/>
      <c r="S17" s="230"/>
      <c r="T17" s="231" t="s">
        <v>208</v>
      </c>
      <c r="U17" s="231"/>
      <c r="V17" s="231"/>
      <c r="W17" s="231" t="s">
        <v>208</v>
      </c>
      <c r="X17" s="231"/>
      <c r="Y17" s="231"/>
      <c r="Z17" s="231" t="s">
        <v>211</v>
      </c>
      <c r="AA17" s="231"/>
      <c r="AB17" s="231"/>
      <c r="AC17" s="232" t="s">
        <v>213</v>
      </c>
      <c r="AD17" s="231"/>
      <c r="AE17" s="233"/>
      <c r="AG17" s="231" t="s">
        <v>222</v>
      </c>
      <c r="AH17" s="231"/>
      <c r="AI17" s="231"/>
      <c r="AJ17" s="231" t="s">
        <v>223</v>
      </c>
      <c r="AK17" s="231"/>
      <c r="AL17" s="231"/>
      <c r="AM17" s="231" t="s">
        <v>217</v>
      </c>
      <c r="AN17" s="231"/>
      <c r="AO17" s="231"/>
      <c r="AP17" s="232" t="s">
        <v>213</v>
      </c>
      <c r="AQ17" s="231"/>
      <c r="AR17" s="233"/>
      <c r="AS17" s="232" t="s">
        <v>213</v>
      </c>
      <c r="AT17" s="231"/>
      <c r="AU17" s="233"/>
    </row>
    <row r="18" spans="1:47" ht="15" thickBot="1" x14ac:dyDescent="0.35">
      <c r="A18" t="s">
        <v>503</v>
      </c>
      <c r="B18" s="1">
        <f>Cout_total</f>
        <v>9.9999999999999991E-5</v>
      </c>
      <c r="C18" t="s">
        <v>151</v>
      </c>
      <c r="N18" s="8"/>
      <c r="O18" s="38" t="s">
        <v>184</v>
      </c>
      <c r="P18" s="39" t="s">
        <v>189</v>
      </c>
      <c r="Q18" s="40" t="s">
        <v>212</v>
      </c>
      <c r="R18" s="39" t="s">
        <v>209</v>
      </c>
      <c r="S18" s="39" t="s">
        <v>210</v>
      </c>
      <c r="T18" s="39" t="s">
        <v>212</v>
      </c>
      <c r="U18" s="39" t="s">
        <v>209</v>
      </c>
      <c r="V18" s="39" t="s">
        <v>210</v>
      </c>
      <c r="W18" s="39" t="s">
        <v>212</v>
      </c>
      <c r="X18" s="39" t="s">
        <v>209</v>
      </c>
      <c r="Y18" s="39" t="s">
        <v>210</v>
      </c>
      <c r="Z18" s="39" t="s">
        <v>212</v>
      </c>
      <c r="AA18" s="39" t="s">
        <v>209</v>
      </c>
      <c r="AB18" s="39" t="s">
        <v>210</v>
      </c>
      <c r="AC18" s="43" t="s">
        <v>227</v>
      </c>
      <c r="AD18" s="39" t="s">
        <v>209</v>
      </c>
      <c r="AE18" s="41" t="s">
        <v>210</v>
      </c>
      <c r="AF18" s="39" t="s">
        <v>224</v>
      </c>
      <c r="AG18" s="39" t="s">
        <v>212</v>
      </c>
      <c r="AH18" s="39" t="s">
        <v>225</v>
      </c>
      <c r="AI18" s="39" t="s">
        <v>210</v>
      </c>
      <c r="AJ18" s="39" t="s">
        <v>212</v>
      </c>
      <c r="AK18" s="39" t="s">
        <v>225</v>
      </c>
      <c r="AL18" s="39" t="s">
        <v>210</v>
      </c>
      <c r="AM18" s="39" t="s">
        <v>212</v>
      </c>
      <c r="AN18" s="39" t="s">
        <v>225</v>
      </c>
      <c r="AO18" s="39" t="s">
        <v>210</v>
      </c>
      <c r="AP18" s="43" t="s">
        <v>227</v>
      </c>
      <c r="AQ18" s="39" t="s">
        <v>209</v>
      </c>
      <c r="AR18" s="41" t="s">
        <v>210</v>
      </c>
      <c r="AS18" s="43" t="s">
        <v>227</v>
      </c>
      <c r="AT18" s="39" t="s">
        <v>209</v>
      </c>
      <c r="AU18" s="41" t="s">
        <v>210</v>
      </c>
    </row>
    <row r="19" spans="1:47" x14ac:dyDescent="0.3">
      <c r="A19" t="s">
        <v>491</v>
      </c>
      <c r="B19" s="1">
        <f>Resr_total</f>
        <v>2E-3</v>
      </c>
      <c r="C19" s="2" t="s">
        <v>35</v>
      </c>
      <c r="N19" s="8">
        <v>1</v>
      </c>
      <c r="O19" s="35">
        <f>10^(1+(N19/100))</f>
        <v>10.232929922807543</v>
      </c>
      <c r="P19" s="34" t="str">
        <f t="shared" ref="P19:P82" si="55">COMPLEX(Adc,0)</f>
        <v>324,571428571429</v>
      </c>
      <c r="Q19" s="4" t="str">
        <f t="shared" ref="Q19:Q82" si="56">IMSUM(COMPLEX(1,0),IMDIV(COMPLEX(0,2*PI()*O19),COMPLEX(wp_lf,0)))</f>
        <v>1+1,46960902720875i</v>
      </c>
      <c r="R19" s="4">
        <f>IMABS(Q19)</f>
        <v>1.7775687589664286</v>
      </c>
      <c r="S19" s="4">
        <f>IMARGUMENT(Q19)</f>
        <v>0.97330990936071782</v>
      </c>
      <c r="T19" s="4" t="str">
        <f t="shared" ref="T19:T82" si="57">IMSUM(COMPLEX(1,0),IMDIV(COMPLEX(0,2*PI()*O19),COMPLEX(wz_esr,0)))</f>
        <v>1+0,0000128590789880765i</v>
      </c>
      <c r="U19" s="4">
        <f>IMABS(T19)</f>
        <v>1.0000000000826779</v>
      </c>
      <c r="V19" s="4">
        <f>IMARGUMENT(T19)</f>
        <v>1.2859078987367724E-5</v>
      </c>
      <c r="W19" t="str">
        <f t="shared" ref="W19:W82" si="58">IMSUB(COMPLEX(1,0),IMDIV(COMPLEX(0,2*PI()*O19),COMPLEX(wz_rhp,0)))</f>
        <v>1-0,000111623949549276i</v>
      </c>
      <c r="X19" s="4">
        <f>IMABS(W19)</f>
        <v>1.000000006229953</v>
      </c>
      <c r="Y19" s="4">
        <f>IMARGUMENT(W19)</f>
        <v>-1.1162394908566802E-4</v>
      </c>
      <c r="Z19" t="str">
        <f t="shared" ref="Z19:Z82" si="59">IMSUM(COMPLEX(1,0),IMDIV(COMPLEX(0,2*PI()*O19),COMPLEX(Q*(wsl/2),0)),IMDIV(IMPOWER(COMPLEX(0,2*PI()*O19),2),IMPOWER(COMPLEX(wsl/2,0),2)))</f>
        <v>0,999999999581149+0,0000957063743435488i</v>
      </c>
      <c r="AA19" s="4">
        <f>IMABS(Z19)</f>
        <v>1.000000004161004</v>
      </c>
      <c r="AB19" s="4">
        <f>IMARGUMENT(Z19)</f>
        <v>9.5706374091421301E-5</v>
      </c>
      <c r="AC19" s="48" t="str">
        <f>(IMDIV(IMPRODUCT(P19,T19,W19),IMPRODUCT(Q19,Z19)))</f>
        <v>102,691222577991-150,979067525i</v>
      </c>
      <c r="AD19" s="20">
        <f>20*LOG(IMABS(AC19))</f>
        <v>45.229677581699676</v>
      </c>
      <c r="AE19" s="44">
        <f>(180/PI())*IMARGUMENT(AC19)</f>
        <v>-55.777692346158688</v>
      </c>
      <c r="AF19" t="str">
        <f t="shared" ref="AF19:AF82" si="60">COMPLEX(Adc_ea,0)</f>
        <v>-0,0000125211169631323</v>
      </c>
      <c r="AG19" t="str">
        <f t="shared" ref="AG19:AG82" si="61">COMPLEX(0,2*PI()*O19*wp0_ea)</f>
        <v>3,1073964374687E-07i</v>
      </c>
      <c r="AH19">
        <f>IMABS(AG19)</f>
        <v>3.1073964374686999E-7</v>
      </c>
      <c r="AI19">
        <f>IMARGUMENT(AG19)</f>
        <v>1.5707963267948966</v>
      </c>
      <c r="AJ19" t="str">
        <f t="shared" ref="AJ19:AJ82" si="62">IMSUM(COMPLEX(1,0),IMDIV(COMPLEX(0,2*PI()*O19),COMPLEX(wp1_ea,0)))</f>
        <v>1+0,000497313505445761i</v>
      </c>
      <c r="AK19">
        <f>IMABS(AJ19)</f>
        <v>1.0000001236603537</v>
      </c>
      <c r="AL19">
        <f>IMARGUMENT(AJ19)</f>
        <v>4.9731346444712192E-4</v>
      </c>
      <c r="AM19" t="str">
        <f t="shared" ref="AM19:AM82" si="63">IMSUM(COMPLEX(1,0),IMDIV(COMPLEX(0,2*PI()*O19),COMPLEX(wz_ea,0)))</f>
        <v>1+0,0728338233884655i</v>
      </c>
      <c r="AN19">
        <f>IMABS(AM19)</f>
        <v>1.0026488746462452</v>
      </c>
      <c r="AO19">
        <f>IMARGUMENT(AM19)</f>
        <v>7.2705442965743591E-2</v>
      </c>
      <c r="AP19" s="42" t="str">
        <f>IMPRODUCT(AF19,IMDIV(AM19,IMPRODUCT(AG19,AJ19)))</f>
        <v>-2,91476705714825+40,2960087285236i</v>
      </c>
      <c r="AQ19">
        <f>20*LOG(IMABS(AP19))</f>
        <v>32.127904518629549</v>
      </c>
      <c r="AR19" s="44">
        <f>(180/PI())*IMARGUMENT(AP19)</f>
        <v>94.137221066958375</v>
      </c>
      <c r="AS19" s="42" t="str">
        <f>IMPRODUCT(AC19,AP19)</f>
        <v>5784,53283018315+4578,11521368632i</v>
      </c>
      <c r="AT19" s="20">
        <f>20*LOG(IMABS(AS19))</f>
        <v>77.357582100329225</v>
      </c>
      <c r="AU19" s="44">
        <f>(180/PI())*IMARGUMENT(AS19)</f>
        <v>38.359528720799709</v>
      </c>
    </row>
    <row r="20" spans="1:47" x14ac:dyDescent="0.3">
      <c r="N20" s="8">
        <v>2</v>
      </c>
      <c r="O20" s="35">
        <f t="shared" ref="O20:O83" si="64">10^(1+(N20/100))</f>
        <v>10.471285480509</v>
      </c>
      <c r="P20" s="34" t="str">
        <f t="shared" si="55"/>
        <v>324,571428571429</v>
      </c>
      <c r="Q20" s="4" t="str">
        <f t="shared" si="56"/>
        <v>1+1,50384061893525i</v>
      </c>
      <c r="R20" s="4">
        <f t="shared" ref="R20:R83" si="65">IMABS(Q20)</f>
        <v>1.8059724823926735</v>
      </c>
      <c r="S20" s="4">
        <f t="shared" ref="S20:S83" si="66">IMARGUMENT(Q20)</f>
        <v>0.98397336058503437</v>
      </c>
      <c r="T20" s="4" t="str">
        <f t="shared" si="57"/>
        <v>1+0,0000131586054156834i</v>
      </c>
      <c r="U20" s="4">
        <f t="shared" ref="U20:U83" si="67">IMABS(T20)</f>
        <v>1.0000000000865743</v>
      </c>
      <c r="V20" s="4">
        <f t="shared" ref="V20:V83" si="68">IMARGUMENT(T20)</f>
        <v>1.3158605414923933E-5</v>
      </c>
      <c r="W20" t="str">
        <f t="shared" si="58"/>
        <v>1-0,000114224005344474i</v>
      </c>
      <c r="X20" s="4">
        <f t="shared" ref="X20:X83" si="69">IMABS(W20)</f>
        <v>1.0000000065235617</v>
      </c>
      <c r="Y20" s="4">
        <f t="shared" ref="Y20:Y83" si="70">IMARGUMENT(W20)</f>
        <v>-1.1422400484770912E-4</v>
      </c>
      <c r="Z20" t="str">
        <f t="shared" si="59"/>
        <v>0,999999999561409+0,000097935662182352i</v>
      </c>
      <c r="AA20" s="4">
        <f t="shared" ref="AA20:AA83" si="71">IMABS(Z20)</f>
        <v>1.0000000043571058</v>
      </c>
      <c r="AB20" s="4">
        <f t="shared" ref="AB20:AB83" si="72">IMARGUMENT(Z20)</f>
        <v>9.793566191219254E-5</v>
      </c>
      <c r="AC20" s="48" t="str">
        <f t="shared" ref="AC20:AC83" si="73">(IMDIV(IMPRODUCT(P20,T20,W20),IMPRODUCT(Q20,Z20)))</f>
        <v>99,4850982233809-149,67432174557i</v>
      </c>
      <c r="AD20" s="20">
        <f t="shared" ref="AD20:AD83" si="74">20*LOG(IMABS(AC20))</f>
        <v>45.091983186428649</v>
      </c>
      <c r="AE20" s="44">
        <f t="shared" ref="AE20:AE83" si="75">(180/PI())*IMARGUMENT(AC20)</f>
        <v>-56.388922635760387</v>
      </c>
      <c r="AF20" t="str">
        <f t="shared" si="60"/>
        <v>-0,0000125211169631323</v>
      </c>
      <c r="AG20" t="str">
        <f t="shared" si="61"/>
        <v>3,1797769986999E-07i</v>
      </c>
      <c r="AH20">
        <f t="shared" ref="AH20:AH83" si="76">IMABS(AG20)</f>
        <v>3.1797769986998999E-7</v>
      </c>
      <c r="AI20">
        <f t="shared" ref="AI20:AI83" si="77">IMARGUMENT(AG20)</f>
        <v>1.5707963267948966</v>
      </c>
      <c r="AJ20" t="str">
        <f t="shared" si="62"/>
        <v>1+0,000508897425089224i</v>
      </c>
      <c r="AK20">
        <f t="shared" ref="AK20:AK83" si="78">IMABS(AJ20)</f>
        <v>1.0000001294882863</v>
      </c>
      <c r="AL20">
        <f t="shared" ref="AL20:AL83" si="79">IMARGUMENT(AJ20)</f>
        <v>5.08897381158391E-4</v>
      </c>
      <c r="AM20" t="str">
        <f t="shared" si="63"/>
        <v>1+0,0745303410744309i</v>
      </c>
      <c r="AN20">
        <f t="shared" ref="AN20:AN83" si="80">IMABS(AM20)</f>
        <v>1.0027735396093531</v>
      </c>
      <c r="AO20">
        <f t="shared" ref="AO20:AO83" si="81">IMARGUMENT(AM20)</f>
        <v>7.4392799513952806E-2</v>
      </c>
      <c r="AP20" s="42" t="str">
        <f t="shared" ref="AP20:AP83" si="82">IMPRODUCT(AF20,IMDIV(AM20,IMPRODUCT(AG20,AJ20)))</f>
        <v>-2,91476702317413+39,3788263457387i</v>
      </c>
      <c r="AQ20">
        <f t="shared" ref="AQ20:AQ83" si="83">20*LOG(IMABS(AP20))</f>
        <v>31.928984366293527</v>
      </c>
      <c r="AR20" s="44">
        <f t="shared" ref="AR20:AR83" si="84">(180/PI())*IMARGUMENT(AP20)</f>
        <v>94.233235766166757</v>
      </c>
      <c r="AS20" s="42" t="str">
        <f t="shared" ref="AS20:AS83" si="85">IMPRODUCT(AC20,AP20)</f>
        <v>5604,02324083627+4353,87218416722i</v>
      </c>
      <c r="AT20" s="20">
        <f t="shared" ref="AT20:AT83" si="86">20*LOG(IMABS(AS20))</f>
        <v>77.020967552722169</v>
      </c>
      <c r="AU20" s="44">
        <f t="shared" ref="AU20:AU83" si="87">(180/PI())*IMARGUMENT(AS20)</f>
        <v>37.84431313040642</v>
      </c>
    </row>
    <row r="21" spans="1:47" x14ac:dyDescent="0.3">
      <c r="N21" s="8">
        <v>3</v>
      </c>
      <c r="O21" s="35">
        <f t="shared" si="64"/>
        <v>10.715193052376069</v>
      </c>
      <c r="P21" s="34" t="str">
        <f t="shared" si="55"/>
        <v>324,571428571429</v>
      </c>
      <c r="Q21" s="4" t="str">
        <f t="shared" si="56"/>
        <v>1+1,53886956686359i</v>
      </c>
      <c r="R21" s="4">
        <f t="shared" si="65"/>
        <v>1.8352437287234993</v>
      </c>
      <c r="S21" s="4">
        <f t="shared" si="66"/>
        <v>0.99454227306721665</v>
      </c>
      <c r="T21" s="4" t="str">
        <f t="shared" si="57"/>
        <v>1+0,0000134651087100564i</v>
      </c>
      <c r="U21" s="4">
        <f t="shared" si="67"/>
        <v>1.0000000000906546</v>
      </c>
      <c r="V21" s="4">
        <f t="shared" si="68"/>
        <v>1.3465108709242618E-5</v>
      </c>
      <c r="W21" t="str">
        <f t="shared" si="58"/>
        <v>1-0,00011688462421924i</v>
      </c>
      <c r="X21" s="4">
        <f t="shared" si="69"/>
        <v>1.0000000068310075</v>
      </c>
      <c r="Y21" s="4">
        <f t="shared" si="70"/>
        <v>-1.1688462368694683E-4</v>
      </c>
      <c r="Z21" t="str">
        <f t="shared" si="59"/>
        <v>0,999999999540739+0,000100216876805576i</v>
      </c>
      <c r="AA21" s="4">
        <f t="shared" si="71"/>
        <v>1.00000000456245</v>
      </c>
      <c r="AB21" s="4">
        <f t="shared" si="72"/>
        <v>1.0021687651609488E-4</v>
      </c>
      <c r="AC21" s="48" t="str">
        <f t="shared" si="73"/>
        <v>96,3355687018307-148,313969435939i</v>
      </c>
      <c r="AD21" s="20">
        <f t="shared" si="74"/>
        <v>44.952330786927718</v>
      </c>
      <c r="AE21" s="44">
        <f t="shared" si="75"/>
        <v>-56.994742299886781</v>
      </c>
      <c r="AF21" t="str">
        <f t="shared" si="60"/>
        <v>-0,0000125211169631323</v>
      </c>
      <c r="AG21" t="str">
        <f t="shared" si="61"/>
        <v>3,25384351978513E-07i</v>
      </c>
      <c r="AH21">
        <f t="shared" si="76"/>
        <v>3.2538435197851297E-7</v>
      </c>
      <c r="AI21">
        <f t="shared" si="77"/>
        <v>1.5707963267948966</v>
      </c>
      <c r="AJ21" t="str">
        <f t="shared" si="62"/>
        <v>1+0,000520751168883523i</v>
      </c>
      <c r="AK21">
        <f t="shared" si="78"/>
        <v>1.0000001355908807</v>
      </c>
      <c r="AL21">
        <f t="shared" si="79"/>
        <v>5.2075112181078776E-4</v>
      </c>
      <c r="AM21" t="str">
        <f t="shared" si="63"/>
        <v>1+0,0762663757337596i</v>
      </c>
      <c r="AN21">
        <f t="shared" si="80"/>
        <v>1.0029040632421244</v>
      </c>
      <c r="AO21">
        <f t="shared" si="81"/>
        <v>7.6119020335302962E-2</v>
      </c>
      <c r="AP21" s="42" t="str">
        <f t="shared" si="82"/>
        <v>-2,91476698759885+38,4825231379212i</v>
      </c>
      <c r="AQ21">
        <f t="shared" si="83"/>
        <v>31.73011481788005</v>
      </c>
      <c r="AR21" s="44">
        <f t="shared" si="84"/>
        <v>94.331461764426891</v>
      </c>
      <c r="AS21" s="42" t="str">
        <f t="shared" si="85"/>
        <v>5426,7000251118+4139,53641348462i</v>
      </c>
      <c r="AT21" s="20">
        <f t="shared" si="86"/>
        <v>76.682445604807768</v>
      </c>
      <c r="AU21" s="44">
        <f t="shared" si="87"/>
        <v>37.336719464540145</v>
      </c>
    </row>
    <row r="22" spans="1:47" x14ac:dyDescent="0.3">
      <c r="N22" s="8">
        <v>4</v>
      </c>
      <c r="O22" s="35">
        <f t="shared" si="64"/>
        <v>10.964781961431854</v>
      </c>
      <c r="P22" s="34" t="str">
        <f t="shared" si="55"/>
        <v>324,571428571429</v>
      </c>
      <c r="Q22" s="4" t="str">
        <f t="shared" si="56"/>
        <v>1+1,57471444380563i</v>
      </c>
      <c r="R22" s="4">
        <f t="shared" si="65"/>
        <v>1.8654022567612796</v>
      </c>
      <c r="S22" s="4">
        <f t="shared" si="66"/>
        <v>1.0050128058932719</v>
      </c>
      <c r="T22" s="4" t="str">
        <f t="shared" si="57"/>
        <v>1+0,0000137787513832993i</v>
      </c>
      <c r="U22" s="4">
        <f t="shared" si="67"/>
        <v>1.000000000094927</v>
      </c>
      <c r="V22" s="4">
        <f t="shared" si="68"/>
        <v>1.3778751382427317E-5</v>
      </c>
      <c r="W22" t="str">
        <f t="shared" si="58"/>
        <v>1-0,000119607216868917i</v>
      </c>
      <c r="X22" s="4">
        <f t="shared" si="69"/>
        <v>1.0000000071529431</v>
      </c>
      <c r="Y22" s="4">
        <f t="shared" si="70"/>
        <v>-1.1960721629855458E-4</v>
      </c>
      <c r="Z22" t="str">
        <f t="shared" si="59"/>
        <v>0,999999999519094+0,00010255122774341i</v>
      </c>
      <c r="AA22" s="4">
        <f t="shared" si="71"/>
        <v>1.0000000047774711</v>
      </c>
      <c r="AB22" s="4">
        <f t="shared" si="72"/>
        <v>1.0255122743322548E-4</v>
      </c>
      <c r="AC22" s="48" t="str">
        <f t="shared" si="73"/>
        <v>93,2443983083851-146,900934914288i</v>
      </c>
      <c r="AD22" s="20">
        <f t="shared" si="74"/>
        <v>44.810755805230833</v>
      </c>
      <c r="AE22" s="44">
        <f t="shared" si="75"/>
        <v>-57.59493141119296</v>
      </c>
      <c r="AF22" t="str">
        <f t="shared" si="60"/>
        <v>-0,0000125211169631323</v>
      </c>
      <c r="AG22" t="str">
        <f t="shared" si="61"/>
        <v>3,32963527177427E-07i</v>
      </c>
      <c r="AH22">
        <f t="shared" si="76"/>
        <v>3.3296352717742701E-7</v>
      </c>
      <c r="AI22">
        <f t="shared" si="77"/>
        <v>1.5707963267948966</v>
      </c>
      <c r="AJ22" t="str">
        <f t="shared" si="62"/>
        <v>1+0,000532881021840521i</v>
      </c>
      <c r="AK22">
        <f t="shared" si="78"/>
        <v>1.0000001419810818</v>
      </c>
      <c r="AL22">
        <f t="shared" si="79"/>
        <v>5.3288097140117674E-4</v>
      </c>
      <c r="AM22" t="str">
        <f t="shared" si="63"/>
        <v>1+0,0780428478350071i</v>
      </c>
      <c r="AN22">
        <f t="shared" si="80"/>
        <v>1.0030407200598579</v>
      </c>
      <c r="AO22">
        <f t="shared" si="81"/>
        <v>7.7884979521023467E-2</v>
      </c>
      <c r="AP22" s="42" t="str">
        <f t="shared" si="82"/>
        <v>-2,91476695034695+37,606623873246i</v>
      </c>
      <c r="AQ22">
        <f t="shared" si="83"/>
        <v>31.53129823068312</v>
      </c>
      <c r="AR22" s="44">
        <f t="shared" si="84"/>
        <v>94.431948783373358</v>
      </c>
      <c r="AS22" s="42" t="str">
        <f t="shared" si="85"/>
        <v>5252,66251545555+3934,78900553381i</v>
      </c>
      <c r="AT22" s="20">
        <f t="shared" si="86"/>
        <v>76.342054035913947</v>
      </c>
      <c r="AU22" s="44">
        <f t="shared" si="87"/>
        <v>36.837017372180412</v>
      </c>
    </row>
    <row r="23" spans="1:47" x14ac:dyDescent="0.3">
      <c r="N23" s="8">
        <v>5</v>
      </c>
      <c r="O23" s="35">
        <f t="shared" si="64"/>
        <v>11.220184543019636</v>
      </c>
      <c r="P23" s="34" t="str">
        <f t="shared" si="55"/>
        <v>324,571428571429</v>
      </c>
      <c r="Q23" s="4" t="str">
        <f t="shared" si="56"/>
        <v>1+1,61139425518959i</v>
      </c>
      <c r="R23" s="4">
        <f t="shared" si="65"/>
        <v>1.8964681504465117</v>
      </c>
      <c r="S23" s="4">
        <f t="shared" si="66"/>
        <v>1.015381327189449</v>
      </c>
      <c r="T23" s="4" t="str">
        <f t="shared" si="57"/>
        <v>1+0,0000140996997329089i</v>
      </c>
      <c r="U23" s="4">
        <f t="shared" si="67"/>
        <v>1.0000000000994009</v>
      </c>
      <c r="V23" s="4">
        <f t="shared" si="68"/>
        <v>1.4099699731974554E-5</v>
      </c>
      <c r="W23" t="str">
        <f t="shared" si="58"/>
        <v>1-0,000122393226848168i</v>
      </c>
      <c r="X23" s="4">
        <f t="shared" si="69"/>
        <v>1.000000007490051</v>
      </c>
      <c r="Y23" s="4">
        <f t="shared" si="70"/>
        <v>-1.2239322623701368E-4</v>
      </c>
      <c r="Z23" t="str">
        <f t="shared" si="59"/>
        <v>0,99999999949643+0,000104939952699619i</v>
      </c>
      <c r="AA23" s="4">
        <f t="shared" si="71"/>
        <v>1.0000000050026268</v>
      </c>
      <c r="AB23" s="4">
        <f t="shared" si="72"/>
        <v>1.0493995236725025E-4</v>
      </c>
      <c r="AC23" s="48" t="str">
        <f t="shared" si="73"/>
        <v>90,2131652017333-145,438185643054i</v>
      </c>
      <c r="AD23" s="20">
        <f t="shared" si="74"/>
        <v>44.667294693017439</v>
      </c>
      <c r="AE23" s="44">
        <f t="shared" si="75"/>
        <v>-58.189282022737864</v>
      </c>
      <c r="AF23" t="str">
        <f t="shared" si="60"/>
        <v>-0,0000125211169631323</v>
      </c>
      <c r="AG23" t="str">
        <f t="shared" si="61"/>
        <v>3,40719244045743E-07i</v>
      </c>
      <c r="AH23">
        <f t="shared" si="76"/>
        <v>3.4071924404574302E-7</v>
      </c>
      <c r="AI23">
        <f t="shared" si="77"/>
        <v>1.5707963267948966</v>
      </c>
      <c r="AJ23" t="str">
        <f t="shared" si="62"/>
        <v>1+0,000545293415368812i</v>
      </c>
      <c r="AK23">
        <f t="shared" si="78"/>
        <v>1.0000001486724435</v>
      </c>
      <c r="AL23">
        <f t="shared" si="79"/>
        <v>5.4529336132208138E-4</v>
      </c>
      <c r="AM23" t="str">
        <f t="shared" si="63"/>
        <v>1+0,079860699287196i</v>
      </c>
      <c r="AN23">
        <f t="shared" si="80"/>
        <v>1.0031837973624973</v>
      </c>
      <c r="AO23">
        <f t="shared" si="81"/>
        <v>7.969156932269586E-2</v>
      </c>
      <c r="AP23" s="42" t="str">
        <f t="shared" si="82"/>
        <v>-2,91476691133945+36,7506641383291i</v>
      </c>
      <c r="AQ23">
        <f t="shared" si="83"/>
        <v>31.332537070454507</v>
      </c>
      <c r="AR23" s="44">
        <f t="shared" si="84"/>
        <v>94.534747576764431</v>
      </c>
      <c r="AS23" s="42" t="str">
        <f t="shared" si="85"/>
        <v>5081,99956455862+3739,31214634212i</v>
      </c>
      <c r="AT23" s="20">
        <f t="shared" si="86"/>
        <v>75.999831763471946</v>
      </c>
      <c r="AU23" s="44">
        <f t="shared" si="87"/>
        <v>36.34546555402661</v>
      </c>
    </row>
    <row r="24" spans="1:47" x14ac:dyDescent="0.3">
      <c r="N24" s="8">
        <v>6</v>
      </c>
      <c r="O24" s="35">
        <f t="shared" si="64"/>
        <v>11.481536214968834</v>
      </c>
      <c r="P24" s="34" t="str">
        <f t="shared" si="55"/>
        <v>324,571428571429</v>
      </c>
      <c r="Q24" s="4" t="str">
        <f t="shared" si="56"/>
        <v>1+1,64892844913697i</v>
      </c>
      <c r="R24" s="4">
        <f t="shared" si="65"/>
        <v>1.9284618301571992</v>
      </c>
      <c r="S24" s="4">
        <f t="shared" si="66"/>
        <v>1.0256444167094005</v>
      </c>
      <c r="T24" s="4" t="str">
        <f t="shared" si="57"/>
        <v>1+0,0000144281239299485i</v>
      </c>
      <c r="U24" s="4">
        <f t="shared" si="67"/>
        <v>1.0000000001040854</v>
      </c>
      <c r="V24" s="4">
        <f t="shared" si="68"/>
        <v>1.442812392894733E-5</v>
      </c>
      <c r="W24" t="str">
        <f t="shared" si="58"/>
        <v>1-0,000125244131336359i</v>
      </c>
      <c r="X24" s="4">
        <f t="shared" si="69"/>
        <v>1.0000000078430462</v>
      </c>
      <c r="Y24" s="4">
        <f t="shared" si="70"/>
        <v>-1.2524413068149532E-4</v>
      </c>
      <c r="Z24" t="str">
        <f t="shared" si="59"/>
        <v>0,999999999472697+0,000107384318207794i</v>
      </c>
      <c r="AA24" s="4">
        <f t="shared" si="71"/>
        <v>1.0000000052383928</v>
      </c>
      <c r="AB24" s="4">
        <f t="shared" si="72"/>
        <v>1.0738431785165453E-4</v>
      </c>
      <c r="AC24" s="48" t="str">
        <f t="shared" si="73"/>
        <v>87,2432623964947-143,928718951803i</v>
      </c>
      <c r="AD24" s="20">
        <f t="shared" si="74"/>
        <v>44.521984817182627</v>
      </c>
      <c r="AE24" s="44">
        <f t="shared" si="75"/>
        <v>-58.777598316293926</v>
      </c>
      <c r="AF24" t="str">
        <f t="shared" si="60"/>
        <v>-0,0000125211169631323</v>
      </c>
      <c r="AG24" t="str">
        <f t="shared" si="61"/>
        <v>3,48655614767206E-07i</v>
      </c>
      <c r="AH24">
        <f t="shared" si="76"/>
        <v>3.4865561476720599E-7</v>
      </c>
      <c r="AI24">
        <f t="shared" si="77"/>
        <v>1.5707963267948966</v>
      </c>
      <c r="AJ24" t="str">
        <f t="shared" si="62"/>
        <v>1+0,000557994930683744i</v>
      </c>
      <c r="AK24">
        <f t="shared" si="78"/>
        <v>1.0000001556791591</v>
      </c>
      <c r="AL24">
        <f t="shared" si="79"/>
        <v>5.5799487277162919E-4</v>
      </c>
      <c r="AM24" t="str">
        <f t="shared" si="63"/>
        <v>1+0,0817208939392283i</v>
      </c>
      <c r="AN24">
        <f t="shared" si="80"/>
        <v>1.0033335958225593</v>
      </c>
      <c r="AO24">
        <f t="shared" si="81"/>
        <v>8.1539700421515746E-2</v>
      </c>
      <c r="AP24" s="42" t="str">
        <f t="shared" si="82"/>
        <v>-2,91476687049355+35,9141900919887i</v>
      </c>
      <c r="AQ24">
        <f t="shared" si="83"/>
        <v>31.133833916264045</v>
      </c>
      <c r="AR24" s="44">
        <f t="shared" si="84"/>
        <v>94.63990994571418</v>
      </c>
      <c r="AS24" s="42" t="str">
        <f t="shared" si="85"/>
        <v>4914,78960122439+3552,78977166625i</v>
      </c>
      <c r="AT24" s="20">
        <f t="shared" si="86"/>
        <v>75.655818733446665</v>
      </c>
      <c r="AU24" s="44">
        <f t="shared" si="87"/>
        <v>35.862311629420248</v>
      </c>
    </row>
    <row r="25" spans="1:47" x14ac:dyDescent="0.3">
      <c r="A25" t="s">
        <v>32</v>
      </c>
      <c r="B25" s="30">
        <f>VOUT1</f>
        <v>160</v>
      </c>
      <c r="C25" t="s">
        <v>11</v>
      </c>
      <c r="E25" t="s">
        <v>160</v>
      </c>
      <c r="N25" s="8">
        <v>7</v>
      </c>
      <c r="O25" s="35">
        <f t="shared" si="64"/>
        <v>11.748975549395301</v>
      </c>
      <c r="P25" s="34" t="str">
        <f t="shared" si="55"/>
        <v>324,571428571429</v>
      </c>
      <c r="Q25" s="4" t="str">
        <f t="shared" si="56"/>
        <v>1+1,68733692677424i</v>
      </c>
      <c r="R25" s="4">
        <f t="shared" si="65"/>
        <v>1.9614040645557806</v>
      </c>
      <c r="S25" s="4">
        <f t="shared" si="66"/>
        <v>1.0357988674943548</v>
      </c>
      <c r="T25" s="4" t="str">
        <f t="shared" si="57"/>
        <v>1+0,0000147641981092746i</v>
      </c>
      <c r="U25" s="4">
        <f t="shared" si="67"/>
        <v>1.0000000001089908</v>
      </c>
      <c r="V25" s="4">
        <f t="shared" si="68"/>
        <v>1.4764198108201826E-5</v>
      </c>
      <c r="W25" t="str">
        <f t="shared" si="58"/>
        <v>1-0,000128161441920786i</v>
      </c>
      <c r="X25" s="4">
        <f t="shared" si="69"/>
        <v>1.0000000082126776</v>
      </c>
      <c r="Y25" s="4">
        <f t="shared" si="70"/>
        <v>-1.2816144121908694E-4</v>
      </c>
      <c r="Z25" t="str">
        <f t="shared" si="59"/>
        <v>0,999999999447846+0,000109885620302882i</v>
      </c>
      <c r="AA25" s="4">
        <f t="shared" si="71"/>
        <v>1.0000000054852707</v>
      </c>
      <c r="AB25" s="4">
        <f t="shared" si="72"/>
        <v>1.0988561992127167E-4</v>
      </c>
      <c r="AC25" s="48" t="str">
        <f t="shared" si="73"/>
        <v>84,3358997812888-142,375549191133i</v>
      </c>
      <c r="AD25" s="20">
        <f t="shared" si="74"/>
        <v>44.374864346337084</v>
      </c>
      <c r="AE25" s="44">
        <f t="shared" si="75"/>
        <v>-59.359696697546191</v>
      </c>
      <c r="AF25" t="str">
        <f t="shared" si="60"/>
        <v>-0,0000125211169631323</v>
      </c>
      <c r="AG25" t="str">
        <f t="shared" si="61"/>
        <v>3,5677684731062E-07i</v>
      </c>
      <c r="AH25">
        <f t="shared" si="76"/>
        <v>3.5677684731062E-7</v>
      </c>
      <c r="AI25">
        <f t="shared" si="77"/>
        <v>1.5707963267948966</v>
      </c>
      <c r="AJ25" t="str">
        <f t="shared" si="62"/>
        <v>1+0,000570992302296861i</v>
      </c>
      <c r="AK25">
        <f t="shared" si="78"/>
        <v>1.0000001630160913</v>
      </c>
      <c r="AL25">
        <f t="shared" si="79"/>
        <v>5.7099224024291257E-4</v>
      </c>
      <c r="AM25" t="str">
        <f t="shared" si="63"/>
        <v>1+0,0836244180909311i</v>
      </c>
      <c r="AN25">
        <f t="shared" si="80"/>
        <v>1.0034904300993841</v>
      </c>
      <c r="AO25">
        <f t="shared" si="81"/>
        <v>8.3430302193262154E-2</v>
      </c>
      <c r="AP25" s="42" t="str">
        <f t="shared" si="82"/>
        <v>-2,91476682772267+35,0967582246136i</v>
      </c>
      <c r="AQ25">
        <f t="shared" si="83"/>
        <v>30.935191465565772</v>
      </c>
      <c r="AR25" s="44">
        <f t="shared" si="84"/>
        <v>94.747488753674332</v>
      </c>
      <c r="AS25" s="42" t="str">
        <f t="shared" si="85"/>
        <v>4751,10074398913+3374,90821214025i</v>
      </c>
      <c r="AT25" s="20">
        <f t="shared" si="86"/>
        <v>75.310055811902856</v>
      </c>
      <c r="AU25" s="44">
        <f t="shared" si="87"/>
        <v>35.387792056128156</v>
      </c>
    </row>
    <row r="26" spans="1:47" x14ac:dyDescent="0.3">
      <c r="A26" t="s">
        <v>33</v>
      </c>
      <c r="B26" s="30">
        <f>IOUT1</f>
        <v>0.5</v>
      </c>
      <c r="C26" t="s">
        <v>12</v>
      </c>
      <c r="E26" t="s">
        <v>34</v>
      </c>
      <c r="N26" s="8">
        <v>8</v>
      </c>
      <c r="O26" s="35">
        <f t="shared" si="64"/>
        <v>12.022644346174133</v>
      </c>
      <c r="P26" s="34" t="str">
        <f t="shared" si="55"/>
        <v>324,571428571429</v>
      </c>
      <c r="Q26" s="4" t="str">
        <f t="shared" si="56"/>
        <v>1+1,72664005278462i</v>
      </c>
      <c r="R26" s="4">
        <f t="shared" si="65"/>
        <v>1.9953159829661256</v>
      </c>
      <c r="S26" s="4">
        <f t="shared" si="66"/>
        <v>1.0458416866397366</v>
      </c>
      <c r="T26" s="4" t="str">
        <f t="shared" si="57"/>
        <v>1+0,0000151081004618654i</v>
      </c>
      <c r="U26" s="4">
        <f t="shared" si="67"/>
        <v>1.0000000001141274</v>
      </c>
      <c r="V26" s="4">
        <f t="shared" si="68"/>
        <v>1.5108100460715901E-5</v>
      </c>
      <c r="W26" t="str">
        <f t="shared" si="58"/>
        <v>1-0,000131146705398137i</v>
      </c>
      <c r="X26" s="4">
        <f t="shared" si="69"/>
        <v>1.0000000085997292</v>
      </c>
      <c r="Y26" s="4">
        <f t="shared" si="70"/>
        <v>-1.3114670464625289E-4</v>
      </c>
      <c r="Z26" t="str">
        <f t="shared" si="59"/>
        <v>0,999999999421824+0,000112445185208363i</v>
      </c>
      <c r="AA26" s="4">
        <f t="shared" si="71"/>
        <v>1.0000000057437839</v>
      </c>
      <c r="AB26" s="4">
        <f t="shared" si="72"/>
        <v>1.1244518479946013E-4</v>
      </c>
      <c r="AC26" s="48" t="str">
        <f t="shared" si="73"/>
        <v>81,4921070905844-140,781695397788i</v>
      </c>
      <c r="AD26" s="20">
        <f t="shared" si="74"/>
        <v>44.225972138849571</v>
      </c>
      <c r="AE26" s="44">
        <f t="shared" si="75"/>
        <v>-59.935405840096507</v>
      </c>
      <c r="AF26" t="str">
        <f t="shared" si="60"/>
        <v>-0,0000125211169631323</v>
      </c>
      <c r="AG26" t="str">
        <f t="shared" si="61"/>
        <v>3,65087247660978E-07i</v>
      </c>
      <c r="AH26">
        <f t="shared" si="76"/>
        <v>3.6508724766097799E-7</v>
      </c>
      <c r="AI26">
        <f t="shared" si="77"/>
        <v>1.5707963267948966</v>
      </c>
      <c r="AJ26" t="str">
        <f t="shared" si="62"/>
        <v>1+0,000584292421586631i</v>
      </c>
      <c r="AK26">
        <f t="shared" si="78"/>
        <v>1.0000001706988024</v>
      </c>
      <c r="AL26">
        <f t="shared" si="79"/>
        <v>5.8429235509462789E-4</v>
      </c>
      <c r="AM26" t="str">
        <f t="shared" si="63"/>
        <v>1+0,0855722810160056i</v>
      </c>
      <c r="AN26">
        <f t="shared" si="80"/>
        <v>1.00365462948082</v>
      </c>
      <c r="AO26">
        <f t="shared" si="81"/>
        <v>8.5364322968169273E-2</v>
      </c>
      <c r="AP26" s="42" t="str">
        <f t="shared" si="82"/>
        <v>-2,91476678293606+34,2979351230072i</v>
      </c>
      <c r="AQ26">
        <f t="shared" si="83"/>
        <v>30.736612539476262</v>
      </c>
      <c r="AR26" s="44">
        <f t="shared" si="84"/>
        <v>94.857537941119119</v>
      </c>
      <c r="AS26" s="42" t="str">
        <f t="shared" si="85"/>
        <v>4590,99096844119+3205,35681142091i</v>
      </c>
      <c r="AT26" s="20">
        <f t="shared" si="86"/>
        <v>74.962584678325825</v>
      </c>
      <c r="AU26" s="44">
        <f t="shared" si="87"/>
        <v>34.922132101022591</v>
      </c>
    </row>
    <row r="27" spans="1:47" x14ac:dyDescent="0.3">
      <c r="N27" s="8">
        <v>9</v>
      </c>
      <c r="O27" s="35">
        <f t="shared" si="64"/>
        <v>12.302687708123818</v>
      </c>
      <c r="P27" s="34" t="str">
        <f t="shared" si="55"/>
        <v>324,571428571429</v>
      </c>
      <c r="Q27" s="4" t="str">
        <f t="shared" si="56"/>
        <v>1+1,76685866620577i</v>
      </c>
      <c r="R27" s="4">
        <f t="shared" si="65"/>
        <v>2.0302190882627498</v>
      </c>
      <c r="S27" s="4">
        <f t="shared" si="66"/>
        <v>1.0557700952070939</v>
      </c>
      <c r="T27" s="4" t="str">
        <f t="shared" si="57"/>
        <v>1+0,0000154600133293005i</v>
      </c>
      <c r="U27" s="4">
        <f t="shared" si="67"/>
        <v>1.000000000119506</v>
      </c>
      <c r="V27" s="4">
        <f t="shared" si="68"/>
        <v>1.546001332806879E-5</v>
      </c>
      <c r="W27" t="str">
        <f t="shared" si="58"/>
        <v>1-0,000134201504594622i</v>
      </c>
      <c r="X27" s="4">
        <f t="shared" si="69"/>
        <v>1.0000000090050218</v>
      </c>
      <c r="Y27" s="4">
        <f t="shared" si="70"/>
        <v>-1.3420150378896367E-4</v>
      </c>
      <c r="Z27" t="str">
        <f t="shared" si="59"/>
        <v>0,999999999394576+0,000115064370039429i</v>
      </c>
      <c r="AA27" s="4">
        <f t="shared" si="71"/>
        <v>1.0000000060144805</v>
      </c>
      <c r="AB27" s="4">
        <f t="shared" si="72"/>
        <v>1.1506436960128164E-4</v>
      </c>
      <c r="AC27" s="48" t="str">
        <f t="shared" si="73"/>
        <v>78,7127377526533-139,150169540611i</v>
      </c>
      <c r="AD27" s="20">
        <f t="shared" si="74"/>
        <v>44.075347632993029</v>
      </c>
      <c r="AE27" s="44">
        <f t="shared" si="75"/>
        <v>-60.504566680498584</v>
      </c>
      <c r="AF27" t="str">
        <f t="shared" si="60"/>
        <v>-0,0000125211169631323</v>
      </c>
      <c r="AG27" t="str">
        <f t="shared" si="61"/>
        <v>3,73591222102546E-07i</v>
      </c>
      <c r="AH27">
        <f t="shared" si="76"/>
        <v>3.7359122210254598E-7</v>
      </c>
      <c r="AI27">
        <f t="shared" si="77"/>
        <v>1.5707963267948966</v>
      </c>
      <c r="AJ27" t="str">
        <f t="shared" si="62"/>
        <v>1+0,000597902340452352i</v>
      </c>
      <c r="AK27">
        <f t="shared" si="78"/>
        <v>1.0000001787435884</v>
      </c>
      <c r="AL27">
        <f t="shared" si="79"/>
        <v>5.9790226920488764E-4</v>
      </c>
      <c r="AM27" t="str">
        <f t="shared" si="63"/>
        <v>1+0,087565515497158i</v>
      </c>
      <c r="AN27">
        <f t="shared" si="80"/>
        <v>1.0038265385534908</v>
      </c>
      <c r="AO27">
        <f t="shared" si="81"/>
        <v>8.7342730284834427E-2</v>
      </c>
      <c r="AP27" s="42" t="str">
        <f t="shared" si="82"/>
        <v>-2,91476673603872+33,5172972405878i</v>
      </c>
      <c r="AQ27">
        <f t="shared" si="83"/>
        <v>30.538100088274227</v>
      </c>
      <c r="AR27" s="44">
        <f t="shared" si="84"/>
        <v>94.970112539883729</v>
      </c>
      <c r="AS27" s="42" t="str">
        <f t="shared" si="85"/>
        <v>4434,50832386687+3043,82851336724i</v>
      </c>
      <c r="AT27" s="20">
        <f t="shared" si="86"/>
        <v>74.613447721267249</v>
      </c>
      <c r="AU27" s="44">
        <f t="shared" si="87"/>
        <v>34.46554585938518</v>
      </c>
    </row>
    <row r="28" spans="1:47" x14ac:dyDescent="0.3">
      <c r="A28" t="s">
        <v>161</v>
      </c>
      <c r="N28" s="8">
        <v>10</v>
      </c>
      <c r="O28" s="35">
        <f t="shared" si="64"/>
        <v>12.58925411794168</v>
      </c>
      <c r="P28" s="34" t="str">
        <f t="shared" si="55"/>
        <v>324,571428571429</v>
      </c>
      <c r="Q28" s="4" t="str">
        <f t="shared" si="56"/>
        <v>1+1,80801409147889i</v>
      </c>
      <c r="R28" s="4">
        <f t="shared" si="65"/>
        <v>2.0661352702536773</v>
      </c>
      <c r="S28" s="4">
        <f t="shared" si="66"/>
        <v>1.0655815273246241</v>
      </c>
      <c r="T28" s="4" t="str">
        <f t="shared" si="57"/>
        <v>1+0,0000158201233004403i</v>
      </c>
      <c r="U28" s="4">
        <f t="shared" si="67"/>
        <v>1.0000000001251381</v>
      </c>
      <c r="V28" s="4">
        <f t="shared" si="68"/>
        <v>1.5820123299120501E-5</v>
      </c>
      <c r="W28" t="str">
        <f t="shared" si="58"/>
        <v>1-0,000137327459205211i</v>
      </c>
      <c r="X28" s="4">
        <f t="shared" si="69"/>
        <v>1.0000000094294155</v>
      </c>
      <c r="Y28" s="4">
        <f t="shared" si="70"/>
        <v>-1.3732745834193254E-4</v>
      </c>
      <c r="Z28" t="str">
        <f t="shared" si="59"/>
        <v>0,999999999366043+0,000117744563522547i</v>
      </c>
      <c r="AA28" s="4">
        <f t="shared" si="71"/>
        <v>1.000000006297934</v>
      </c>
      <c r="AB28" s="4">
        <f t="shared" si="72"/>
        <v>1.1774456305306366E-4</v>
      </c>
      <c r="AC28" s="48" t="str">
        <f t="shared" si="73"/>
        <v>75,9984735318642-137,483965406362i</v>
      </c>
      <c r="AD28" s="20">
        <f t="shared" si="74"/>
        <v>43.923030739711237</v>
      </c>
      <c r="AE28" s="44">
        <f t="shared" si="75"/>
        <v>-61.067032366806657</v>
      </c>
      <c r="AF28" t="str">
        <f t="shared" si="60"/>
        <v>-0,0000125211169631323</v>
      </c>
      <c r="AG28" t="str">
        <f t="shared" si="61"/>
        <v>3,82293279555139E-07i</v>
      </c>
      <c r="AH28">
        <f t="shared" si="76"/>
        <v>3.8229327955513899E-7</v>
      </c>
      <c r="AI28">
        <f t="shared" si="77"/>
        <v>1.5707963267948966</v>
      </c>
      <c r="AJ28" t="str">
        <f t="shared" si="62"/>
        <v>1+0,000611829275053154i</v>
      </c>
      <c r="AK28">
        <f t="shared" si="78"/>
        <v>1.0000001871675135</v>
      </c>
      <c r="AL28">
        <f t="shared" si="79"/>
        <v>6.1182919871012131E-4</v>
      </c>
      <c r="AM28" t="str">
        <f t="shared" si="63"/>
        <v>1+0,0896051783736936i</v>
      </c>
      <c r="AN28">
        <f t="shared" si="80"/>
        <v>1.0040065179028379</v>
      </c>
      <c r="AO28">
        <f t="shared" si="81"/>
        <v>8.9366511137225824E-2</v>
      </c>
      <c r="AP28" s="42" t="str">
        <f t="shared" si="82"/>
        <v>-2,91476668693117+32,7544306728162i</v>
      </c>
      <c r="AQ28">
        <f t="shared" si="83"/>
        <v>30.33965719712732</v>
      </c>
      <c r="AR28" s="44">
        <f t="shared" si="84"/>
        <v>95.085268687102925</v>
      </c>
      <c r="AS28" s="42" t="str">
        <f t="shared" si="85"/>
        <v>4281,69119461825+2890,02041489296i</v>
      </c>
      <c r="AT28" s="20">
        <f t="shared" si="86"/>
        <v>74.262687936838546</v>
      </c>
      <c r="AU28" s="44">
        <f t="shared" si="87"/>
        <v>34.018236320296218</v>
      </c>
    </row>
    <row r="29" spans="1:47" x14ac:dyDescent="0.3">
      <c r="A29" t="s">
        <v>162</v>
      </c>
      <c r="B29" s="30">
        <f>Lm</f>
        <v>4.9999999999999996E-6</v>
      </c>
      <c r="C29" t="s">
        <v>75</v>
      </c>
      <c r="E29" t="s">
        <v>163</v>
      </c>
      <c r="N29" s="8">
        <v>11</v>
      </c>
      <c r="O29" s="35">
        <f t="shared" si="64"/>
        <v>12.882495516931346</v>
      </c>
      <c r="P29" s="34" t="str">
        <f t="shared" si="55"/>
        <v>324,571428571429</v>
      </c>
      <c r="Q29" s="4" t="str">
        <f t="shared" si="56"/>
        <v>1+1,8501281497552i</v>
      </c>
      <c r="R29" s="4">
        <f t="shared" si="65"/>
        <v>2.1030868195385088</v>
      </c>
      <c r="S29" s="4">
        <f t="shared" si="66"/>
        <v>1.0752736285234956</v>
      </c>
      <c r="T29" s="4" t="str">
        <f t="shared" si="57"/>
        <v>1+0,000016188621310358i</v>
      </c>
      <c r="U29" s="4">
        <f t="shared" si="67"/>
        <v>1.0000000001310356</v>
      </c>
      <c r="V29" s="4">
        <f t="shared" si="68"/>
        <v>1.6188621308943806E-5</v>
      </c>
      <c r="W29" t="str">
        <f t="shared" si="58"/>
        <v>1-0,000140526226652413i</v>
      </c>
      <c r="X29" s="4">
        <f t="shared" si="69"/>
        <v>1.0000000098738102</v>
      </c>
      <c r="Y29" s="4">
        <f t="shared" si="70"/>
        <v>-1.4052622572739349E-4</v>
      </c>
      <c r="Z29" t="str">
        <f t="shared" si="59"/>
        <v>0,999999999336165+0,000120487186731779i</v>
      </c>
      <c r="AA29" s="4">
        <f t="shared" si="71"/>
        <v>1.0000000065947461</v>
      </c>
      <c r="AB29" s="4">
        <f t="shared" si="72"/>
        <v>1.2048718622871862E-4</v>
      </c>
      <c r="AC29" s="48" t="str">
        <f t="shared" si="73"/>
        <v>73,349829880779-135,786048173711i</v>
      </c>
      <c r="AD29" s="20">
        <f t="shared" si="74"/>
        <v>43.769061738468551</v>
      </c>
      <c r="AE29" s="44">
        <f t="shared" si="75"/>
        <v>-61.622668163338368</v>
      </c>
      <c r="AF29" t="str">
        <f t="shared" si="60"/>
        <v>-0,0000125211169631323</v>
      </c>
      <c r="AG29" t="str">
        <f t="shared" si="61"/>
        <v>3,91198033964801E-07i</v>
      </c>
      <c r="AH29">
        <f t="shared" si="76"/>
        <v>3.9119803396480099E-7</v>
      </c>
      <c r="AI29">
        <f t="shared" si="77"/>
        <v>1.5707963267948966</v>
      </c>
      <c r="AJ29" t="str">
        <f t="shared" si="62"/>
        <v>1+0,000626080609634105i</v>
      </c>
      <c r="AK29">
        <f t="shared" si="78"/>
        <v>1.0000001959884457</v>
      </c>
      <c r="AL29">
        <f t="shared" si="79"/>
        <v>6.2608052783107257E-4</v>
      </c>
      <c r="AM29" t="str">
        <f t="shared" si="63"/>
        <v>1+0,0916923511018676i</v>
      </c>
      <c r="AN29">
        <f t="shared" si="80"/>
        <v>1.0041949448441712</v>
      </c>
      <c r="AO29">
        <f t="shared" si="81"/>
        <v>9.1436672213788234E-2</v>
      </c>
      <c r="AP29" s="42" t="str">
        <f t="shared" si="82"/>
        <v>-2,91476663550926+32,0089309377408i</v>
      </c>
      <c r="AQ29">
        <f t="shared" si="83"/>
        <v>30.141287092056302</v>
      </c>
      <c r="AR29" s="44">
        <f t="shared" si="84"/>
        <v>95.203063638691134</v>
      </c>
      <c r="AS29" s="42" t="str">
        <f t="shared" si="85"/>
        <v>4132,56860144429+2743,63428173328i</v>
      </c>
      <c r="AT29" s="20">
        <f t="shared" si="86"/>
        <v>73.910348830524853</v>
      </c>
      <c r="AU29" s="44">
        <f t="shared" si="87"/>
        <v>33.580395475352788</v>
      </c>
    </row>
    <row r="30" spans="1:47" x14ac:dyDescent="0.3">
      <c r="N30" s="8">
        <v>12</v>
      </c>
      <c r="O30" s="35">
        <f t="shared" si="64"/>
        <v>13.182567385564075</v>
      </c>
      <c r="P30" s="34" t="str">
        <f t="shared" si="55"/>
        <v>324,571428571429</v>
      </c>
      <c r="Q30" s="4" t="str">
        <f t="shared" si="56"/>
        <v>1+1,89322317046585i</v>
      </c>
      <c r="R30" s="4">
        <f t="shared" si="65"/>
        <v>2.141096441823386</v>
      </c>
      <c r="S30" s="4">
        <f t="shared" si="66"/>
        <v>1.0848442533601965</v>
      </c>
      <c r="T30" s="4" t="str">
        <f t="shared" si="57"/>
        <v>1+0,0000165657027415762i</v>
      </c>
      <c r="U30" s="4">
        <f t="shared" si="67"/>
        <v>1.0000000001372111</v>
      </c>
      <c r="V30" s="4">
        <f t="shared" si="68"/>
        <v>1.6565702740060863E-5</v>
      </c>
      <c r="W30" t="str">
        <f t="shared" si="58"/>
        <v>1-0,000143799502965071i</v>
      </c>
      <c r="X30" s="4">
        <f t="shared" si="69"/>
        <v>1.0000000103391484</v>
      </c>
      <c r="Y30" s="4">
        <f t="shared" si="70"/>
        <v>-1.4379950197389473E-4</v>
      </c>
      <c r="Z30" t="str">
        <f t="shared" si="59"/>
        <v>0,99999999930488+0,000123293693842252i</v>
      </c>
      <c r="AA30" s="4">
        <f t="shared" si="71"/>
        <v>1.0000000069055475</v>
      </c>
      <c r="AB30" s="4">
        <f t="shared" si="72"/>
        <v>1.23293693303213E-4</v>
      </c>
      <c r="AC30" s="48" t="str">
        <f t="shared" si="73"/>
        <v>70,7671619161003-134,059344713258i</v>
      </c>
      <c r="AD30" s="20">
        <f t="shared" si="74"/>
        <v>43.613481176593794</v>
      </c>
      <c r="AE30" s="44">
        <f t="shared" si="75"/>
        <v>-62.171351314534519</v>
      </c>
      <c r="AF30" t="str">
        <f t="shared" si="60"/>
        <v>-0,0000125211169631323</v>
      </c>
      <c r="AG30" t="str">
        <f t="shared" si="61"/>
        <v>4,00310206750189E-07i</v>
      </c>
      <c r="AH30">
        <f t="shared" si="76"/>
        <v>4.0031020675018899E-7</v>
      </c>
      <c r="AI30">
        <f t="shared" si="77"/>
        <v>1.5707963267948966</v>
      </c>
      <c r="AJ30" t="str">
        <f t="shared" si="62"/>
        <v>1+0,000640663900441443i</v>
      </c>
      <c r="AK30">
        <f t="shared" si="78"/>
        <v>1.0000002052250956</v>
      </c>
      <c r="AL30">
        <f t="shared" si="79"/>
        <v>6.406638127879154E-4</v>
      </c>
      <c r="AM30" t="str">
        <f t="shared" si="63"/>
        <v>1+0,0938281403282876i</v>
      </c>
      <c r="AN30">
        <f t="shared" si="80"/>
        <v>1.0043922141860047</v>
      </c>
      <c r="AO30">
        <f t="shared" si="81"/>
        <v>9.355424012756354E-2</v>
      </c>
      <c r="AP30" s="42" t="str">
        <f t="shared" si="82"/>
        <v>-2,91476658166391+31,2804027615338i</v>
      </c>
      <c r="AQ30">
        <f t="shared" si="83"/>
        <v>29.942993146142094</v>
      </c>
      <c r="AR30" s="44">
        <f t="shared" si="84"/>
        <v>95.323555782303316</v>
      </c>
      <c r="AS30" s="42" t="str">
        <f t="shared" si="85"/>
        <v>3987,16053794576+2604,37702495626i</v>
      </c>
      <c r="AT30" s="20">
        <f t="shared" si="86"/>
        <v>73.55647432273588</v>
      </c>
      <c r="AU30" s="44">
        <f t="shared" si="87"/>
        <v>33.152204467768797</v>
      </c>
    </row>
    <row r="31" spans="1:47" x14ac:dyDescent="0.3">
      <c r="A31" t="s">
        <v>124</v>
      </c>
      <c r="B31" s="30">
        <f>R_cs</f>
        <v>6.0000000000000001E-3</v>
      </c>
      <c r="C31" s="2" t="s">
        <v>35</v>
      </c>
      <c r="E31" t="s">
        <v>164</v>
      </c>
      <c r="N31" s="8">
        <v>13</v>
      </c>
      <c r="O31" s="35">
        <f t="shared" si="64"/>
        <v>13.489628825916535</v>
      </c>
      <c r="P31" s="34" t="str">
        <f t="shared" si="55"/>
        <v>324,571428571429</v>
      </c>
      <c r="Q31" s="4" t="str">
        <f t="shared" si="56"/>
        <v>1+1,93732200316126i</v>
      </c>
      <c r="R31" s="4">
        <f t="shared" si="65"/>
        <v>2.1801872726747025</v>
      </c>
      <c r="S31" s="4">
        <f t="shared" si="66"/>
        <v>1.0942914623774129</v>
      </c>
      <c r="T31" s="4" t="str">
        <f t="shared" si="57"/>
        <v>1+0,000016951567527661i</v>
      </c>
      <c r="U31" s="4">
        <f t="shared" si="67"/>
        <v>1.000000000143678</v>
      </c>
      <c r="V31" s="4">
        <f t="shared" si="68"/>
        <v>1.6951567526037291E-5</v>
      </c>
      <c r="W31" t="str">
        <f t="shared" si="58"/>
        <v>1-0,000147149023677613i</v>
      </c>
      <c r="X31" s="4">
        <f t="shared" si="69"/>
        <v>1.0000000108264175</v>
      </c>
      <c r="Y31" s="4">
        <f t="shared" si="70"/>
        <v>-1.471490226155485E-4</v>
      </c>
      <c r="Z31" t="str">
        <f t="shared" si="59"/>
        <v>0,99999999927212+0,000126165572901185i</v>
      </c>
      <c r="AA31" s="4">
        <f t="shared" si="71"/>
        <v>1.0000000072309958</v>
      </c>
      <c r="AB31" s="4">
        <f t="shared" si="72"/>
        <v>1.261655723235943E-4</v>
      </c>
      <c r="AC31" s="48" t="str">
        <f t="shared" si="73"/>
        <v>68,2506709323767-132,306734641252i</v>
      </c>
      <c r="AD31" s="20">
        <f t="shared" si="74"/>
        <v>43.456329772475712</v>
      </c>
      <c r="AE31" s="44">
        <f t="shared" si="75"/>
        <v>-62.712970870918625</v>
      </c>
      <c r="AF31" t="str">
        <f t="shared" si="60"/>
        <v>-0,0000125211169631323</v>
      </c>
      <c r="AG31" t="str">
        <f t="shared" si="61"/>
        <v>4,09634629305928E-07i</v>
      </c>
      <c r="AH31">
        <f t="shared" si="76"/>
        <v>4.0963462930592798E-7</v>
      </c>
      <c r="AI31">
        <f t="shared" si="77"/>
        <v>1.5707963267948966</v>
      </c>
      <c r="AJ31" t="str">
        <f t="shared" si="62"/>
        <v>1+0,000655586879728983i</v>
      </c>
      <c r="AK31">
        <f t="shared" si="78"/>
        <v>1.0000002148970555</v>
      </c>
      <c r="AL31">
        <f t="shared" si="79"/>
        <v>6.5558678580653713E-4</v>
      </c>
      <c r="AM31" t="str">
        <f t="shared" si="63"/>
        <v>1+0,0960136784766719i</v>
      </c>
      <c r="AN31">
        <f t="shared" si="80"/>
        <v>1.0045987390269917</v>
      </c>
      <c r="AO31">
        <f t="shared" si="81"/>
        <v>9.5720261636166232E-2</v>
      </c>
      <c r="AP31" s="42" t="str">
        <f t="shared" si="82"/>
        <v>-2,91476652528092+30,5684598689128i</v>
      </c>
      <c r="AQ31">
        <f t="shared" si="83"/>
        <v>29.744778885985824</v>
      </c>
      <c r="AR31" s="44">
        <f t="shared" si="84"/>
        <v>95.446804649709065</v>
      </c>
      <c r="AS31" s="42" t="str">
        <f t="shared" si="85"/>
        <v>3845,47833730635+2471,96113662428i</v>
      </c>
      <c r="AT31" s="20">
        <f t="shared" si="86"/>
        <v>73.201108658461536</v>
      </c>
      <c r="AU31" s="44">
        <f t="shared" si="87"/>
        <v>32.73383377879049</v>
      </c>
    </row>
    <row r="32" spans="1:47" x14ac:dyDescent="0.3">
      <c r="A32" t="s">
        <v>125</v>
      </c>
      <c r="B32" s="30">
        <f>R_sl</f>
        <v>0</v>
      </c>
      <c r="C32" s="2" t="s">
        <v>35</v>
      </c>
      <c r="E32" t="s">
        <v>165</v>
      </c>
      <c r="N32" s="8">
        <v>14</v>
      </c>
      <c r="O32" s="35">
        <f t="shared" si="64"/>
        <v>13.803842646028857</v>
      </c>
      <c r="P32" s="34" t="str">
        <f t="shared" si="55"/>
        <v>324,571428571429</v>
      </c>
      <c r="Q32" s="4" t="str">
        <f t="shared" si="56"/>
        <v>1+1,98244802962623i</v>
      </c>
      <c r="R32" s="4">
        <f t="shared" si="65"/>
        <v>2.2203828926941678</v>
      </c>
      <c r="S32" s="4">
        <f t="shared" si="66"/>
        <v>1.1036135184576148</v>
      </c>
      <c r="T32" s="4" t="str">
        <f t="shared" si="57"/>
        <v>1+0,0000173464202592295i</v>
      </c>
      <c r="U32" s="4">
        <f t="shared" si="67"/>
        <v>1.000000000150449</v>
      </c>
      <c r="V32" s="4">
        <f t="shared" si="68"/>
        <v>1.7346420257489663E-5</v>
      </c>
      <c r="W32" t="str">
        <f t="shared" si="58"/>
        <v>1-0,000150576564750256i</v>
      </c>
      <c r="X32" s="4">
        <f t="shared" si="69"/>
        <v>1.000000011336651</v>
      </c>
      <c r="Y32" s="4">
        <f t="shared" si="70"/>
        <v>-1.5057656361223338E-4</v>
      </c>
      <c r="Z32" t="str">
        <f t="shared" si="59"/>
        <v>0,999999999237816+0,000129104346616869i</v>
      </c>
      <c r="AA32" s="4">
        <f t="shared" si="71"/>
        <v>1.0000000075717821</v>
      </c>
      <c r="AB32" s="4">
        <f t="shared" si="72"/>
        <v>1.2910434599796943E-4</v>
      </c>
      <c r="AC32" s="48" t="str">
        <f t="shared" si="73"/>
        <v>65,8004113683182-130,531042145048i</v>
      </c>
      <c r="AD32" s="20">
        <f t="shared" si="74"/>
        <v>43.297648322916089</v>
      </c>
      <c r="AE32" s="44">
        <f t="shared" si="75"/>
        <v>-63.247427480265259</v>
      </c>
      <c r="AF32" t="str">
        <f t="shared" si="60"/>
        <v>-0,0000125211169631323</v>
      </c>
      <c r="AG32" t="str">
        <f t="shared" si="61"/>
        <v>4,19176245564281E-07i</v>
      </c>
      <c r="AH32">
        <f t="shared" si="76"/>
        <v>4.1917624556428102E-7</v>
      </c>
      <c r="AI32">
        <f t="shared" si="77"/>
        <v>1.5707963267948966</v>
      </c>
      <c r="AJ32" t="str">
        <f t="shared" si="62"/>
        <v>1+0,000670857459857874i</v>
      </c>
      <c r="AK32">
        <f t="shared" si="78"/>
        <v>1.0000002250248403</v>
      </c>
      <c r="AL32">
        <f t="shared" si="79"/>
        <v>6.7085735921816126E-4</v>
      </c>
      <c r="AM32" t="str">
        <f t="shared" si="63"/>
        <v>1+0,0982501243482759i</v>
      </c>
      <c r="AN32">
        <f t="shared" si="80"/>
        <v>1.0048149515878293</v>
      </c>
      <c r="AO32">
        <f t="shared" si="81"/>
        <v>9.7935803850369846E-2</v>
      </c>
      <c r="AP32" s="42" t="str">
        <f t="shared" si="82"/>
        <v>-2,91476646624068+29,8727247783322i</v>
      </c>
      <c r="AQ32">
        <f t="shared" si="83"/>
        <v>29.546647998428874</v>
      </c>
      <c r="AR32" s="44">
        <f t="shared" si="84"/>
        <v>95.572870928508792</v>
      </c>
      <c r="AS32" s="42" t="str">
        <f t="shared" si="85"/>
        <v>3707,52506450668+2346,10508355465i</v>
      </c>
      <c r="AT32" s="20">
        <f t="shared" si="86"/>
        <v>72.844296321344956</v>
      </c>
      <c r="AU32" s="44">
        <f t="shared" si="87"/>
        <v>32.325443448243604</v>
      </c>
    </row>
    <row r="33" spans="1:47" x14ac:dyDescent="0.3">
      <c r="A33" t="s">
        <v>111</v>
      </c>
      <c r="B33" s="12">
        <f>Rsl_int</f>
        <v>1333</v>
      </c>
      <c r="C33" s="2" t="s">
        <v>35</v>
      </c>
      <c r="E33" t="s">
        <v>166</v>
      </c>
      <c r="N33" s="8">
        <v>15</v>
      </c>
      <c r="O33" s="35">
        <f t="shared" si="64"/>
        <v>14.125375446227544</v>
      </c>
      <c r="P33" s="34" t="str">
        <f t="shared" si="55"/>
        <v>324,571428571429</v>
      </c>
      <c r="Q33" s="4" t="str">
        <f t="shared" si="56"/>
        <v>1+2,02862517627731i</v>
      </c>
      <c r="R33" s="4">
        <f t="shared" si="65"/>
        <v>2.2617073430986041</v>
      </c>
      <c r="S33" s="4">
        <f t="shared" si="66"/>
        <v>1.11280888262447</v>
      </c>
      <c r="T33" s="4" t="str">
        <f t="shared" si="57"/>
        <v>1+0,0000177504702924264i</v>
      </c>
      <c r="U33" s="4">
        <f t="shared" si="67"/>
        <v>1.0000000001575398</v>
      </c>
      <c r="V33" s="4">
        <f t="shared" si="68"/>
        <v>1.775047029056213E-5</v>
      </c>
      <c r="W33" t="str">
        <f t="shared" si="58"/>
        <v>1-0,000154083943510646i</v>
      </c>
      <c r="X33" s="4">
        <f t="shared" si="69"/>
        <v>1.0000000118709307</v>
      </c>
      <c r="Y33" s="4">
        <f t="shared" si="70"/>
        <v>-1.5408394229123279E-4</v>
      </c>
      <c r="Z33" t="str">
        <f t="shared" si="59"/>
        <v>0,999999999201895+0,000132111573166028i</v>
      </c>
      <c r="AA33" s="4">
        <f t="shared" si="71"/>
        <v>1.0000000079286286</v>
      </c>
      <c r="AB33" s="4">
        <f t="shared" si="72"/>
        <v>1.3211157250286523E-4</v>
      </c>
      <c r="AC33" s="48" t="str">
        <f t="shared" si="73"/>
        <v>63,416298142554-128,735028589191i</v>
      </c>
      <c r="AD33" s="20">
        <f t="shared" si="74"/>
        <v>43.137477614892205</v>
      </c>
      <c r="AE33" s="44">
        <f t="shared" si="75"/>
        <v>-63.774633147132349</v>
      </c>
      <c r="AF33" t="str">
        <f t="shared" si="60"/>
        <v>-0,0000125211169631323</v>
      </c>
      <c r="AG33" t="str">
        <f t="shared" si="61"/>
        <v>4,28940114616485E-07i</v>
      </c>
      <c r="AH33">
        <f t="shared" si="76"/>
        <v>4.28940114616485E-7</v>
      </c>
      <c r="AI33">
        <f t="shared" si="77"/>
        <v>1.5707963267948966</v>
      </c>
      <c r="AJ33" t="str">
        <f t="shared" si="62"/>
        <v>1+0,00068648373749183i</v>
      </c>
      <c r="AK33">
        <f t="shared" si="78"/>
        <v>1.0000002356299331</v>
      </c>
      <c r="AL33">
        <f t="shared" si="79"/>
        <v>6.8648362965443633E-4</v>
      </c>
      <c r="AM33" t="str">
        <f t="shared" si="63"/>
        <v>1+0,100538663736303i</v>
      </c>
      <c r="AN33">
        <f t="shared" si="80"/>
        <v>1.0050413040795296</v>
      </c>
      <c r="AO33">
        <f t="shared" si="81"/>
        <v>0.10020195442996818</v>
      </c>
      <c r="AP33" s="42" t="str">
        <f t="shared" si="82"/>
        <v>-2,91476640441795+29,1928286018377i</v>
      </c>
      <c r="AQ33">
        <f t="shared" si="83"/>
        <v>29.348604337541587</v>
      </c>
      <c r="AR33" s="44">
        <f t="shared" si="84"/>
        <v>95.701816473115372</v>
      </c>
      <c r="AS33" s="42" t="str">
        <f t="shared" si="85"/>
        <v>3573,29592933846+2226,53365864218i</v>
      </c>
      <c r="AT33" s="20">
        <f t="shared" si="86"/>
        <v>72.486081952433793</v>
      </c>
      <c r="AU33" s="44">
        <f t="shared" si="87"/>
        <v>31.927183325983069</v>
      </c>
    </row>
    <row r="34" spans="1:47" x14ac:dyDescent="0.3">
      <c r="A34" t="s">
        <v>109</v>
      </c>
      <c r="B34" s="12">
        <f>Isl</f>
        <v>2.9999999999999997E-5</v>
      </c>
      <c r="C34" s="2" t="s">
        <v>12</v>
      </c>
      <c r="E34" t="s">
        <v>167</v>
      </c>
      <c r="N34" s="8">
        <v>16</v>
      </c>
      <c r="O34" s="35">
        <f t="shared" si="64"/>
        <v>14.454397707459275</v>
      </c>
      <c r="P34" s="34" t="str">
        <f t="shared" si="55"/>
        <v>324,571428571429</v>
      </c>
      <c r="Q34" s="4" t="str">
        <f t="shared" si="56"/>
        <v>1+2,07587792684888i</v>
      </c>
      <c r="R34" s="4">
        <f t="shared" si="65"/>
        <v>2.3041851416885764</v>
      </c>
      <c r="S34" s="4">
        <f t="shared" si="66"/>
        <v>1.1218762093474968</v>
      </c>
      <c r="T34" s="4" t="str">
        <f t="shared" si="57"/>
        <v>1+0,0000181639318599277i</v>
      </c>
      <c r="U34" s="4">
        <f t="shared" si="67"/>
        <v>1.0000000001649643</v>
      </c>
      <c r="V34" s="4">
        <f t="shared" si="68"/>
        <v>1.8163931857930103E-5</v>
      </c>
      <c r="W34" t="str">
        <f t="shared" si="58"/>
        <v>1-0,000157673019617428i</v>
      </c>
      <c r="X34" s="4">
        <f t="shared" si="69"/>
        <v>1.0000000124303905</v>
      </c>
      <c r="Y34" s="4">
        <f t="shared" si="70"/>
        <v>-1.5767301831080322E-4</v>
      </c>
      <c r="Z34" t="str">
        <f t="shared" si="59"/>
        <v>0,999999999164282+0,000135188847019982i</v>
      </c>
      <c r="AA34" s="4">
        <f t="shared" si="71"/>
        <v>1.000000008302294</v>
      </c>
      <c r="AB34" s="4">
        <f t="shared" si="72"/>
        <v>1.351888463093902E-4</v>
      </c>
      <c r="AC34" s="48" t="str">
        <f t="shared" si="73"/>
        <v>61,0981142785465-126,921385902649i</v>
      </c>
      <c r="AD34" s="20">
        <f t="shared" si="74"/>
        <v>42.975858341932707</v>
      </c>
      <c r="AE34" s="44">
        <f t="shared" si="75"/>
        <v>-64.294510963935053</v>
      </c>
      <c r="AF34" t="str">
        <f t="shared" si="60"/>
        <v>-0,0000125211169631323</v>
      </c>
      <c r="AG34" t="str">
        <f t="shared" si="61"/>
        <v>4,38931413395152E-07i</v>
      </c>
      <c r="AH34">
        <f t="shared" si="76"/>
        <v>4.38931413395152E-7</v>
      </c>
      <c r="AI34">
        <f t="shared" si="77"/>
        <v>1.5707963267948966</v>
      </c>
      <c r="AJ34" t="str">
        <f t="shared" si="62"/>
        <v>1+0,00070247399789009i</v>
      </c>
      <c r="AK34">
        <f t="shared" si="78"/>
        <v>1.0000002467348283</v>
      </c>
      <c r="AL34">
        <f t="shared" si="79"/>
        <v>7.0247388234024244E-4</v>
      </c>
      <c r="AM34" t="str">
        <f t="shared" si="63"/>
        <v>1+0,10288051005463i</v>
      </c>
      <c r="AN34">
        <f t="shared" si="80"/>
        <v>1.0052782696095151</v>
      </c>
      <c r="AO34">
        <f t="shared" si="81"/>
        <v>0.10251982176548666</v>
      </c>
      <c r="AP34" s="42" t="str">
        <f t="shared" si="82"/>
        <v>-2,91476633968161+28,5284108494767i</v>
      </c>
      <c r="AQ34">
        <f t="shared" si="83"/>
        <v>29.150651931888696</v>
      </c>
      <c r="AR34" s="44">
        <f t="shared" si="84"/>
        <v>95.83370431491953</v>
      </c>
      <c r="AS34" s="42" t="str">
        <f t="shared" si="85"/>
        <v>3442,77871569862+2112,97828968143i</v>
      </c>
      <c r="AT34" s="20">
        <f t="shared" si="86"/>
        <v>72.126510273821395</v>
      </c>
      <c r="AU34" s="44">
        <f t="shared" si="87"/>
        <v>31.539193350984462</v>
      </c>
    </row>
    <row r="35" spans="1:47" x14ac:dyDescent="0.3">
      <c r="C35" s="2"/>
      <c r="N35" s="8">
        <v>17</v>
      </c>
      <c r="O35" s="35">
        <f t="shared" si="64"/>
        <v>14.791083881682074</v>
      </c>
      <c r="P35" s="34" t="str">
        <f t="shared" si="55"/>
        <v>324,571428571429</v>
      </c>
      <c r="Q35" s="4" t="str">
        <f t="shared" si="56"/>
        <v>1+2,12423133537476i</v>
      </c>
      <c r="R35" s="4">
        <f t="shared" si="65"/>
        <v>2.3478412991912454</v>
      </c>
      <c r="S35" s="4">
        <f t="shared" si="66"/>
        <v>1.1308143414051741</v>
      </c>
      <c r="T35" s="4" t="str">
        <f t="shared" si="57"/>
        <v>1+0,0000185870241845291i</v>
      </c>
      <c r="U35" s="4">
        <f t="shared" si="67"/>
        <v>1.0000000001727387</v>
      </c>
      <c r="V35" s="4">
        <f t="shared" si="68"/>
        <v>1.8587024182388636E-5</v>
      </c>
      <c r="W35" t="str">
        <f t="shared" si="58"/>
        <v>1-0,00016134569604626i</v>
      </c>
      <c r="X35" s="4">
        <f t="shared" si="69"/>
        <v>1.0000000130162168</v>
      </c>
      <c r="Y35" s="4">
        <f t="shared" si="70"/>
        <v>-1.6134569464618632E-4</v>
      </c>
      <c r="Z35" t="str">
        <f t="shared" si="59"/>
        <v>0,999999999124895+0,000138337799790063i</v>
      </c>
      <c r="AA35" s="4">
        <f t="shared" si="71"/>
        <v>1.0000000086935683</v>
      </c>
      <c r="AB35" s="4">
        <f t="shared" si="72"/>
        <v>1.3833779902865028E-4</v>
      </c>
      <c r="AC35" s="48" t="str">
        <f t="shared" si="73"/>
        <v>58,8455187419854-125,092730739986i</v>
      </c>
      <c r="AD35" s="20">
        <f t="shared" si="74"/>
        <v>42.812831025259911</v>
      </c>
      <c r="AE35" s="44">
        <f t="shared" si="75"/>
        <v>-64.806994816720149</v>
      </c>
      <c r="AF35" t="str">
        <f t="shared" si="60"/>
        <v>-0,0000125211169631323</v>
      </c>
      <c r="AG35" t="str">
        <f t="shared" si="61"/>
        <v>4,49155439419146E-07i</v>
      </c>
      <c r="AH35">
        <f t="shared" si="76"/>
        <v>4.49155439419146E-7</v>
      </c>
      <c r="AI35">
        <f t="shared" si="77"/>
        <v>1.5707963267948966</v>
      </c>
      <c r="AJ35" t="str">
        <f t="shared" si="62"/>
        <v>1+0,000718836719300374i</v>
      </c>
      <c r="AK35">
        <f t="shared" si="78"/>
        <v>1.0000002583630812</v>
      </c>
      <c r="AL35">
        <f t="shared" si="79"/>
        <v>7.188365954864833E-4</v>
      </c>
      <c r="AM35" t="str">
        <f t="shared" si="63"/>
        <v>1+0,105276904981173i</v>
      </c>
      <c r="AN35">
        <f t="shared" si="80"/>
        <v>1.0055263431270287</v>
      </c>
      <c r="AO35">
        <f t="shared" si="81"/>
        <v>0.10489053514420793</v>
      </c>
      <c r="AP35" s="42" t="str">
        <f t="shared" si="82"/>
        <v>-2,91476627189436+27,8791192381617i</v>
      </c>
      <c r="AQ35">
        <f t="shared" si="83"/>
        <v>28.952794992079781</v>
      </c>
      <c r="AR35" s="44">
        <f t="shared" si="84"/>
        <v>95.968598671550822</v>
      </c>
      <c r="AS35" s="42" t="str">
        <f t="shared" si="85"/>
        <v>3315,95422284606+2005,17730605936i</v>
      </c>
      <c r="AT35" s="20">
        <f t="shared" si="86"/>
        <v>71.765626017339684</v>
      </c>
      <c r="AU35" s="44">
        <f t="shared" si="87"/>
        <v>31.161603854830631</v>
      </c>
    </row>
    <row r="36" spans="1:47" x14ac:dyDescent="0.3">
      <c r="A36" t="s">
        <v>190</v>
      </c>
      <c r="B36" s="12">
        <f>Gcomp</f>
        <v>0.14199999999999999</v>
      </c>
      <c r="C36" s="2"/>
      <c r="E36" t="s">
        <v>191</v>
      </c>
      <c r="N36" s="8">
        <v>18</v>
      </c>
      <c r="O36" s="35">
        <f t="shared" si="64"/>
        <v>15.135612484362087</v>
      </c>
      <c r="P36" s="34" t="str">
        <f t="shared" si="55"/>
        <v>324,571428571429</v>
      </c>
      <c r="Q36" s="4" t="str">
        <f t="shared" si="56"/>
        <v>1+2,17371103947218i</v>
      </c>
      <c r="R36" s="4">
        <f t="shared" si="65"/>
        <v>2.3927013359638569</v>
      </c>
      <c r="S36" s="4">
        <f t="shared" si="66"/>
        <v>1.1396223043609355</v>
      </c>
      <c r="T36" s="4" t="str">
        <f t="shared" si="57"/>
        <v>1+0,0000190199715953816i</v>
      </c>
      <c r="U36" s="4">
        <f t="shared" si="67"/>
        <v>1.0000000001808798</v>
      </c>
      <c r="V36" s="4">
        <f t="shared" si="68"/>
        <v>1.901997159308805E-5</v>
      </c>
      <c r="W36" t="str">
        <f t="shared" si="58"/>
        <v>1-0,000165103920098798i</v>
      </c>
      <c r="X36" s="4">
        <f t="shared" si="69"/>
        <v>1.0000000136296521</v>
      </c>
      <c r="Y36" s="4">
        <f t="shared" si="70"/>
        <v>-1.6510391859859202E-4</v>
      </c>
      <c r="Z36" t="str">
        <f t="shared" si="59"/>
        <v>0,999999999083653+0,00014156010109271i</v>
      </c>
      <c r="AA36" s="4">
        <f t="shared" si="71"/>
        <v>1.0000000091032841</v>
      </c>
      <c r="AB36" s="4">
        <f t="shared" si="72"/>
        <v>1.4156010027684151E-4</v>
      </c>
      <c r="AC36" s="48" t="str">
        <f t="shared" si="73"/>
        <v>56,6580544182334-123,251599402428i</v>
      </c>
      <c r="AD36" s="20">
        <f t="shared" si="74"/>
        <v>42.648435939808422</v>
      </c>
      <c r="AE36" s="44">
        <f t="shared" si="75"/>
        <v>-65.312029068766279</v>
      </c>
      <c r="AF36" t="str">
        <f t="shared" si="60"/>
        <v>-0,0000125211169631323</v>
      </c>
      <c r="AG36" t="str">
        <f t="shared" si="61"/>
        <v>4,59617613602395E-07i</v>
      </c>
      <c r="AH36">
        <f t="shared" si="76"/>
        <v>4.5961761360239501E-7</v>
      </c>
      <c r="AI36">
        <f t="shared" si="77"/>
        <v>1.5707963267948966</v>
      </c>
      <c r="AJ36" t="str">
        <f t="shared" si="62"/>
        <v>1+0,000735580577454161i</v>
      </c>
      <c r="AK36">
        <f t="shared" si="78"/>
        <v>1.0000002705393565</v>
      </c>
      <c r="AL36">
        <f t="shared" si="79"/>
        <v>7.3558044478518882E-4</v>
      </c>
      <c r="AM36" t="str">
        <f t="shared" si="63"/>
        <v>1+0,107729119116241i</v>
      </c>
      <c r="AN36">
        <f t="shared" si="80"/>
        <v>1.005786042409399</v>
      </c>
      <c r="AO36">
        <f t="shared" si="81"/>
        <v>0.10731524489888446</v>
      </c>
      <c r="AP36" s="42" t="str">
        <f t="shared" si="82"/>
        <v>-2,91476620091239+27,2446095048861i</v>
      </c>
      <c r="AQ36">
        <f t="shared" si="83"/>
        <v>28.755037918613269</v>
      </c>
      <c r="AR36" s="44">
        <f t="shared" si="84"/>
        <v>96.106564955140385</v>
      </c>
      <c r="AS36" s="42" t="str">
        <f t="shared" si="85"/>
        <v>3192,79671454408+1902,87616407795i</v>
      </c>
      <c r="AT36" s="20">
        <f t="shared" si="86"/>
        <v>71.403473858421691</v>
      </c>
      <c r="AU36" s="44">
        <f t="shared" si="87"/>
        <v>30.79453588637417</v>
      </c>
    </row>
    <row r="37" spans="1:47" x14ac:dyDescent="0.3">
      <c r="N37" s="8">
        <v>19</v>
      </c>
      <c r="O37" s="35">
        <f t="shared" si="64"/>
        <v>15.488166189124817</v>
      </c>
      <c r="P37" s="34" t="str">
        <f t="shared" si="55"/>
        <v>324,571428571429</v>
      </c>
      <c r="Q37" s="4" t="str">
        <f t="shared" si="56"/>
        <v>1+2,22434327393519i</v>
      </c>
      <c r="R37" s="4">
        <f t="shared" si="65"/>
        <v>2.43879129904564</v>
      </c>
      <c r="S37" s="4">
        <f t="shared" si="66"/>
        <v>1.148299300705272</v>
      </c>
      <c r="T37" s="4" t="str">
        <f t="shared" si="57"/>
        <v>1+0,0000194630036469329i</v>
      </c>
      <c r="U37" s="4">
        <f t="shared" si="67"/>
        <v>1.0000000001894043</v>
      </c>
      <c r="V37" s="4">
        <f t="shared" si="68"/>
        <v>1.9463003644475316E-5</v>
      </c>
      <c r="W37" t="str">
        <f t="shared" si="58"/>
        <v>1-0,000168949684435182i</v>
      </c>
      <c r="X37" s="4">
        <f t="shared" si="69"/>
        <v>1.0000000142719978</v>
      </c>
      <c r="Y37" s="4">
        <f t="shared" si="70"/>
        <v>-1.6894968282768233E-4</v>
      </c>
      <c r="Z37" t="str">
        <f t="shared" si="59"/>
        <v>0,999999999040467+0,000144857459434725i</v>
      </c>
      <c r="AA37" s="4">
        <f t="shared" si="71"/>
        <v>1.0000000095323087</v>
      </c>
      <c r="AB37" s="4">
        <f t="shared" si="72"/>
        <v>1.4485745856050613E-4</v>
      </c>
      <c r="AC37" s="48" t="str">
        <f t="shared" si="73"/>
        <v>54,5351561621427-121,400443498638i</v>
      </c>
      <c r="AD37" s="20">
        <f t="shared" si="74"/>
        <v>42.482713045183722</v>
      </c>
      <c r="AE37" s="44">
        <f t="shared" si="75"/>
        <v>-65.809568225053027</v>
      </c>
      <c r="AF37" t="str">
        <f t="shared" si="60"/>
        <v>-0,0000125211169631323</v>
      </c>
      <c r="AG37" t="str">
        <f t="shared" si="61"/>
        <v>4,70323483128134E-07i</v>
      </c>
      <c r="AH37">
        <f t="shared" si="76"/>
        <v>4.7032348312813398E-7</v>
      </c>
      <c r="AI37">
        <f t="shared" si="77"/>
        <v>1.5707963267948966</v>
      </c>
      <c r="AJ37" t="str">
        <f t="shared" si="62"/>
        <v>1+0,000752714450166673i</v>
      </c>
      <c r="AK37">
        <f t="shared" si="78"/>
        <v>1.0000002832894817</v>
      </c>
      <c r="AL37">
        <f t="shared" si="79"/>
        <v>7.5271430800931025E-4</v>
      </c>
      <c r="AM37" t="str">
        <f t="shared" si="63"/>
        <v>1+0,110238452656228i</v>
      </c>
      <c r="AN37">
        <f t="shared" si="80"/>
        <v>1.0060579090907438</v>
      </c>
      <c r="AO37">
        <f t="shared" si="81"/>
        <v>0.10979512253739489</v>
      </c>
      <c r="AP37" s="42" t="str">
        <f t="shared" si="82"/>
        <v>-2,91476612658513+26,6245452241902i</v>
      </c>
      <c r="AQ37">
        <f t="shared" si="83"/>
        <v>28.557385310021122</v>
      </c>
      <c r="AR37" s="44">
        <f t="shared" si="84"/>
        <v>96.247669779486358</v>
      </c>
      <c r="AS37" s="42" t="str">
        <f t="shared" si="85"/>
        <v>3073,27437227679+1805,82763200949i</v>
      </c>
      <c r="AT37" s="20">
        <f t="shared" si="86"/>
        <v>71.040098355204847</v>
      </c>
      <c r="AU37" s="44">
        <f t="shared" si="87"/>
        <v>30.438101554433402</v>
      </c>
    </row>
    <row r="38" spans="1:47" x14ac:dyDescent="0.3">
      <c r="N38" s="8">
        <v>20</v>
      </c>
      <c r="O38" s="35">
        <f t="shared" si="64"/>
        <v>15.848931924611136</v>
      </c>
      <c r="P38" s="34" t="str">
        <f t="shared" si="55"/>
        <v>324,571428571429</v>
      </c>
      <c r="Q38" s="4" t="str">
        <f t="shared" si="56"/>
        <v>1+2,27615488464471i</v>
      </c>
      <c r="R38" s="4">
        <f t="shared" si="65"/>
        <v>2.4861377795472182</v>
      </c>
      <c r="S38" s="4">
        <f t="shared" si="66"/>
        <v>1.1568447037155416</v>
      </c>
      <c r="T38" s="4" t="str">
        <f t="shared" si="57"/>
        <v>1+0,0000199163552406412i</v>
      </c>
      <c r="U38" s="4">
        <f t="shared" si="67"/>
        <v>1.0000000001983307</v>
      </c>
      <c r="V38" s="4">
        <f t="shared" si="68"/>
        <v>1.9916355238007854E-5</v>
      </c>
      <c r="W38" t="str">
        <f t="shared" si="58"/>
        <v>1-0,000172885028130566i</v>
      </c>
      <c r="X38" s="4">
        <f t="shared" si="69"/>
        <v>1.0000000149446162</v>
      </c>
      <c r="Y38" s="4">
        <f t="shared" si="70"/>
        <v>-1.7288502640809908E-4</v>
      </c>
      <c r="Z38" t="str">
        <f t="shared" si="59"/>
        <v>0,999999998995245+0,000148231623119147i</v>
      </c>
      <c r="AA38" s="4">
        <f t="shared" si="71"/>
        <v>1.000000009981552</v>
      </c>
      <c r="AB38" s="4">
        <f t="shared" si="72"/>
        <v>1.4823162218240469E-4</v>
      </c>
      <c r="AC38" s="48" t="str">
        <f t="shared" si="73"/>
        <v>52,4761588576676-119,541626319798i</v>
      </c>
      <c r="AD38" s="20">
        <f t="shared" si="74"/>
        <v>42.315701921586651</v>
      </c>
      <c r="AE38" s="44">
        <f t="shared" si="75"/>
        <v>-66.299576580559958</v>
      </c>
      <c r="AF38" t="str">
        <f t="shared" si="60"/>
        <v>-0,0000125211169631323</v>
      </c>
      <c r="AG38" t="str">
        <f t="shared" si="61"/>
        <v>4,81278724390095E-07i</v>
      </c>
      <c r="AH38">
        <f t="shared" si="76"/>
        <v>4.8127872439009505E-7</v>
      </c>
      <c r="AI38">
        <f t="shared" si="77"/>
        <v>1.5707963267948966</v>
      </c>
      <c r="AJ38" t="str">
        <f t="shared" si="62"/>
        <v>1+0,000770247422044018i</v>
      </c>
      <c r="AK38">
        <f t="shared" si="78"/>
        <v>1.0000002966405015</v>
      </c>
      <c r="AL38">
        <f t="shared" si="79"/>
        <v>7.7024726971966181E-4</v>
      </c>
      <c r="AM38" t="str">
        <f t="shared" si="63"/>
        <v>1+0,112806236082992i</v>
      </c>
      <c r="AN38">
        <f t="shared" si="80"/>
        <v>1.0063425097347383</v>
      </c>
      <c r="AO38">
        <f t="shared" si="81"/>
        <v>0.11233136085147544</v>
      </c>
      <c r="AP38" s="42" t="str">
        <f t="shared" si="82"/>
        <v>-2,91476604875497+26,0185976297843i</v>
      </c>
      <c r="AQ38">
        <f t="shared" si="83"/>
        <v>28.359841971323267</v>
      </c>
      <c r="AR38" s="44">
        <f t="shared" si="84"/>
        <v>96.391980966014216</v>
      </c>
      <c r="AS38" s="42" t="str">
        <f t="shared" si="85"/>
        <v>2957,34974901745+1713,7919362842i</v>
      </c>
      <c r="AT38" s="20">
        <f t="shared" si="86"/>
        <v>70.675543892909914</v>
      </c>
      <c r="AU38" s="44">
        <f t="shared" si="87"/>
        <v>30.092404385454369</v>
      </c>
    </row>
    <row r="39" spans="1:47" x14ac:dyDescent="0.3">
      <c r="A39" t="s">
        <v>504</v>
      </c>
      <c r="N39" s="8">
        <v>21</v>
      </c>
      <c r="O39" s="35">
        <f t="shared" si="64"/>
        <v>16.218100973589298</v>
      </c>
      <c r="P39" s="34" t="str">
        <f t="shared" si="55"/>
        <v>324,571428571429</v>
      </c>
      <c r="Q39" s="4" t="str">
        <f t="shared" si="56"/>
        <v>1+2,32917334280254i</v>
      </c>
      <c r="R39" s="4">
        <f t="shared" si="65"/>
        <v>2.5347679303679773</v>
      </c>
      <c r="S39" s="4">
        <f t="shared" si="66"/>
        <v>1.1652580510831079</v>
      </c>
      <c r="T39" s="4" t="str">
        <f t="shared" si="57"/>
        <v>1+0,0000203802667495222i</v>
      </c>
      <c r="U39" s="4">
        <f t="shared" si="67"/>
        <v>1.0000000002076777</v>
      </c>
      <c r="V39" s="4">
        <f t="shared" si="68"/>
        <v>2.0380266746700518E-5</v>
      </c>
      <c r="W39" t="str">
        <f t="shared" si="58"/>
        <v>1-0,000176912037756269i</v>
      </c>
      <c r="X39" s="4">
        <f t="shared" si="69"/>
        <v>1.0000000156489344</v>
      </c>
      <c r="Y39" s="4">
        <f t="shared" si="70"/>
        <v>-1.7691203591061242E-4</v>
      </c>
      <c r="Z39" t="str">
        <f t="shared" si="59"/>
        <v>0,999999998947893+0,000151684381172225i</v>
      </c>
      <c r="AA39" s="4">
        <f t="shared" si="71"/>
        <v>1.0000000104519686</v>
      </c>
      <c r="AB39" s="4">
        <f t="shared" si="72"/>
        <v>1.5168438016848745E-4</v>
      </c>
      <c r="AC39" s="48" t="str">
        <f t="shared" si="73"/>
        <v>50,4803054300842-117,677419899137i</v>
      </c>
      <c r="AD39" s="20">
        <f t="shared" si="74"/>
        <v>42.147441710692199</v>
      </c>
      <c r="AE39" s="44">
        <f t="shared" si="75"/>
        <v>-66.782027855236308</v>
      </c>
      <c r="AF39" t="str">
        <f t="shared" si="60"/>
        <v>-0,0000125211169631323</v>
      </c>
      <c r="AG39" t="str">
        <f t="shared" si="61"/>
        <v>4,92489146002205E-07i</v>
      </c>
      <c r="AH39">
        <f t="shared" si="76"/>
        <v>4.92489146002205E-7</v>
      </c>
      <c r="AI39">
        <f t="shared" si="77"/>
        <v>1.5707963267948966</v>
      </c>
      <c r="AJ39" t="str">
        <f t="shared" si="62"/>
        <v>1+0,000788188789299958i</v>
      </c>
      <c r="AK39">
        <f t="shared" si="78"/>
        <v>1.0000003106207356</v>
      </c>
      <c r="AL39">
        <f t="shared" si="79"/>
        <v>7.8818862608147247E-4</v>
      </c>
      <c r="AM39" t="str">
        <f t="shared" si="63"/>
        <v>1+0,115433830869294i</v>
      </c>
      <c r="AN39">
        <f t="shared" si="80"/>
        <v>1.0066404369531163</v>
      </c>
      <c r="AO39">
        <f t="shared" si="81"/>
        <v>0.1149251740025504</v>
      </c>
      <c r="AP39" s="42" t="str">
        <f t="shared" si="82"/>
        <v>-2,91476596725676+25,4264454402328i</v>
      </c>
      <c r="AQ39">
        <f t="shared" si="83"/>
        <v>28.162412922799156</v>
      </c>
      <c r="AR39" s="44">
        <f t="shared" si="84"/>
        <v>96.539567548418063</v>
      </c>
      <c r="AS39" s="42" t="str">
        <f t="shared" si="85"/>
        <v>2844,98022032844+1626,53687046091i</v>
      </c>
      <c r="AT39" s="20">
        <f t="shared" si="86"/>
        <v>70.309854633491369</v>
      </c>
      <c r="AU39" s="44">
        <f t="shared" si="87"/>
        <v>29.757539693181712</v>
      </c>
    </row>
    <row r="40" spans="1:47" x14ac:dyDescent="0.3">
      <c r="A40" t="s">
        <v>505</v>
      </c>
      <c r="B40" s="20">
        <f>((Np/NS1_)*(VOUT1+VD))/((VIN_var+(Np/NS1_)*(VOUT1+VD)))</f>
        <v>0.4</v>
      </c>
      <c r="C40" t="s">
        <v>14</v>
      </c>
      <c r="E40" t="s">
        <v>506</v>
      </c>
      <c r="N40" s="8">
        <v>22</v>
      </c>
      <c r="O40" s="35">
        <f t="shared" si="64"/>
        <v>16.595869074375614</v>
      </c>
      <c r="P40" s="34" t="str">
        <f t="shared" si="55"/>
        <v>324,571428571429</v>
      </c>
      <c r="Q40" s="4" t="str">
        <f t="shared" si="56"/>
        <v>1+2,38342675949698i</v>
      </c>
      <c r="R40" s="4">
        <f t="shared" si="65"/>
        <v>2.5847094842334362</v>
      </c>
      <c r="S40" s="4">
        <f t="shared" si="66"/>
        <v>1.1735390383552027</v>
      </c>
      <c r="T40" s="4" t="str">
        <f t="shared" si="57"/>
        <v>1+0,0000208549841455986i</v>
      </c>
      <c r="U40" s="4">
        <f t="shared" si="67"/>
        <v>1.0000000002174652</v>
      </c>
      <c r="V40" s="4">
        <f t="shared" si="68"/>
        <v>2.0854984142575112E-5</v>
      </c>
      <c r="W40" t="str">
        <f t="shared" si="58"/>
        <v>1-0,000181032848486099i</v>
      </c>
      <c r="X40" s="4">
        <f t="shared" si="69"/>
        <v>1.000000016386446</v>
      </c>
      <c r="Y40" s="4">
        <f t="shared" si="70"/>
        <v>-1.8103284650844236E-4</v>
      </c>
      <c r="Z40" t="str">
        <f t="shared" si="59"/>
        <v>0,999999998898308+0,000155217564291981i</v>
      </c>
      <c r="AA40" s="4">
        <f t="shared" si="71"/>
        <v>1.0000000109445539</v>
      </c>
      <c r="AB40" s="4">
        <f t="shared" si="72"/>
        <v>1.5521756321645698E-4</v>
      </c>
      <c r="AC40" s="48" t="str">
        <f t="shared" si="73"/>
        <v>48,5467547591272-115,81000272237i</v>
      </c>
      <c r="AD40" s="20">
        <f t="shared" si="74"/>
        <v>41.977971061435937</v>
      </c>
      <c r="AE40" s="44">
        <f t="shared" si="75"/>
        <v>-67.256904818358038</v>
      </c>
      <c r="AF40" t="str">
        <f t="shared" si="60"/>
        <v>-0,0000125211169631323</v>
      </c>
      <c r="AG40" t="str">
        <f t="shared" si="61"/>
        <v>5,0396069187839E-07i</v>
      </c>
      <c r="AH40">
        <f t="shared" si="76"/>
        <v>5.0396069187838999E-7</v>
      </c>
      <c r="AI40">
        <f t="shared" si="77"/>
        <v>1.5707963267948966</v>
      </c>
      <c r="AJ40" t="str">
        <f t="shared" si="62"/>
        <v>1+0,000806548064684901i</v>
      </c>
      <c r="AK40">
        <f t="shared" si="78"/>
        <v>1.0000003252598375</v>
      </c>
      <c r="AL40">
        <f t="shared" si="79"/>
        <v>8.0654788979314586E-4</v>
      </c>
      <c r="AM40" t="str">
        <f t="shared" si="63"/>
        <v>1+0,11812263020067i</v>
      </c>
      <c r="AN40">
        <f t="shared" si="80"/>
        <v>1.00695231057162</v>
      </c>
      <c r="AO40">
        <f t="shared" si="81"/>
        <v>0.11757779758254955</v>
      </c>
      <c r="AP40" s="42" t="str">
        <f t="shared" si="82"/>
        <v>-2,91476588191767+24,8477746886066i</v>
      </c>
      <c r="AQ40">
        <f t="shared" si="83"/>
        <v>27.965103409084012</v>
      </c>
      <c r="AR40" s="44">
        <f t="shared" si="84"/>
        <v>96.690499775863259</v>
      </c>
      <c r="AS40" s="42" t="str">
        <f t="shared" si="85"/>
        <v>2736,11842988264+1543,83786883779i</v>
      </c>
      <c r="AT40" s="20">
        <f t="shared" si="86"/>
        <v>69.94307447051996</v>
      </c>
      <c r="AU40" s="44">
        <f t="shared" si="87"/>
        <v>29.43359495750521</v>
      </c>
    </row>
    <row r="41" spans="1:47" x14ac:dyDescent="0.3">
      <c r="A41" t="s">
        <v>189</v>
      </c>
      <c r="B41" s="16">
        <f>Gcomp*((VOUT1^2)/(Pout_var))*((1-Dc_var_ccm)/((1+Dc_var_ccm)*((Acs*R_cs)/(Np/NS1_))))</f>
        <v>324.57142857142856</v>
      </c>
      <c r="C41" t="s">
        <v>144</v>
      </c>
      <c r="E41" t="s">
        <v>193</v>
      </c>
      <c r="N41" s="8">
        <v>23</v>
      </c>
      <c r="O41" s="35">
        <f t="shared" si="64"/>
        <v>16.982436524617448</v>
      </c>
      <c r="P41" s="34" t="str">
        <f t="shared" si="55"/>
        <v>324,571428571429</v>
      </c>
      <c r="Q41" s="4" t="str">
        <f t="shared" si="56"/>
        <v>1+2,43894390060768i</v>
      </c>
      <c r="R41" s="4">
        <f t="shared" si="65"/>
        <v>2.6359907720459499</v>
      </c>
      <c r="S41" s="4">
        <f t="shared" si="66"/>
        <v>1.181687512236397</v>
      </c>
      <c r="T41" s="4" t="str">
        <f t="shared" si="57"/>
        <v>1+0,0000213407591303172i</v>
      </c>
      <c r="U41" s="4">
        <f t="shared" si="67"/>
        <v>1.0000000002277138</v>
      </c>
      <c r="V41" s="4">
        <f t="shared" si="68"/>
        <v>2.1340759127077475E-5</v>
      </c>
      <c r="W41" t="str">
        <f t="shared" si="58"/>
        <v>1-0,000185249645228448i</v>
      </c>
      <c r="X41" s="4">
        <f t="shared" si="69"/>
        <v>1.0000000171587153</v>
      </c>
      <c r="Y41" s="4">
        <f t="shared" si="70"/>
        <v>-1.8524964310935073E-4</v>
      </c>
      <c r="Z41" t="str">
        <f t="shared" si="59"/>
        <v>0,999999998846387+0,000158833045818871i</v>
      </c>
      <c r="AA41" s="4">
        <f t="shared" si="71"/>
        <v>1.0000000114603551</v>
      </c>
      <c r="AB41" s="4">
        <f t="shared" si="72"/>
        <v>1.5883304466642623E-4</v>
      </c>
      <c r="AC41" s="48" t="str">
        <f t="shared" si="73"/>
        <v>46,6745894469493-113,941458052648i</v>
      </c>
      <c r="AD41" s="20">
        <f t="shared" si="74"/>
        <v>41.807328080634022</v>
      </c>
      <c r="AE41" s="44">
        <f t="shared" si="75"/>
        <v>-67.724198904842822</v>
      </c>
      <c r="AF41" t="str">
        <f t="shared" si="60"/>
        <v>-0,0000125211169631323</v>
      </c>
      <c r="AG41" t="str">
        <f t="shared" si="61"/>
        <v>5,15699444384117E-07i</v>
      </c>
      <c r="AH41">
        <f t="shared" si="76"/>
        <v>5.1569944438411704E-7</v>
      </c>
      <c r="AI41">
        <f t="shared" si="77"/>
        <v>1.5707963267948966</v>
      </c>
      <c r="AJ41" t="str">
        <f t="shared" si="62"/>
        <v>1+0,000825334982529661i</v>
      </c>
      <c r="AK41">
        <f t="shared" si="78"/>
        <v>1.0000003405888587</v>
      </c>
      <c r="AL41">
        <f t="shared" si="79"/>
        <v>8.2533479512977251E-4</v>
      </c>
      <c r="AM41" t="str">
        <f t="shared" si="63"/>
        <v>1+0,120874059714117i</v>
      </c>
      <c r="AN41">
        <f t="shared" si="80"/>
        <v>1.0072787788451476</v>
      </c>
      <c r="AO41">
        <f t="shared" si="81"/>
        <v>0.12029048864746512</v>
      </c>
      <c r="AP41" s="42" t="str">
        <f t="shared" si="82"/>
        <v>-2,91476579255669+24,282278556013i</v>
      </c>
      <c r="AQ41">
        <f t="shared" si="83"/>
        <v>27.767918908596837</v>
      </c>
      <c r="AR41" s="44">
        <f t="shared" si="84"/>
        <v>96.844849114619848</v>
      </c>
      <c r="AS41" s="42" t="str">
        <f t="shared" si="85"/>
        <v>2630,71272681107+1465,47804672426i</v>
      </c>
      <c r="AT41" s="20">
        <f t="shared" si="86"/>
        <v>69.575246989230834</v>
      </c>
      <c r="AU41" s="44">
        <f t="shared" si="87"/>
        <v>29.120650209777086</v>
      </c>
    </row>
    <row r="42" spans="1:47" x14ac:dyDescent="0.3">
      <c r="A42" t="s">
        <v>206</v>
      </c>
      <c r="B42" s="18">
        <f>(1+Dc_var_ccm)/(Cout_total*((VOUT1^2)/Pout_var))</f>
        <v>43.749999999999993</v>
      </c>
      <c r="C42" t="s">
        <v>205</v>
      </c>
      <c r="E42" t="s">
        <v>196</v>
      </c>
      <c r="N42" s="8">
        <v>24</v>
      </c>
      <c r="O42" s="35">
        <f t="shared" si="64"/>
        <v>17.378008287493756</v>
      </c>
      <c r="P42" s="34" t="str">
        <f t="shared" si="55"/>
        <v>324,571428571429</v>
      </c>
      <c r="Q42" s="4" t="str">
        <f t="shared" si="56"/>
        <v>1+2,49575420205774i</v>
      </c>
      <c r="R42" s="4">
        <f t="shared" si="65"/>
        <v>2.6886407415437392</v>
      </c>
      <c r="S42" s="4">
        <f t="shared" si="66"/>
        <v>1.1897034637919213</v>
      </c>
      <c r="T42" s="4" t="str">
        <f t="shared" si="57"/>
        <v>1+0,0000218378492680052i</v>
      </c>
      <c r="U42" s="4">
        <f t="shared" si="67"/>
        <v>1.0000000002384457</v>
      </c>
      <c r="V42" s="4">
        <f t="shared" si="68"/>
        <v>2.183784926453377E-5</v>
      </c>
      <c r="W42" t="str">
        <f t="shared" si="58"/>
        <v>1-0,000189564663784767i</v>
      </c>
      <c r="X42" s="4">
        <f t="shared" si="69"/>
        <v>1.0000000179673807</v>
      </c>
      <c r="Y42" s="4">
        <f t="shared" si="70"/>
        <v>-1.8956466151411337E-4</v>
      </c>
      <c r="Z42" t="str">
        <f t="shared" si="59"/>
        <v>0,999999998792019+0,000162532742729059i</v>
      </c>
      <c r="AA42" s="4">
        <f t="shared" si="71"/>
        <v>1.0000000120004651</v>
      </c>
      <c r="AB42" s="4">
        <f t="shared" si="72"/>
        <v>1.6253274149419217E-4</v>
      </c>
      <c r="AC42" s="48" t="str">
        <f t="shared" si="73"/>
        <v>44,8628234003256-112,073772831412i</v>
      </c>
      <c r="AD42" s="20">
        <f t="shared" si="74"/>
        <v>41.635550288333611</v>
      </c>
      <c r="AE42" s="44">
        <f t="shared" si="75"/>
        <v>-68.183909825945719</v>
      </c>
      <c r="AF42" t="str">
        <f t="shared" si="60"/>
        <v>-0,0000125211169631323</v>
      </c>
      <c r="AG42" t="str">
        <f t="shared" si="61"/>
        <v>5,27711627561345E-07i</v>
      </c>
      <c r="AH42">
        <f t="shared" si="76"/>
        <v>5.2771162756134502E-7</v>
      </c>
      <c r="AI42">
        <f t="shared" si="77"/>
        <v>1.5707963267948966</v>
      </c>
      <c r="AJ42" t="str">
        <f t="shared" si="62"/>
        <v>1+0,000844559503906764i</v>
      </c>
      <c r="AK42">
        <f t="shared" si="78"/>
        <v>1.0000003566403142</v>
      </c>
      <c r="AL42">
        <f t="shared" si="79"/>
        <v>8.4455930310416963E-4</v>
      </c>
      <c r="AM42" t="str">
        <f t="shared" si="63"/>
        <v>1+0,123689578253981i</v>
      </c>
      <c r="AN42">
        <f t="shared" si="80"/>
        <v>1.0076205197238928</v>
      </c>
      <c r="AO42">
        <f t="shared" si="81"/>
        <v>0.12306452572125894</v>
      </c>
      <c r="AP42" s="42" t="str">
        <f t="shared" si="82"/>
        <v>-2,91476569898426+23,7296572089168i</v>
      </c>
      <c r="AQ42">
        <f t="shared" si="83"/>
        <v>27.570865143307842</v>
      </c>
      <c r="AR42" s="44">
        <f t="shared" si="84"/>
        <v>97.002688247990918</v>
      </c>
      <c r="AS42" s="42" t="str">
        <f t="shared" si="85"/>
        <v>2528,70759259256+1391,24820951865i</v>
      </c>
      <c r="AT42" s="20">
        <f t="shared" si="86"/>
        <v>69.206415431641446</v>
      </c>
      <c r="AU42" s="44">
        <f t="shared" si="87"/>
        <v>28.818778422045188</v>
      </c>
    </row>
    <row r="43" spans="1:47" x14ac:dyDescent="0.3">
      <c r="B43" s="18">
        <f>wp_lf/(2*PI())</f>
        <v>6.9630287602704204</v>
      </c>
      <c r="C43" t="s">
        <v>61</v>
      </c>
      <c r="N43" s="8">
        <v>25</v>
      </c>
      <c r="O43" s="35">
        <f t="shared" si="64"/>
        <v>17.782794100389236</v>
      </c>
      <c r="P43" s="34" t="str">
        <f t="shared" si="55"/>
        <v>324,571428571429</v>
      </c>
      <c r="Q43" s="4" t="str">
        <f t="shared" si="56"/>
        <v>1+2,55388778542091i</v>
      </c>
      <c r="R43" s="4">
        <f t="shared" si="65"/>
        <v>2.742688976264374</v>
      </c>
      <c r="S43" s="4">
        <f t="shared" si="66"/>
        <v>1.1975870215922408</v>
      </c>
      <c r="T43" s="4" t="str">
        <f t="shared" si="57"/>
        <v>1+0,000022346518122433i</v>
      </c>
      <c r="U43" s="4">
        <f t="shared" si="67"/>
        <v>1.0000000002496834</v>
      </c>
      <c r="V43" s="4">
        <f t="shared" si="68"/>
        <v>2.2346518118713297E-5</v>
      </c>
      <c r="W43" t="str">
        <f t="shared" si="58"/>
        <v>1-0,000193980192035009i</v>
      </c>
      <c r="X43" s="4">
        <f t="shared" si="69"/>
        <v>1.0000000188141573</v>
      </c>
      <c r="Y43" s="4">
        <f t="shared" si="70"/>
        <v>-1.9398018960195979E-4</v>
      </c>
      <c r="Z43" t="str">
        <f t="shared" si="59"/>
        <v>0,999999998735089+0,000166318616650816i</v>
      </c>
      <c r="AA43" s="4">
        <f t="shared" si="71"/>
        <v>1.00000001256603</v>
      </c>
      <c r="AB43" s="4">
        <f t="shared" si="72"/>
        <v>1.6631861532763226E-4</v>
      </c>
      <c r="AC43" s="48" t="str">
        <f t="shared" si="73"/>
        <v>43,1104091919769-110,208837115031i</v>
      </c>
      <c r="AD43" s="20">
        <f t="shared" si="74"/>
        <v>41.462674577768475</v>
      </c>
      <c r="AE43" s="44">
        <f t="shared" si="75"/>
        <v>-68.636045176589036</v>
      </c>
      <c r="AF43" t="str">
        <f t="shared" si="60"/>
        <v>-0,0000125211169631323</v>
      </c>
      <c r="AG43" t="str">
        <f t="shared" si="61"/>
        <v>5,40003610428596E-07i</v>
      </c>
      <c r="AH43">
        <f t="shared" si="76"/>
        <v>5.4000361042859601E-7</v>
      </c>
      <c r="AI43">
        <f t="shared" si="77"/>
        <v>1.5707963267948966</v>
      </c>
      <c r="AJ43" t="str">
        <f t="shared" si="62"/>
        <v>1+0,000864231821911897i</v>
      </c>
      <c r="AK43">
        <f t="shared" si="78"/>
        <v>1.0000003734482512</v>
      </c>
      <c r="AL43">
        <f t="shared" si="79"/>
        <v>8.6423160674804485E-4</v>
      </c>
      <c r="AM43" t="str">
        <f t="shared" si="63"/>
        <v>1+0,12657067864546i</v>
      </c>
      <c r="AN43">
        <f t="shared" si="80"/>
        <v>1.0079782421723062</v>
      </c>
      <c r="AO43">
        <f t="shared" si="81"/>
        <v>0.12590120876759855</v>
      </c>
      <c r="AP43" s="42" t="str">
        <f t="shared" si="82"/>
        <v>-2,91476560100188+23,1896176401644i</v>
      </c>
      <c r="AQ43">
        <f t="shared" si="83"/>
        <v>27.373948088851215</v>
      </c>
      <c r="AR43" s="44">
        <f t="shared" si="84"/>
        <v>97.164091074390399</v>
      </c>
      <c r="AS43" s="42" t="str">
        <f t="shared" si="85"/>
        <v>2430,04405550684+1320,94683282228i</v>
      </c>
      <c r="AT43" s="20">
        <f t="shared" si="86"/>
        <v>68.836622666619689</v>
      </c>
      <c r="AU43" s="44">
        <f t="shared" si="87"/>
        <v>28.52804589780127</v>
      </c>
    </row>
    <row r="44" spans="1:47" x14ac:dyDescent="0.3">
      <c r="N44" s="8">
        <v>26</v>
      </c>
      <c r="O44" s="35">
        <f t="shared" si="64"/>
        <v>18.197008586099841</v>
      </c>
      <c r="P44" s="34" t="str">
        <f t="shared" si="55"/>
        <v>324,571428571429</v>
      </c>
      <c r="Q44" s="4" t="str">
        <f t="shared" si="56"/>
        <v>1+2,61337547389264i</v>
      </c>
      <c r="R44" s="4">
        <f t="shared" si="65"/>
        <v>2.7981657148109687</v>
      </c>
      <c r="S44" s="4">
        <f t="shared" si="66"/>
        <v>1.2053384448355047</v>
      </c>
      <c r="T44" s="4" t="str">
        <f t="shared" si="57"/>
        <v>1+0,0000228670353965606i</v>
      </c>
      <c r="U44" s="4">
        <f t="shared" si="67"/>
        <v>1.0000000002614506</v>
      </c>
      <c r="V44" s="4">
        <f t="shared" si="68"/>
        <v>2.2867035392574867E-5</v>
      </c>
      <c r="W44" t="str">
        <f t="shared" si="58"/>
        <v>1-0,0001984985711507i</v>
      </c>
      <c r="X44" s="4">
        <f t="shared" si="69"/>
        <v>1.0000000197008412</v>
      </c>
      <c r="Y44" s="4">
        <f t="shared" si="70"/>
        <v>-1.9849856854364082E-4</v>
      </c>
      <c r="Z44" t="str">
        <f t="shared" si="59"/>
        <v>0,999999998675476+0,00017019267490461i</v>
      </c>
      <c r="AA44" s="4">
        <f t="shared" si="71"/>
        <v>1.0000000131582492</v>
      </c>
      <c r="AB44" s="4">
        <f t="shared" si="72"/>
        <v>1.7019267348679303E-4</v>
      </c>
      <c r="AC44" s="48" t="str">
        <f t="shared" si="73"/>
        <v>41,4162451711087-108,34844400621i</v>
      </c>
      <c r="AD44" s="20">
        <f t="shared" si="74"/>
        <v>41.288737179773911</v>
      </c>
      <c r="AE44" s="44">
        <f t="shared" si="75"/>
        <v>-69.080620041430521</v>
      </c>
      <c r="AF44" t="str">
        <f t="shared" si="60"/>
        <v>-0,0000125211169631323</v>
      </c>
      <c r="AG44" t="str">
        <f t="shared" si="61"/>
        <v>5,52581910357888E-07i</v>
      </c>
      <c r="AH44">
        <f t="shared" si="76"/>
        <v>5.5258191035788797E-7</v>
      </c>
      <c r="AI44">
        <f t="shared" si="77"/>
        <v>1.5707963267948966</v>
      </c>
      <c r="AJ44" t="str">
        <f t="shared" si="62"/>
        <v>1+0,000884362367068474i</v>
      </c>
      <c r="AK44">
        <f t="shared" si="78"/>
        <v>1.0000003910483217</v>
      </c>
      <c r="AL44">
        <f t="shared" si="79"/>
        <v>8.8436213651625747E-4</v>
      </c>
      <c r="AM44" t="str">
        <f t="shared" si="63"/>
        <v>1+0,129518888486119i</v>
      </c>
      <c r="AN44">
        <f t="shared" si="80"/>
        <v>1.0083526875427464</v>
      </c>
      <c r="AO44">
        <f t="shared" si="81"/>
        <v>0.12880185912672454</v>
      </c>
      <c r="AP44" s="42" t="str">
        <f t="shared" si="82"/>
        <v>-2,91476549840177+22,6618735136277i</v>
      </c>
      <c r="AQ44">
        <f t="shared" si="83"/>
        <v>27.17717398498969</v>
      </c>
      <c r="AR44" s="44">
        <f t="shared" si="84"/>
        <v>97.329132703416334</v>
      </c>
      <c r="AS44" s="42" t="str">
        <f t="shared" si="85"/>
        <v>2334,66009096901+1254,38001587188i</v>
      </c>
      <c r="AT44" s="20">
        <f t="shared" si="86"/>
        <v>68.465911164763611</v>
      </c>
      <c r="AU44" s="44">
        <f t="shared" si="87"/>
        <v>28.248512661985856</v>
      </c>
    </row>
    <row r="45" spans="1:47" x14ac:dyDescent="0.3">
      <c r="A45" t="s">
        <v>207</v>
      </c>
      <c r="B45" s="18">
        <f>(((VOUT1^2)/Pout_var)*((1-Dc_var_ccm)^2))/((Lm/((Np/NS1_)^2))*Dc_var_ccm)</f>
        <v>576000</v>
      </c>
      <c r="C45" t="s">
        <v>205</v>
      </c>
      <c r="E45" t="s">
        <v>197</v>
      </c>
      <c r="N45" s="8">
        <v>27</v>
      </c>
      <c r="O45" s="35">
        <f t="shared" si="64"/>
        <v>18.62087136662868</v>
      </c>
      <c r="P45" s="34" t="str">
        <f t="shared" si="55"/>
        <v>324,571428571429</v>
      </c>
      <c r="Q45" s="4" t="str">
        <f t="shared" si="56"/>
        <v>1+2,67424880863273i</v>
      </c>
      <c r="R45" s="4">
        <f t="shared" si="65"/>
        <v>2.8551018704196132</v>
      </c>
      <c r="S45" s="4">
        <f t="shared" si="66"/>
        <v>1.212958116481399</v>
      </c>
      <c r="T45" s="4" t="str">
        <f t="shared" si="57"/>
        <v>1+0,0000233996770755364i</v>
      </c>
      <c r="U45" s="4">
        <f t="shared" si="67"/>
        <v>1.0000000002737726</v>
      </c>
      <c r="V45" s="4">
        <f t="shared" si="68"/>
        <v>2.3399677071265608E-5</v>
      </c>
      <c r="W45" t="str">
        <f t="shared" si="58"/>
        <v>1-0,000203122196836253i</v>
      </c>
      <c r="X45" s="4">
        <f t="shared" si="69"/>
        <v>1.0000000206293131</v>
      </c>
      <c r="Y45" s="4">
        <f t="shared" si="70"/>
        <v>-2.0312219404273877E-4</v>
      </c>
      <c r="Z45" t="str">
        <f t="shared" si="59"/>
        <v>0,999999998613053+0,000174156971567404i</v>
      </c>
      <c r="AA45" s="4">
        <f t="shared" si="71"/>
        <v>1.0000000137783782</v>
      </c>
      <c r="AB45" s="4">
        <f t="shared" si="72"/>
        <v>1.7415697004818576E-4</v>
      </c>
      <c r="AC45" s="48" t="str">
        <f t="shared" si="73"/>
        <v>39,7791822983404-106,494290038786i</v>
      </c>
      <c r="AD45" s="20">
        <f t="shared" si="74"/>
        <v>41.11377363149937</v>
      </c>
      <c r="AE45" s="44">
        <f t="shared" si="75"/>
        <v>-69.517656601584321</v>
      </c>
      <c r="AF45" t="str">
        <f t="shared" si="60"/>
        <v>-0,0000125211169631323</v>
      </c>
      <c r="AG45" t="str">
        <f t="shared" si="61"/>
        <v>5,65453196530339E-07i</v>
      </c>
      <c r="AH45">
        <f t="shared" si="76"/>
        <v>5.6545319653033905E-7</v>
      </c>
      <c r="AI45">
        <f t="shared" si="77"/>
        <v>1.5707963267948966</v>
      </c>
      <c r="AJ45" t="str">
        <f t="shared" si="62"/>
        <v>1+0,000904961812857989i</v>
      </c>
      <c r="AK45">
        <f t="shared" si="78"/>
        <v>1.0000004094778574</v>
      </c>
      <c r="AL45">
        <f t="shared" si="79"/>
        <v>9.049615658168436E-4</v>
      </c>
      <c r="AM45" t="str">
        <f t="shared" si="63"/>
        <v>1+0,132535770955838i</v>
      </c>
      <c r="AN45">
        <f t="shared" si="80"/>
        <v>1.008744631005716</v>
      </c>
      <c r="AO45">
        <f t="shared" si="81"/>
        <v>0.13176781941460558</v>
      </c>
      <c r="AP45" s="42" t="str">
        <f t="shared" si="82"/>
        <v>-2,91476539096627+22,1461450123847i</v>
      </c>
      <c r="AQ45">
        <f t="shared" si="83"/>
        <v>26.980549346436003</v>
      </c>
      <c r="AR45" s="44">
        <f t="shared" si="84"/>
        <v>97.497889449756073</v>
      </c>
      <c r="AS45" s="42" t="str">
        <f t="shared" si="85"/>
        <v>2242,49100634577+1191,36141059371i</v>
      </c>
      <c r="AT45" s="20">
        <f t="shared" si="86"/>
        <v>68.094322977935377</v>
      </c>
      <c r="AU45" s="44">
        <f t="shared" si="87"/>
        <v>27.980232848171738</v>
      </c>
    </row>
    <row r="46" spans="1:47" x14ac:dyDescent="0.3">
      <c r="B46" s="18">
        <f>wz_rhp/(2*PI())</f>
        <v>91673.24722093172</v>
      </c>
      <c r="C46" t="s">
        <v>61</v>
      </c>
      <c r="N46" s="8">
        <v>28</v>
      </c>
      <c r="O46" s="35">
        <f t="shared" si="64"/>
        <v>19.054607179632477</v>
      </c>
      <c r="P46" s="34" t="str">
        <f t="shared" si="55"/>
        <v>324,571428571429</v>
      </c>
      <c r="Q46" s="4" t="str">
        <f t="shared" si="56"/>
        <v>1+2,73654006548903i</v>
      </c>
      <c r="R46" s="4">
        <f t="shared" si="65"/>
        <v>2.9135290508293723</v>
      </c>
      <c r="S46" s="4">
        <f t="shared" si="66"/>
        <v>1.220446536427203</v>
      </c>
      <c r="T46" s="4" t="str">
        <f t="shared" si="57"/>
        <v>1+0,000023944725573029i</v>
      </c>
      <c r="U46" s="4">
        <f t="shared" si="67"/>
        <v>1.0000000002866749</v>
      </c>
      <c r="V46" s="4">
        <f t="shared" si="68"/>
        <v>2.3944725568452765E-5</v>
      </c>
      <c r="W46" t="str">
        <f t="shared" si="58"/>
        <v>1-0,00020785352059921i</v>
      </c>
      <c r="X46" s="4">
        <f t="shared" si="69"/>
        <v>1.0000000216015428</v>
      </c>
      <c r="Y46" s="4">
        <f t="shared" si="70"/>
        <v>-2.0785351760590557E-4</v>
      </c>
      <c r="Z46" t="str">
        <f t="shared" si="59"/>
        <v>0,999999998547688+0,000178213608561763i</v>
      </c>
      <c r="AA46" s="4">
        <f t="shared" si="71"/>
        <v>1.000000014427733</v>
      </c>
      <c r="AB46" s="4">
        <f t="shared" si="72"/>
        <v>1.7821360693389137E-4</v>
      </c>
      <c r="AC46" s="48" t="str">
        <f t="shared" si="73"/>
        <v>38,1980306849029-104,647975974676i</v>
      </c>
      <c r="AD46" s="20">
        <f t="shared" si="74"/>
        <v>40.937818749241693</v>
      </c>
      <c r="AE46" s="44">
        <f t="shared" si="75"/>
        <v>-69.947183743766203</v>
      </c>
      <c r="AF46" t="str">
        <f t="shared" si="60"/>
        <v>-0,0000125211169631323</v>
      </c>
      <c r="AG46" t="str">
        <f t="shared" si="61"/>
        <v>5,78624293472248E-07i</v>
      </c>
      <c r="AH46">
        <f t="shared" si="76"/>
        <v>5.7862429347224796E-7</v>
      </c>
      <c r="AI46">
        <f t="shared" si="77"/>
        <v>1.5707963267948966</v>
      </c>
      <c r="AJ46" t="str">
        <f t="shared" si="62"/>
        <v>1+0,000926041081379267i</v>
      </c>
      <c r="AK46">
        <f t="shared" si="78"/>
        <v>1.0000004287759503</v>
      </c>
      <c r="AL46">
        <f t="shared" si="79"/>
        <v>9.2604081666991663E-4</v>
      </c>
      <c r="AM46" t="str">
        <f t="shared" si="63"/>
        <v>1+0,135622925645636i</v>
      </c>
      <c r="AN46">
        <f t="shared" si="80"/>
        <v>1.0091548830386154</v>
      </c>
      <c r="AO46">
        <f t="shared" si="81"/>
        <v>0.13480045338138558</v>
      </c>
      <c r="AP46" s="42" t="str">
        <f t="shared" si="82"/>
        <v>-2,91476527846749+21,6421586903571i</v>
      </c>
      <c r="AQ46">
        <f t="shared" si="83"/>
        <v>26.784080974036556</v>
      </c>
      <c r="AR46" s="44">
        <f t="shared" si="84"/>
        <v>97.670438824751372</v>
      </c>
      <c r="AS46" s="42" t="str">
        <f t="shared" si="85"/>
        <v>2153,46980912242+1131,71212857468i</v>
      </c>
      <c r="AT46" s="20">
        <f t="shared" si="86"/>
        <v>67.721899723278227</v>
      </c>
      <c r="AU46" s="44">
        <f t="shared" si="87"/>
        <v>27.723255080985137</v>
      </c>
    </row>
    <row r="47" spans="1:47" x14ac:dyDescent="0.3">
      <c r="B47" s="1"/>
      <c r="N47" s="8">
        <v>29</v>
      </c>
      <c r="O47" s="35">
        <f t="shared" si="64"/>
        <v>19.498445997580465</v>
      </c>
      <c r="P47" s="34" t="str">
        <f t="shared" si="55"/>
        <v>324,571428571429</v>
      </c>
      <c r="Q47" s="4" t="str">
        <f t="shared" si="56"/>
        <v>1+2,80028227211045i</v>
      </c>
      <c r="R47" s="4">
        <f t="shared" si="65"/>
        <v>2.9734795784562005</v>
      </c>
      <c r="S47" s="4">
        <f t="shared" si="66"/>
        <v>1.227804314753761</v>
      </c>
      <c r="T47" s="4" t="str">
        <f t="shared" si="57"/>
        <v>1+0,0000245024698809664i</v>
      </c>
      <c r="U47" s="4">
        <f t="shared" si="67"/>
        <v>1.0000000003001857</v>
      </c>
      <c r="V47" s="4">
        <f t="shared" si="68"/>
        <v>2.4502469876062877E-5</v>
      </c>
      <c r="W47" t="str">
        <f t="shared" si="58"/>
        <v>1-0,000212695051050056i</v>
      </c>
      <c r="X47" s="4">
        <f t="shared" si="69"/>
        <v>1.0000000226195922</v>
      </c>
      <c r="Y47" s="4">
        <f t="shared" si="70"/>
        <v>-2.1269504784267253E-4</v>
      </c>
      <c r="Z47" t="str">
        <f t="shared" si="59"/>
        <v>0,999999998479242+0,000182364736770317i</v>
      </c>
      <c r="AA47" s="4">
        <f t="shared" si="71"/>
        <v>1.0000000151076904</v>
      </c>
      <c r="AB47" s="4">
        <f t="shared" si="72"/>
        <v>1.8236473502602121E-4</v>
      </c>
      <c r="AC47" s="48" t="str">
        <f t="shared" si="73"/>
        <v>36,6715658204943-102,811007972294i</v>
      </c>
      <c r="AD47" s="20">
        <f t="shared" si="74"/>
        <v>40.760906605211595</v>
      </c>
      <c r="AE47" s="44">
        <f t="shared" si="75"/>
        <v>-70.369236673444732</v>
      </c>
      <c r="AF47" t="str">
        <f t="shared" si="60"/>
        <v>-0,0000125211169631323</v>
      </c>
      <c r="AG47" t="str">
        <f t="shared" si="61"/>
        <v>5,92102184673554E-07i</v>
      </c>
      <c r="AH47">
        <f t="shared" si="76"/>
        <v>5.9210218467355403E-7</v>
      </c>
      <c r="AI47">
        <f t="shared" si="77"/>
        <v>1.5707963267948966</v>
      </c>
      <c r="AJ47" t="str">
        <f t="shared" si="62"/>
        <v>1+0,000947611349139498i</v>
      </c>
      <c r="AK47">
        <f t="shared" si="78"/>
        <v>1.0000004489835337</v>
      </c>
      <c r="AL47">
        <f t="shared" si="79"/>
        <v>9.4761106549832573E-4</v>
      </c>
      <c r="AM47" t="str">
        <f t="shared" si="63"/>
        <v>1+0,138781989405794i</v>
      </c>
      <c r="AN47">
        <f t="shared" si="80"/>
        <v>1.0095842909749686</v>
      </c>
      <c r="AO47">
        <f t="shared" si="81"/>
        <v>0.13790114572592641</v>
      </c>
      <c r="AP47" s="42" t="str">
        <f t="shared" si="82"/>
        <v>-2,91476516066683+21,1496473273251i</v>
      </c>
      <c r="AQ47">
        <f t="shared" si="83"/>
        <v>26.587775966320667</v>
      </c>
      <c r="AR47" s="44">
        <f t="shared" si="84"/>
        <v>97.846859525441147</v>
      </c>
      <c r="AS47" s="42" t="str">
        <f t="shared" si="85"/>
        <v>2067,52755754015+1075,26062821493i</v>
      </c>
      <c r="AT47" s="20">
        <f t="shared" si="86"/>
        <v>67.348682571532265</v>
      </c>
      <c r="AU47" s="44">
        <f t="shared" si="87"/>
        <v>27.477622851996507</v>
      </c>
    </row>
    <row r="48" spans="1:47" x14ac:dyDescent="0.3">
      <c r="A48" t="s">
        <v>208</v>
      </c>
      <c r="B48" s="18">
        <f>1/(Cout_total*Resr_total)</f>
        <v>5000000</v>
      </c>
      <c r="C48" t="s">
        <v>205</v>
      </c>
      <c r="E48" t="s">
        <v>198</v>
      </c>
      <c r="N48" s="8">
        <v>30</v>
      </c>
      <c r="O48" s="35">
        <f t="shared" si="64"/>
        <v>19.952623149688804</v>
      </c>
      <c r="P48" s="34" t="str">
        <f t="shared" si="55"/>
        <v>324,571428571429</v>
      </c>
      <c r="Q48" s="4" t="str">
        <f t="shared" si="56"/>
        <v>1+2,86550922545865i</v>
      </c>
      <c r="R48" s="4">
        <f t="shared" si="65"/>
        <v>3.0349865108742464</v>
      </c>
      <c r="S48" s="4">
        <f t="shared" si="66"/>
        <v>1.2350321650663363</v>
      </c>
      <c r="T48" s="4" t="str">
        <f t="shared" si="57"/>
        <v>1+0,0000250732057227632i</v>
      </c>
      <c r="U48" s="4">
        <f t="shared" si="67"/>
        <v>1.0000000003143328</v>
      </c>
      <c r="V48" s="4">
        <f t="shared" si="68"/>
        <v>2.5073205717508981E-5</v>
      </c>
      <c r="W48" t="str">
        <f t="shared" si="58"/>
        <v>1-0,000217649355232319i</v>
      </c>
      <c r="X48" s="4">
        <f t="shared" si="69"/>
        <v>1.0000000236856206</v>
      </c>
      <c r="Y48" s="4">
        <f t="shared" si="70"/>
        <v>-2.1764935179554567E-4</v>
      </c>
      <c r="Z48" t="str">
        <f t="shared" si="59"/>
        <v>0,999999998407571+0,000186612557176191i</v>
      </c>
      <c r="AA48" s="4">
        <f t="shared" si="71"/>
        <v>1.000000015819694</v>
      </c>
      <c r="AB48" s="4">
        <f t="shared" si="72"/>
        <v>1.8661255530714438E-4</v>
      </c>
      <c r="AC48" s="48" t="str">
        <f t="shared" si="73"/>
        <v>35,1985344782908-100,984799086731i</v>
      </c>
      <c r="AD48" s="20">
        <f t="shared" si="74"/>
        <v>40.583070508039413</v>
      </c>
      <c r="AE48" s="44">
        <f t="shared" si="75"/>
        <v>-70.783856533433948</v>
      </c>
      <c r="AF48" t="str">
        <f t="shared" si="60"/>
        <v>-0,0000125211169631323</v>
      </c>
      <c r="AG48" t="str">
        <f t="shared" si="61"/>
        <v>6,05894016290573E-07i</v>
      </c>
      <c r="AH48">
        <f t="shared" si="76"/>
        <v>6.0589401629057295E-7</v>
      </c>
      <c r="AI48">
        <f t="shared" si="77"/>
        <v>1.5707963267948966</v>
      </c>
      <c r="AJ48" t="str">
        <f t="shared" si="62"/>
        <v>1+0,000969684052980161i</v>
      </c>
      <c r="AK48">
        <f t="shared" si="78"/>
        <v>1.0000004701434708</v>
      </c>
      <c r="AL48">
        <f t="shared" si="79"/>
        <v>9.6968374905317685E-4</v>
      </c>
      <c r="AM48" t="str">
        <f t="shared" si="63"/>
        <v>1+0,142014637213731i</v>
      </c>
      <c r="AN48">
        <f t="shared" si="80"/>
        <v>1.0100337406160982</v>
      </c>
      <c r="AO48">
        <f t="shared" si="81"/>
        <v>0.14107130186309469</v>
      </c>
      <c r="AP48" s="42" t="str">
        <f t="shared" si="82"/>
        <v>-2,91476503731441+20,6683497872441i</v>
      </c>
      <c r="AQ48">
        <f t="shared" si="83"/>
        <v>26.391641731419266</v>
      </c>
      <c r="AR48" s="44">
        <f t="shared" si="84"/>
        <v>98.027231420888228</v>
      </c>
      <c r="AS48" s="42" t="str">
        <f t="shared" si="85"/>
        <v>1984,5936930571+1021,84258427391i</v>
      </c>
      <c r="AT48" s="20">
        <f t="shared" si="86"/>
        <v>66.974712239458697</v>
      </c>
      <c r="AU48" s="44">
        <f t="shared" si="87"/>
        <v>27.24337488745428</v>
      </c>
    </row>
    <row r="49" spans="1:47" x14ac:dyDescent="0.3">
      <c r="B49" s="18">
        <f>wz_esr/(2*PI())</f>
        <v>795774.71545947669</v>
      </c>
      <c r="C49" t="s">
        <v>61</v>
      </c>
      <c r="N49" s="8">
        <v>31</v>
      </c>
      <c r="O49" s="35">
        <f t="shared" si="64"/>
        <v>20.4173794466953</v>
      </c>
      <c r="P49" s="34" t="str">
        <f t="shared" si="55"/>
        <v>324,571428571429</v>
      </c>
      <c r="Q49" s="4" t="str">
        <f t="shared" si="56"/>
        <v>1+2,93225550972768i</v>
      </c>
      <c r="R49" s="4">
        <f t="shared" si="65"/>
        <v>3.0980836616089529</v>
      </c>
      <c r="S49" s="4">
        <f t="shared" si="66"/>
        <v>1.2421308979525094</v>
      </c>
      <c r="T49" s="4" t="str">
        <f t="shared" si="57"/>
        <v>1+0,0000256572357101172i</v>
      </c>
      <c r="U49" s="4">
        <f t="shared" si="67"/>
        <v>1.0000000003291469</v>
      </c>
      <c r="V49" s="4">
        <f t="shared" si="68"/>
        <v>2.5657235704487204E-5</v>
      </c>
      <c r="W49" t="str">
        <f t="shared" si="58"/>
        <v>1-0,000222719059983656i</v>
      </c>
      <c r="X49" s="4">
        <f t="shared" si="69"/>
        <v>1.0000000248018897</v>
      </c>
      <c r="Y49" s="4">
        <f t="shared" si="70"/>
        <v>-2.2271905630108705E-4</v>
      </c>
      <c r="Z49" t="str">
        <f t="shared" si="59"/>
        <v>0,999999998332523+0,000190959322029987i</v>
      </c>
      <c r="AA49" s="4">
        <f t="shared" si="71"/>
        <v>1.0000000165652543</v>
      </c>
      <c r="AB49" s="4">
        <f t="shared" si="72"/>
        <v>1.9095932002726731E-4</v>
      </c>
      <c r="AC49" s="48" t="str">
        <f t="shared" si="73"/>
        <v>33,7776602894128-99,1706710631872i</v>
      </c>
      <c r="AD49" s="20">
        <f t="shared" si="74"/>
        <v>40.404342986816161</v>
      </c>
      <c r="AE49" s="44">
        <f t="shared" si="75"/>
        <v>-71.191090029193532</v>
      </c>
      <c r="AF49" t="str">
        <f t="shared" si="60"/>
        <v>-0,0000125211169631323</v>
      </c>
      <c r="AG49" t="str">
        <f t="shared" si="61"/>
        <v>6,20007100934984E-07i</v>
      </c>
      <c r="AH49">
        <f t="shared" si="76"/>
        <v>6.20007100934984E-7</v>
      </c>
      <c r="AI49">
        <f t="shared" si="77"/>
        <v>1.5707963267948966</v>
      </c>
      <c r="AJ49" t="str">
        <f t="shared" si="62"/>
        <v>1+0,000992270896140995i</v>
      </c>
      <c r="AK49">
        <f t="shared" si="78"/>
        <v>1.0000004923006445</v>
      </c>
      <c r="AL49">
        <f t="shared" si="79"/>
        <v>9.9227057047737276E-4</v>
      </c>
      <c r="AM49" t="str">
        <f t="shared" si="63"/>
        <v>1+0,145322583062104i</v>
      </c>
      <c r="AN49">
        <f t="shared" si="80"/>
        <v>1.0105041579072507</v>
      </c>
      <c r="AO49">
        <f t="shared" si="81"/>
        <v>0.14431234764026526</v>
      </c>
      <c r="AP49" s="42" t="str">
        <f t="shared" si="82"/>
        <v>-2,91476490814854+20,1980108797871i</v>
      </c>
      <c r="AQ49">
        <f t="shared" si="83"/>
        <v>26.195685999354687</v>
      </c>
      <c r="AR49" s="44">
        <f t="shared" si="84"/>
        <v>98.211635535588542</v>
      </c>
      <c r="AS49" s="42" t="str">
        <f t="shared" si="85"/>
        <v>1904,5963541991+971,300741951832i</v>
      </c>
      <c r="AT49" s="20">
        <f t="shared" si="86"/>
        <v>66.600028986170841</v>
      </c>
      <c r="AU49" s="44">
        <f t="shared" si="87"/>
        <v>27.020545506394999</v>
      </c>
    </row>
    <row r="50" spans="1:47" x14ac:dyDescent="0.3">
      <c r="N50" s="8">
        <v>32</v>
      </c>
      <c r="O50" s="35">
        <f t="shared" si="64"/>
        <v>20.8929613085404</v>
      </c>
      <c r="P50" s="34" t="str">
        <f t="shared" si="55"/>
        <v>324,571428571429</v>
      </c>
      <c r="Q50" s="4" t="str">
        <f t="shared" si="56"/>
        <v>1+3,00055651468098i</v>
      </c>
      <c r="R50" s="4">
        <f t="shared" si="65"/>
        <v>3.1628056212474505</v>
      </c>
      <c r="S50" s="4">
        <f t="shared" si="66"/>
        <v>1.2491014145765882</v>
      </c>
      <c r="T50" s="4" t="str">
        <f t="shared" si="57"/>
        <v>1+0,0000262548695034586i</v>
      </c>
      <c r="U50" s="4">
        <f t="shared" si="67"/>
        <v>1.000000000344659</v>
      </c>
      <c r="V50" s="4">
        <f t="shared" si="68"/>
        <v>2.6254869497425946E-5</v>
      </c>
      <c r="W50" t="str">
        <f t="shared" si="58"/>
        <v>1-0,000227906853328634i</v>
      </c>
      <c r="X50" s="4">
        <f t="shared" si="69"/>
        <v>1.0000000259707664</v>
      </c>
      <c r="Y50" s="4">
        <f t="shared" si="70"/>
        <v>-2.2790684938269026E-4</v>
      </c>
      <c r="Z50" t="str">
        <f t="shared" si="59"/>
        <v>0,999999998253937+0,00019540733604397i</v>
      </c>
      <c r="AA50" s="4">
        <f t="shared" si="71"/>
        <v>1.0000000173459502</v>
      </c>
      <c r="AB50" s="4">
        <f t="shared" si="72"/>
        <v>1.9540733389801723E-4</v>
      </c>
      <c r="AC50" s="48" t="str">
        <f t="shared" si="73"/>
        <v>32,4076489826049-97,3698563867212i</v>
      </c>
      <c r="AD50" s="20">
        <f t="shared" si="74"/>
        <v>40.224755778466907</v>
      </c>
      <c r="AE50" s="44">
        <f t="shared" si="75"/>
        <v>-71.59098906195554</v>
      </c>
      <c r="AF50" t="str">
        <f t="shared" si="60"/>
        <v>-0,0000125211169631323</v>
      </c>
      <c r="AG50" t="str">
        <f t="shared" si="61"/>
        <v>6,34448921551075E-07i</v>
      </c>
      <c r="AH50">
        <f t="shared" si="76"/>
        <v>6.34448921551075E-7</v>
      </c>
      <c r="AI50">
        <f t="shared" si="77"/>
        <v>1.5707963267948966</v>
      </c>
      <c r="AJ50" t="str">
        <f t="shared" si="62"/>
        <v>1+0,00101538385446523i</v>
      </c>
      <c r="AK50">
        <f t="shared" si="78"/>
        <v>1.000000515502053</v>
      </c>
      <c r="AL50">
        <f t="shared" si="79"/>
        <v>1.0153835055103815E-3</v>
      </c>
      <c r="AM50" t="str">
        <f t="shared" si="63"/>
        <v>1+0,148707580867589i</v>
      </c>
      <c r="AN50">
        <f t="shared" si="80"/>
        <v>1.0109965106801757</v>
      </c>
      <c r="AO50">
        <f t="shared" si="81"/>
        <v>0.14762572899930351</v>
      </c>
      <c r="AP50" s="42" t="str">
        <f t="shared" si="82"/>
        <v>-2,91476477289532+19,7383812250388i</v>
      </c>
      <c r="AQ50">
        <f t="shared" si="83"/>
        <v>25.999916834702347</v>
      </c>
      <c r="AR50" s="44">
        <f t="shared" si="84"/>
        <v>98.400154029749189</v>
      </c>
      <c r="AS50" s="42" t="str">
        <f t="shared" si="85"/>
        <v>1827,46267156153+923,484757563788i</v>
      </c>
      <c r="AT50" s="20">
        <f t="shared" si="86"/>
        <v>66.224672613169261</v>
      </c>
      <c r="AU50" s="44">
        <f t="shared" si="87"/>
        <v>26.809164967793642</v>
      </c>
    </row>
    <row r="51" spans="1:47" x14ac:dyDescent="0.3">
      <c r="A51" t="s">
        <v>201</v>
      </c>
      <c r="B51" s="1">
        <f>(Isl*(Rsl_int+R_sl)*Fsw)</f>
        <v>39990</v>
      </c>
      <c r="C51" t="s">
        <v>144</v>
      </c>
      <c r="E51" t="s">
        <v>202</v>
      </c>
      <c r="N51" s="8">
        <v>33</v>
      </c>
      <c r="O51" s="35">
        <f t="shared" si="64"/>
        <v>21.379620895022335</v>
      </c>
      <c r="P51" s="34" t="str">
        <f t="shared" si="55"/>
        <v>324,571428571429</v>
      </c>
      <c r="Q51" s="4" t="str">
        <f t="shared" si="56"/>
        <v>1+3,07044845441541i</v>
      </c>
      <c r="R51" s="4">
        <f t="shared" si="65"/>
        <v>3.2291877788728827</v>
      </c>
      <c r="S51" s="4">
        <f t="shared" si="66"/>
        <v>1.2559447004274455</v>
      </c>
      <c r="T51" s="4" t="str">
        <f t="shared" si="57"/>
        <v>1+0,0000268664239761348i</v>
      </c>
      <c r="U51" s="4">
        <f t="shared" si="67"/>
        <v>1.0000000003609024</v>
      </c>
      <c r="V51" s="4">
        <f t="shared" si="68"/>
        <v>2.6866423969670694E-5</v>
      </c>
      <c r="W51" t="str">
        <f t="shared" si="58"/>
        <v>1-0,000233215485903948i</v>
      </c>
      <c r="X51" s="4">
        <f t="shared" si="69"/>
        <v>1.0000000271947311</v>
      </c>
      <c r="Y51" s="4">
        <f t="shared" si="70"/>
        <v>-2.3321548167579313E-4</v>
      </c>
      <c r="Z51" t="str">
        <f t="shared" si="59"/>
        <v>0,999999998171647+0,000199958957614045i</v>
      </c>
      <c r="AA51" s="4">
        <f t="shared" si="71"/>
        <v>1.0000000181634392</v>
      </c>
      <c r="AB51" s="4">
        <f t="shared" si="72"/>
        <v>1.9995895531461531E-4</v>
      </c>
      <c r="AC51" s="48" t="str">
        <f t="shared" si="73"/>
        <v>31,0871932879893-95,5835005530561i</v>
      </c>
      <c r="AD51" s="20">
        <f t="shared" si="74"/>
        <v>40.044339818249014</v>
      </c>
      <c r="AE51" s="44">
        <f t="shared" si="75"/>
        <v>-71.983610370643589</v>
      </c>
      <c r="AF51" t="str">
        <f t="shared" si="60"/>
        <v>-0,0000125211169631323</v>
      </c>
      <c r="AG51" t="str">
        <f t="shared" si="61"/>
        <v>6,49227135383298E-07i</v>
      </c>
      <c r="AH51">
        <f t="shared" si="76"/>
        <v>6.4922713538329801E-7</v>
      </c>
      <c r="AI51">
        <f t="shared" si="77"/>
        <v>1.5707963267948966</v>
      </c>
      <c r="AJ51" t="str">
        <f t="shared" si="62"/>
        <v>1+0,00103903518274929i</v>
      </c>
      <c r="AK51">
        <f t="shared" si="78"/>
        <v>1.0000005397969098</v>
      </c>
      <c r="AL51">
        <f t="shared" si="79"/>
        <v>1.0390348088374442E-3</v>
      </c>
      <c r="AM51" t="str">
        <f t="shared" si="63"/>
        <v>1+0,152171425400827i</v>
      </c>
      <c r="AN51">
        <f t="shared" si="80"/>
        <v>1.011511810464178</v>
      </c>
      <c r="AO51">
        <f t="shared" si="81"/>
        <v>0.15101291158011337</v>
      </c>
      <c r="AP51" s="42" t="str">
        <f t="shared" si="82"/>
        <v>-2,91476463126781+19,2892171212713i</v>
      </c>
      <c r="AQ51">
        <f t="shared" si="83"/>
        <v>25.804342649624527</v>
      </c>
      <c r="AR51" s="44">
        <f t="shared" si="84"/>
        <v>98.592870176209232</v>
      </c>
      <c r="AS51" s="42" t="str">
        <f t="shared" si="85"/>
        <v>1753,11904389784+878,251027767769i</v>
      </c>
      <c r="AT51" s="20">
        <f t="shared" si="86"/>
        <v>65.848682467873545</v>
      </c>
      <c r="AU51" s="44">
        <f t="shared" si="87"/>
        <v>26.609259805565632</v>
      </c>
    </row>
    <row r="52" spans="1:47" x14ac:dyDescent="0.3">
      <c r="A52" t="s">
        <v>204</v>
      </c>
      <c r="B52" s="1">
        <f>(R_cs*VIN_var*Acs*(1-Dc_var_ccm))/Lm</f>
        <v>17280.000000000004</v>
      </c>
      <c r="C52" t="s">
        <v>144</v>
      </c>
      <c r="E52" t="s">
        <v>203</v>
      </c>
      <c r="N52" s="8">
        <v>34</v>
      </c>
      <c r="O52" s="35">
        <f t="shared" si="64"/>
        <v>21.877616239495538</v>
      </c>
      <c r="P52" s="34" t="str">
        <f t="shared" si="55"/>
        <v>324,571428571429</v>
      </c>
      <c r="Q52" s="4" t="str">
        <f t="shared" si="56"/>
        <v>1+3,14196838656256i</v>
      </c>
      <c r="R52" s="4">
        <f t="shared" si="65"/>
        <v>3.2972663438306791</v>
      </c>
      <c r="S52" s="4">
        <f t="shared" si="66"/>
        <v>1.2626618192343029</v>
      </c>
      <c r="T52" s="4" t="str">
        <f t="shared" si="57"/>
        <v>1+0,0000274922233824224i</v>
      </c>
      <c r="U52" s="4">
        <f t="shared" si="67"/>
        <v>1.000000000377911</v>
      </c>
      <c r="V52" s="4">
        <f t="shared" si="68"/>
        <v>2.7492223375495988E-5</v>
      </c>
      <c r="W52" t="str">
        <f t="shared" si="58"/>
        <v>1-0,000238647772416861i</v>
      </c>
      <c r="X52" s="4">
        <f t="shared" si="69"/>
        <v>1.0000000284763793</v>
      </c>
      <c r="Y52" s="4">
        <f t="shared" si="70"/>
        <v>-2.3864776788631146E-4</v>
      </c>
      <c r="Z52" t="str">
        <f t="shared" si="59"/>
        <v>0,99999999808548+0,000204616600070217i</v>
      </c>
      <c r="AA52" s="4">
        <f t="shared" si="71"/>
        <v>1.0000000190194562</v>
      </c>
      <c r="AB52" s="4">
        <f t="shared" si="72"/>
        <v>2.0461659760633358E-4</v>
      </c>
      <c r="AC52" s="48" t="str">
        <f t="shared" si="73"/>
        <v>29,814977506504-93,8126645270759i</v>
      </c>
      <c r="AD52" s="20">
        <f t="shared" si="74"/>
        <v>39.86312523316785</v>
      </c>
      <c r="AE52" s="44">
        <f t="shared" si="75"/>
        <v>-72.369015183418483</v>
      </c>
      <c r="AF52" t="str">
        <f t="shared" si="60"/>
        <v>-0,0000125211169631323</v>
      </c>
      <c r="AG52" t="str">
        <f t="shared" si="61"/>
        <v>6,64349578036237E-07i</v>
      </c>
      <c r="AH52">
        <f t="shared" si="76"/>
        <v>6.6434957803623702E-7</v>
      </c>
      <c r="AI52">
        <f t="shared" si="77"/>
        <v>1.5707963267948966</v>
      </c>
      <c r="AJ52" t="str">
        <f t="shared" si="62"/>
        <v>1+0,0010632374212405i</v>
      </c>
      <c r="AK52">
        <f t="shared" si="78"/>
        <v>1.0000005652367472</v>
      </c>
      <c r="AL52">
        <f t="shared" si="79"/>
        <v>1.0632370205867509E-3</v>
      </c>
      <c r="AM52" t="str">
        <f t="shared" si="63"/>
        <v>1+0,15571595323804i</v>
      </c>
      <c r="AN52">
        <f t="shared" si="80"/>
        <v>1.0120511143676645</v>
      </c>
      <c r="AO52">
        <f t="shared" si="81"/>
        <v>0.15447538026165394</v>
      </c>
      <c r="AP52" s="42" t="str">
        <f t="shared" si="82"/>
        <v>-2,91476448296562+18,8502804157307i</v>
      </c>
      <c r="AQ52">
        <f t="shared" si="83"/>
        <v>25.608972217274435</v>
      </c>
      <c r="AR52" s="44">
        <f t="shared" si="84"/>
        <v>98.789868333769576</v>
      </c>
      <c r="AS52" s="42" t="str">
        <f t="shared" si="85"/>
        <v>1681,49139538588+835,462509202193i</v>
      </c>
      <c r="AT52" s="20">
        <f t="shared" si="86"/>
        <v>65.472097450442291</v>
      </c>
      <c r="AU52" s="44">
        <f t="shared" si="87"/>
        <v>26.42085315035105</v>
      </c>
    </row>
    <row r="53" spans="1:47" x14ac:dyDescent="0.3">
      <c r="A53" t="s">
        <v>507</v>
      </c>
      <c r="B53" s="1">
        <f>1+(B51/B52)</f>
        <v>3.3142361111111107</v>
      </c>
      <c r="N53" s="8">
        <v>35</v>
      </c>
      <c r="O53" s="35">
        <f t="shared" si="64"/>
        <v>22.387211385683404</v>
      </c>
      <c r="P53" s="34" t="str">
        <f t="shared" si="55"/>
        <v>324,571428571429</v>
      </c>
      <c r="Q53" s="4" t="str">
        <f t="shared" si="56"/>
        <v>1+3,21515423193714i</v>
      </c>
      <c r="R53" s="4">
        <f t="shared" si="65"/>
        <v>3.3670783678351328</v>
      </c>
      <c r="S53" s="4">
        <f t="shared" si="66"/>
        <v>1.269253907062607</v>
      </c>
      <c r="T53" s="4" t="str">
        <f t="shared" si="57"/>
        <v>1+0,00002813259952945i</v>
      </c>
      <c r="U53" s="4">
        <f t="shared" si="67"/>
        <v>1.0000000003957215</v>
      </c>
      <c r="V53" s="4">
        <f t="shared" si="68"/>
        <v>2.8132599522028218E-5</v>
      </c>
      <c r="W53" t="str">
        <f t="shared" si="58"/>
        <v>1-0,000244206593137587i</v>
      </c>
      <c r="X53" s="4">
        <f t="shared" si="69"/>
        <v>1.0000000298184295</v>
      </c>
      <c r="Y53" s="4">
        <f t="shared" si="70"/>
        <v>-2.4420658828301574E-4</v>
      </c>
      <c r="Z53" t="str">
        <f t="shared" si="59"/>
        <v>0,999999997995251+0,000209382732956167i</v>
      </c>
      <c r="AA53" s="4">
        <f t="shared" si="71"/>
        <v>1.0000000199158152</v>
      </c>
      <c r="AB53" s="4">
        <f t="shared" si="72"/>
        <v>2.0938273031606843E-4</v>
      </c>
      <c r="AC53" s="48" t="str">
        <f t="shared" si="73"/>
        <v>28,5896817490792-92,0583273576502i</v>
      </c>
      <c r="AD53" s="20">
        <f t="shared" si="74"/>
        <v>39.681141338106436</v>
      </c>
      <c r="AE53" s="44">
        <f t="shared" si="75"/>
        <v>-72.747268879545999</v>
      </c>
      <c r="AF53" t="str">
        <f t="shared" si="60"/>
        <v>-0,0000125211169631323</v>
      </c>
      <c r="AG53" t="str">
        <f t="shared" si="61"/>
        <v>6,79824267629157E-07i</v>
      </c>
      <c r="AH53">
        <f t="shared" si="76"/>
        <v>6.7982426762915699E-7</v>
      </c>
      <c r="AI53">
        <f t="shared" si="77"/>
        <v>1.5707963267948966</v>
      </c>
      <c r="AJ53" t="str">
        <f t="shared" si="62"/>
        <v>1+0,00108800340228607i</v>
      </c>
      <c r="AK53">
        <f t="shared" si="78"/>
        <v>1.0000005918755266</v>
      </c>
      <c r="AL53">
        <f t="shared" si="79"/>
        <v>1.0880029729778569E-3</v>
      </c>
      <c r="AM53" t="str">
        <f t="shared" si="63"/>
        <v>1+0,159343043734805i</v>
      </c>
      <c r="AN53">
        <f t="shared" si="80"/>
        <v>1.0126155270321862</v>
      </c>
      <c r="AO53">
        <f t="shared" si="81"/>
        <v>0.1580146386361006</v>
      </c>
      <c r="AP53" s="42" t="str">
        <f t="shared" si="82"/>
        <v>-2,91476432767419+18,4213383783645i</v>
      </c>
      <c r="AQ53">
        <f t="shared" si="83"/>
        <v>25.413814685566273</v>
      </c>
      <c r="AR53" s="44">
        <f t="shared" si="84"/>
        <v>98.991233916684081</v>
      </c>
      <c r="AS53" s="42" t="str">
        <f t="shared" si="85"/>
        <v>1612,50541429975+794,988530276971i</v>
      </c>
      <c r="AT53" s="20">
        <f t="shared" si="86"/>
        <v>65.094956023672708</v>
      </c>
      <c r="AU53" s="44">
        <f t="shared" si="87"/>
        <v>26.243965037138061</v>
      </c>
    </row>
    <row r="54" spans="1:47" x14ac:dyDescent="0.3">
      <c r="A54" t="s">
        <v>199</v>
      </c>
      <c r="B54" s="1">
        <f>2*PI()*Fsw</f>
        <v>6283185.307179586</v>
      </c>
      <c r="C54" t="s">
        <v>205</v>
      </c>
      <c r="N54" s="8">
        <v>36</v>
      </c>
      <c r="O54" s="35">
        <f t="shared" si="64"/>
        <v>22.908676527677727</v>
      </c>
      <c r="P54" s="34" t="str">
        <f t="shared" si="55"/>
        <v>324,571428571429</v>
      </c>
      <c r="Q54" s="4" t="str">
        <f t="shared" si="56"/>
        <v>1+3,29004479464309i</v>
      </c>
      <c r="R54" s="4">
        <f t="shared" si="65"/>
        <v>3.4386617674261148</v>
      </c>
      <c r="S54" s="4">
        <f t="shared" si="66"/>
        <v>1.2757221666000613</v>
      </c>
      <c r="T54" s="4" t="str">
        <f t="shared" si="57"/>
        <v>1+0,000028787891953127i</v>
      </c>
      <c r="U54" s="4">
        <f t="shared" si="67"/>
        <v>1.0000000004143712</v>
      </c>
      <c r="V54" s="4">
        <f t="shared" si="68"/>
        <v>2.8787891945174414E-5</v>
      </c>
      <c r="W54" t="str">
        <f t="shared" si="58"/>
        <v>1-0,00024989489542645i</v>
      </c>
      <c r="X54" s="4">
        <f t="shared" si="69"/>
        <v>1.0000000312237289</v>
      </c>
      <c r="Y54" s="4">
        <f t="shared" si="70"/>
        <v>-2.4989489022468316E-4</v>
      </c>
      <c r="Z54" t="str">
        <f t="shared" si="59"/>
        <v>0,99999999790077+0,000214259883338638i</v>
      </c>
      <c r="AA54" s="4">
        <f t="shared" si="71"/>
        <v>1.0000000208544184</v>
      </c>
      <c r="AB54" s="4">
        <f t="shared" si="72"/>
        <v>2.1425988050972146E-4</v>
      </c>
      <c r="AC54" s="48" t="str">
        <f t="shared" si="73"/>
        <v>27,4099858516979-90,3213889194805i</v>
      </c>
      <c r="AD54" s="20">
        <f t="shared" si="74"/>
        <v>39.498416634466246</v>
      </c>
      <c r="AE54" s="44">
        <f t="shared" si="75"/>
        <v>-73.118440662163195</v>
      </c>
      <c r="AF54" t="str">
        <f t="shared" si="60"/>
        <v>-0,0000125211169631323</v>
      </c>
      <c r="AG54" t="str">
        <f t="shared" si="61"/>
        <v>6,95659409047312E-07i</v>
      </c>
      <c r="AH54">
        <f t="shared" si="76"/>
        <v>6.9565940904731198E-7</v>
      </c>
      <c r="AI54">
        <f t="shared" si="77"/>
        <v>1.5707963267948966</v>
      </c>
      <c r="AJ54" t="str">
        <f t="shared" si="62"/>
        <v>1+0,00111334625713695i</v>
      </c>
      <c r="AK54">
        <f t="shared" si="78"/>
        <v>1.0000006197697522</v>
      </c>
      <c r="AL54">
        <f t="shared" si="79"/>
        <v>1.113345797124927E-3</v>
      </c>
      <c r="AM54" t="str">
        <f t="shared" si="63"/>
        <v>1+0,163054620022511i</v>
      </c>
      <c r="AN54">
        <f t="shared" si="80"/>
        <v>1.0132062026609812</v>
      </c>
      <c r="AO54">
        <f t="shared" si="81"/>
        <v>0.16163220841165316</v>
      </c>
      <c r="AP54" s="42" t="str">
        <f t="shared" si="82"/>
        <v>-2,9147641650641+18,0021635784259i</v>
      </c>
      <c r="AQ54">
        <f t="shared" si="83"/>
        <v>25.218879591307658</v>
      </c>
      <c r="AR54" s="44">
        <f t="shared" si="84"/>
        <v>99.197053360052763</v>
      </c>
      <c r="AS54" s="42" t="str">
        <f t="shared" si="85"/>
        <v>1546,08677343367+756,704596745925i</v>
      </c>
      <c r="AT54" s="20">
        <f t="shared" si="86"/>
        <v>64.717296225773907</v>
      </c>
      <c r="AU54" s="44">
        <f t="shared" si="87"/>
        <v>26.078612697889579</v>
      </c>
    </row>
    <row r="55" spans="1:47" x14ac:dyDescent="0.3">
      <c r="A55" t="s">
        <v>200</v>
      </c>
      <c r="B55" s="1">
        <f>1/(PI()*(((1-Dc_var_ccm)*mc)-0.5))</f>
        <v>0.21384009148806096</v>
      </c>
      <c r="N55" s="8">
        <v>37</v>
      </c>
      <c r="O55" s="35">
        <f t="shared" si="64"/>
        <v>23.442288153199236</v>
      </c>
      <c r="P55" s="34" t="str">
        <f t="shared" si="55"/>
        <v>324,571428571429</v>
      </c>
      <c r="Q55" s="4" t="str">
        <f t="shared" si="56"/>
        <v>1+3,36667978264805i</v>
      </c>
      <c r="R55" s="4">
        <f t="shared" si="65"/>
        <v>3.5120553467864255</v>
      </c>
      <c r="S55" s="4">
        <f t="shared" si="66"/>
        <v>1.2820678616408441</v>
      </c>
      <c r="T55" s="4" t="str">
        <f t="shared" si="57"/>
        <v>1+0,0000294584480981704i</v>
      </c>
      <c r="U55" s="4">
        <f t="shared" si="67"/>
        <v>1.0000000004339</v>
      </c>
      <c r="V55" s="4">
        <f t="shared" si="68"/>
        <v>2.9458448089649053E-5</v>
      </c>
      <c r="W55" t="str">
        <f t="shared" si="58"/>
        <v>1-0,000255715695296618i</v>
      </c>
      <c r="X55" s="4">
        <f t="shared" si="69"/>
        <v>1.0000000326952578</v>
      </c>
      <c r="Y55" s="4">
        <f t="shared" si="70"/>
        <v>-2.5571568972282443E-4</v>
      </c>
      <c r="Z55" t="str">
        <f t="shared" si="59"/>
        <v>0,999999997801836+0,00021925063714732i</v>
      </c>
      <c r="AA55" s="4">
        <f t="shared" si="71"/>
        <v>1.0000000218372567</v>
      </c>
      <c r="AB55" s="4">
        <f t="shared" si="72"/>
        <v>2.1925063411608136E-4</v>
      </c>
      <c r="AC55" s="48" t="str">
        <f t="shared" si="73"/>
        <v>26,2745729742952-88,6026727547916i</v>
      </c>
      <c r="AD55" s="20">
        <f t="shared" si="74"/>
        <v>39.314978811122721</v>
      </c>
      <c r="AE55" s="44">
        <f t="shared" si="75"/>
        <v>-73.482603242402973</v>
      </c>
      <c r="AF55" t="str">
        <f t="shared" si="60"/>
        <v>-0,0000125211169631323</v>
      </c>
      <c r="AG55" t="str">
        <f t="shared" si="61"/>
        <v>7,11863398292285E-07i</v>
      </c>
      <c r="AH55">
        <f t="shared" si="76"/>
        <v>7.1186339829228504E-7</v>
      </c>
      <c r="AI55">
        <f t="shared" si="77"/>
        <v>1.5707963267948966</v>
      </c>
      <c r="AJ55" t="str">
        <f t="shared" si="62"/>
        <v>1+0,00113927942291025i</v>
      </c>
      <c r="AK55">
        <f t="shared" si="78"/>
        <v>1.0000006489785911</v>
      </c>
      <c r="AL55">
        <f t="shared" si="79"/>
        <v>1.1392789299985041E-3</v>
      </c>
      <c r="AM55" t="str">
        <f t="shared" si="63"/>
        <v>1+0,166852650028037i</v>
      </c>
      <c r="AN55">
        <f t="shared" si="80"/>
        <v>1.0138243471239869</v>
      </c>
      <c r="AO55">
        <f t="shared" si="81"/>
        <v>0.16532962873929283</v>
      </c>
      <c r="AP55" s="42" t="str">
        <f t="shared" si="82"/>
        <v>-2,91476399479047+17,5925337638863i</v>
      </c>
      <c r="AQ55">
        <f t="shared" si="83"/>
        <v>25.024176874685633</v>
      </c>
      <c r="AR55" s="44">
        <f t="shared" si="84"/>
        <v>99.407414080849193</v>
      </c>
      <c r="AS55" s="42" t="str">
        <f t="shared" si="85"/>
        <v>1482,16133272527+720,492192569852i</v>
      </c>
      <c r="AT55" s="20">
        <f t="shared" si="86"/>
        <v>64.33915568580835</v>
      </c>
      <c r="AU55" s="44">
        <f t="shared" si="87"/>
        <v>25.924810838446227</v>
      </c>
    </row>
    <row r="56" spans="1:47" x14ac:dyDescent="0.3">
      <c r="N56" s="8">
        <v>38</v>
      </c>
      <c r="O56" s="35">
        <f t="shared" si="64"/>
        <v>23.988329190194907</v>
      </c>
      <c r="P56" s="34" t="str">
        <f t="shared" si="55"/>
        <v>324,571428571429</v>
      </c>
      <c r="Q56" s="4" t="str">
        <f t="shared" si="56"/>
        <v>1+3,44509982883703i</v>
      </c>
      <c r="R56" s="4">
        <f t="shared" si="65"/>
        <v>3.5872988209309988</v>
      </c>
      <c r="S56" s="4">
        <f t="shared" si="66"/>
        <v>1.2882923117741831</v>
      </c>
      <c r="T56" s="4" t="str">
        <f t="shared" si="57"/>
        <v>1+0,000030144623502324i</v>
      </c>
      <c r="U56" s="4">
        <f t="shared" si="67"/>
        <v>1.000000000454349</v>
      </c>
      <c r="V56" s="4">
        <f t="shared" si="68"/>
        <v>3.0144623493193213E-5</v>
      </c>
      <c r="W56" t="str">
        <f t="shared" si="58"/>
        <v>1-0,000261672079013229i</v>
      </c>
      <c r="X56" s="4">
        <f t="shared" si="69"/>
        <v>1.0000000342361379</v>
      </c>
      <c r="Y56" s="4">
        <f t="shared" si="70"/>
        <v>-2.6167207304080155E-4</v>
      </c>
      <c r="Z56" t="str">
        <f t="shared" si="59"/>
        <v>0,99999999769824+0,000224357640545942i</v>
      </c>
      <c r="AA56" s="4">
        <f t="shared" si="71"/>
        <v>1.0000000228664152</v>
      </c>
      <c r="AB56" s="4">
        <f t="shared" si="72"/>
        <v>2.2435763729791123E-4</v>
      </c>
      <c r="AC56" s="48" t="str">
        <f t="shared" si="73"/>
        <v>25,1821328929556-86,9029289897988i</v>
      </c>
      <c r="AD56" s="20">
        <f t="shared" si="74"/>
        <v>39.130854747502681</v>
      </c>
      <c r="AE56" s="44">
        <f t="shared" si="75"/>
        <v>-73.839832535231906</v>
      </c>
      <c r="AF56" t="str">
        <f t="shared" si="60"/>
        <v>-0,0000125211169631323</v>
      </c>
      <c r="AG56" t="str">
        <f t="shared" si="61"/>
        <v>7,28444826933659E-07i</v>
      </c>
      <c r="AH56">
        <f t="shared" si="76"/>
        <v>7.2844482693365897E-7</v>
      </c>
      <c r="AI56">
        <f t="shared" si="77"/>
        <v>1.5707963267948966</v>
      </c>
      <c r="AJ56" t="str">
        <f t="shared" si="62"/>
        <v>1+0,00116581664971372i</v>
      </c>
      <c r="AK56">
        <f t="shared" si="78"/>
        <v>1.0000006795639995</v>
      </c>
      <c r="AL56">
        <f t="shared" si="79"/>
        <v>1.1658161215492879E-3</v>
      </c>
      <c r="AM56" t="str">
        <f t="shared" si="63"/>
        <v>1+0,170739147517163i</v>
      </c>
      <c r="AN56">
        <f t="shared" si="80"/>
        <v>1.0144712201412556</v>
      </c>
      <c r="AO56">
        <f t="shared" si="81"/>
        <v>0.16910845545855244</v>
      </c>
      <c r="AP56" s="42" t="str">
        <f t="shared" si="82"/>
        <v>-2,91476381649208+17,1922317435947i</v>
      </c>
      <c r="AQ56">
        <f t="shared" si="83"/>
        <v>24.829716894098155</v>
      </c>
      <c r="AR56" s="44">
        <f t="shared" si="84"/>
        <v>99.622404434298019</v>
      </c>
      <c r="AS56" s="42" t="str">
        <f t="shared" si="85"/>
        <v>1420,65532461129+686,238577460338i</v>
      </c>
      <c r="AT56" s="20">
        <f t="shared" si="86"/>
        <v>63.960571641600829</v>
      </c>
      <c r="AU56" s="44">
        <f t="shared" si="87"/>
        <v>25.782571899066177</v>
      </c>
    </row>
    <row r="57" spans="1:47" x14ac:dyDescent="0.3">
      <c r="N57" s="8">
        <v>39</v>
      </c>
      <c r="O57" s="35">
        <f t="shared" si="64"/>
        <v>24.547089156850316</v>
      </c>
      <c r="P57" s="34" t="str">
        <f t="shared" si="55"/>
        <v>324,571428571429</v>
      </c>
      <c r="Q57" s="4" t="str">
        <f t="shared" si="56"/>
        <v>1+3,52534651255655i</v>
      </c>
      <c r="R57" s="4">
        <f t="shared" si="65"/>
        <v>3.6644328392801291</v>
      </c>
      <c r="S57" s="4">
        <f t="shared" si="66"/>
        <v>1.294396887281781</v>
      </c>
      <c r="T57" s="4" t="str">
        <f t="shared" si="57"/>
        <v>1+0,0000308467819848698i</v>
      </c>
      <c r="U57" s="4">
        <f t="shared" si="67"/>
        <v>1.0000000004757619</v>
      </c>
      <c r="V57" s="4">
        <f t="shared" si="68"/>
        <v>3.0846781975085978E-5</v>
      </c>
      <c r="W57" t="str">
        <f t="shared" si="58"/>
        <v>1-0,000267767204729773i</v>
      </c>
      <c r="X57" s="4">
        <f t="shared" si="69"/>
        <v>1.0000000358496373</v>
      </c>
      <c r="Y57" s="4">
        <f t="shared" si="70"/>
        <v>-2.6776719833020168E-4</v>
      </c>
      <c r="Z57" t="str">
        <f t="shared" si="59"/>
        <v>0,999999997589762+0,000229583601335307i</v>
      </c>
      <c r="AA57" s="4">
        <f t="shared" si="71"/>
        <v>1.0000000239440767</v>
      </c>
      <c r="AB57" s="4">
        <f t="shared" si="72"/>
        <v>2.2958359785497917E-4</v>
      </c>
      <c r="AC57" s="48" t="str">
        <f t="shared" si="73"/>
        <v>24,1313649961201-85,2228373030106i</v>
      </c>
      <c r="AD57" s="20">
        <f t="shared" si="74"/>
        <v>38.946070518598766</v>
      </c>
      <c r="AE57" s="44">
        <f t="shared" si="75"/>
        <v>-74.190207367257173</v>
      </c>
      <c r="AF57" t="str">
        <f t="shared" si="60"/>
        <v>-0,0000125211169631323</v>
      </c>
      <c r="AG57" t="str">
        <f t="shared" si="61"/>
        <v>7,4541248666438E-07i</v>
      </c>
      <c r="AH57">
        <f t="shared" si="76"/>
        <v>7.4541248666438E-7</v>
      </c>
      <c r="AI57">
        <f t="shared" si="77"/>
        <v>1.5707963267948966</v>
      </c>
      <c r="AJ57" t="str">
        <f t="shared" si="62"/>
        <v>1+0,00119297200793627i</v>
      </c>
      <c r="AK57">
        <f t="shared" si="78"/>
        <v>1.0000007115908527</v>
      </c>
      <c r="AL57">
        <f t="shared" si="79"/>
        <v>1.1929714419979063E-3</v>
      </c>
      <c r="AM57" t="str">
        <f t="shared" si="63"/>
        <v>1+0,174716173162303i</v>
      </c>
      <c r="AN57">
        <f t="shared" si="80"/>
        <v>1.0151481375466735</v>
      </c>
      <c r="AO57">
        <f t="shared" si="81"/>
        <v>0.17297026025722784</v>
      </c>
      <c r="AP57" s="42" t="str">
        <f t="shared" si="82"/>
        <v>-2,91476362979079+16,8010452721201i</v>
      </c>
      <c r="AQ57">
        <f t="shared" si="83"/>
        <v>24.635510441318722</v>
      </c>
      <c r="AR57" s="44">
        <f t="shared" si="84"/>
        <v>99.842113665312439</v>
      </c>
      <c r="AS57" s="42" t="str">
        <f t="shared" si="85"/>
        <v>1361,49552271851+653,836582376261i</v>
      </c>
      <c r="AT57" s="20">
        <f t="shared" si="86"/>
        <v>63.581580959917481</v>
      </c>
      <c r="AU57" s="44">
        <f t="shared" si="87"/>
        <v>25.651906298055259</v>
      </c>
    </row>
    <row r="58" spans="1:47" x14ac:dyDescent="0.3">
      <c r="N58" s="8">
        <v>40</v>
      </c>
      <c r="O58" s="35">
        <f t="shared" si="64"/>
        <v>25.118864315095799</v>
      </c>
      <c r="P58" s="34" t="str">
        <f t="shared" si="55"/>
        <v>324,571428571429</v>
      </c>
      <c r="Q58" s="4" t="str">
        <f t="shared" si="56"/>
        <v>1+3,60746238166053i</v>
      </c>
      <c r="R58" s="4">
        <f t="shared" si="65"/>
        <v>3.7434990096293412</v>
      </c>
      <c r="S58" s="4">
        <f t="shared" si="66"/>
        <v>1.300383004246997</v>
      </c>
      <c r="T58" s="4" t="str">
        <f t="shared" si="57"/>
        <v>1+0,0000315652958395296i</v>
      </c>
      <c r="U58" s="4">
        <f t="shared" si="67"/>
        <v>1.0000000004981839</v>
      </c>
      <c r="V58" s="4">
        <f t="shared" si="68"/>
        <v>3.1565295829046047E-5</v>
      </c>
      <c r="W58" t="str">
        <f t="shared" si="58"/>
        <v>1-0,000274004304162583i</v>
      </c>
      <c r="X58" s="4">
        <f t="shared" si="69"/>
        <v>1.0000000375391787</v>
      </c>
      <c r="Y58" s="4">
        <f t="shared" si="70"/>
        <v>-2.7400429730531882E-4</v>
      </c>
      <c r="Z58" t="str">
        <f t="shared" si="59"/>
        <v>0,999999997476171+0,000234931290388999i</v>
      </c>
      <c r="AA58" s="4">
        <f t="shared" si="71"/>
        <v>1.0000000250725263</v>
      </c>
      <c r="AB58" s="4">
        <f t="shared" si="72"/>
        <v>2.3493128665976059E-4</v>
      </c>
      <c r="AC58" s="48" t="str">
        <f t="shared" si="73"/>
        <v>23,1209809965043-83,563009924479i</v>
      </c>
      <c r="AD58" s="20">
        <f t="shared" si="74"/>
        <v>38.760651401741235</v>
      </c>
      <c r="AE58" s="44">
        <f t="shared" si="75"/>
        <v>-74.533809196670632</v>
      </c>
      <c r="AF58" t="str">
        <f t="shared" si="60"/>
        <v>-0,0000125211169631323</v>
      </c>
      <c r="AG58" t="str">
        <f t="shared" si="61"/>
        <v>7,62775373962231E-07i</v>
      </c>
      <c r="AH58">
        <f t="shared" si="76"/>
        <v>7.6277537396223097E-7</v>
      </c>
      <c r="AI58">
        <f t="shared" si="77"/>
        <v>1.5707963267948966</v>
      </c>
      <c r="AJ58" t="str">
        <f t="shared" si="62"/>
        <v>1+0,00122075989570829i</v>
      </c>
      <c r="AK58">
        <f t="shared" si="78"/>
        <v>1.0000007451270838</v>
      </c>
      <c r="AL58">
        <f t="shared" si="79"/>
        <v>1.220759289294432E-3</v>
      </c>
      <c r="AM58" t="str">
        <f t="shared" si="63"/>
        <v>1+0,178785835635096i</v>
      </c>
      <c r="AN58">
        <f t="shared" si="80"/>
        <v>1.0158564736338198</v>
      </c>
      <c r="AO58">
        <f t="shared" si="81"/>
        <v>0.17691662973969849</v>
      </c>
      <c r="AP58" s="42" t="str">
        <f t="shared" si="82"/>
        <v>-2,91476343429058+16,4187669372158i</v>
      </c>
      <c r="AQ58">
        <f t="shared" si="83"/>
        <v>24.441568756979525</v>
      </c>
      <c r="AR58" s="44">
        <f t="shared" si="84"/>
        <v>100.06663185468545</v>
      </c>
      <c r="AS58" s="42" t="str">
        <f t="shared" si="85"/>
        <v>1304,60939454873+623,184404128532i</v>
      </c>
      <c r="AT58" s="20">
        <f t="shared" si="86"/>
        <v>63.202220158720735</v>
      </c>
      <c r="AU58" s="44">
        <f t="shared" si="87"/>
        <v>25.532822658014886</v>
      </c>
    </row>
    <row r="59" spans="1:47" x14ac:dyDescent="0.3">
      <c r="N59" s="8">
        <v>41</v>
      </c>
      <c r="O59" s="35">
        <f t="shared" si="64"/>
        <v>25.703957827688647</v>
      </c>
      <c r="P59" s="34" t="str">
        <f t="shared" si="55"/>
        <v>324,571428571429</v>
      </c>
      <c r="Q59" s="4" t="str">
        <f t="shared" si="56"/>
        <v>1+3,69149097506965i</v>
      </c>
      <c r="R59" s="4">
        <f t="shared" si="65"/>
        <v>3.8245399225293326</v>
      </c>
      <c r="S59" s="4">
        <f t="shared" si="66"/>
        <v>1.3062521198773076</v>
      </c>
      <c r="T59" s="4" t="str">
        <f t="shared" si="57"/>
        <v>1+0,0000323005460318594i</v>
      </c>
      <c r="U59" s="4">
        <f t="shared" si="67"/>
        <v>1.0000000005216625</v>
      </c>
      <c r="V59" s="4">
        <f t="shared" si="68"/>
        <v>3.2300546020626078E-5</v>
      </c>
      <c r="W59" t="str">
        <f t="shared" si="58"/>
        <v>1-0,000280386684304335i</v>
      </c>
      <c r="X59" s="4">
        <f t="shared" si="69"/>
        <v>1.0000000393083457</v>
      </c>
      <c r="Y59" s="4">
        <f t="shared" si="70"/>
        <v>-2.803866769566441E-4</v>
      </c>
      <c r="Z59" t="str">
        <f t="shared" si="59"/>
        <v>0,999999997357226+0,000240403543122537i</v>
      </c>
      <c r="AA59" s="4">
        <f t="shared" si="71"/>
        <v>1.0000000262541575</v>
      </c>
      <c r="AB59" s="4">
        <f t="shared" si="72"/>
        <v>2.4040353912658616E-4</v>
      </c>
      <c r="AC59" s="48" t="str">
        <f t="shared" si="73"/>
        <v>22,1497073712066-81,9239946471446i</v>
      </c>
      <c r="AD59" s="20">
        <f t="shared" si="74"/>
        <v>38.574621884956898</v>
      </c>
      <c r="AE59" s="44">
        <f t="shared" si="75"/>
        <v>-74.870721845416966</v>
      </c>
      <c r="AF59" t="str">
        <f t="shared" si="60"/>
        <v>-0,0000125211169631323</v>
      </c>
      <c r="AG59" t="str">
        <f t="shared" si="61"/>
        <v>7,80542694859882E-07i</v>
      </c>
      <c r="AH59">
        <f t="shared" si="76"/>
        <v>7.8054269485988197E-7</v>
      </c>
      <c r="AI59">
        <f t="shared" si="77"/>
        <v>1.5707963267948966</v>
      </c>
      <c r="AJ59" t="str">
        <f t="shared" si="62"/>
        <v>1+0,00124919504653567i</v>
      </c>
      <c r="AK59">
        <f t="shared" si="78"/>
        <v>1.0000007802438278</v>
      </c>
      <c r="AL59">
        <f t="shared" si="79"/>
        <v>1.2491943967515419E-3</v>
      </c>
      <c r="AM59" t="str">
        <f t="shared" si="63"/>
        <v>1+0,182950292724452i</v>
      </c>
      <c r="AN59">
        <f t="shared" si="80"/>
        <v>1.0165976635857288</v>
      </c>
      <c r="AO59">
        <f t="shared" si="81"/>
        <v>0.18094916439838116</v>
      </c>
      <c r="AP59" s="42" t="str">
        <f t="shared" si="82"/>
        <v>-2,91476322957674+16,0451940498473i</v>
      </c>
      <c r="AQ59">
        <f t="shared" si="83"/>
        <v>24.247903546356699</v>
      </c>
      <c r="AR59" s="44">
        <f t="shared" si="84"/>
        <v>100.29604985972091</v>
      </c>
      <c r="AS59" s="42" t="str">
        <f t="shared" si="85"/>
        <v>1249,92523886061+594,185400135882i</v>
      </c>
      <c r="AT59" s="20">
        <f t="shared" si="86"/>
        <v>62.822525431313608</v>
      </c>
      <c r="AU59" s="44">
        <f t="shared" si="87"/>
        <v>25.425328014303926</v>
      </c>
    </row>
    <row r="60" spans="1:47" x14ac:dyDescent="0.3">
      <c r="N60" s="8">
        <v>42</v>
      </c>
      <c r="O60" s="35">
        <f t="shared" si="64"/>
        <v>26.302679918953825</v>
      </c>
      <c r="P60" s="34" t="str">
        <f t="shared" si="55"/>
        <v>324,571428571429</v>
      </c>
      <c r="Q60" s="4" t="str">
        <f t="shared" si="56"/>
        <v>1+3,77747684585641i</v>
      </c>
      <c r="R60" s="4">
        <f t="shared" si="65"/>
        <v>3.9075991760902613</v>
      </c>
      <c r="S60" s="4">
        <f t="shared" si="66"/>
        <v>1.312005728040309</v>
      </c>
      <c r="T60" s="4" t="str">
        <f t="shared" si="57"/>
        <v>1+0,0000330529224012436i</v>
      </c>
      <c r="U60" s="4">
        <f t="shared" si="67"/>
        <v>1.0000000005462477</v>
      </c>
      <c r="V60" s="4">
        <f t="shared" si="68"/>
        <v>3.3052922389206872E-5</v>
      </c>
      <c r="W60" t="str">
        <f t="shared" si="58"/>
        <v>1-0,000286917729177462i</v>
      </c>
      <c r="X60" s="4">
        <f t="shared" si="69"/>
        <v>1.0000000411608909</v>
      </c>
      <c r="Y60" s="4">
        <f t="shared" si="70"/>
        <v>-2.8691772130426933E-4</v>
      </c>
      <c r="Z60" t="str">
        <f t="shared" si="59"/>
        <v>0,999999997232676+0,000246003260996756i</v>
      </c>
      <c r="AA60" s="4">
        <f t="shared" si="71"/>
        <v>1.0000000274914778</v>
      </c>
      <c r="AB60" s="4">
        <f t="shared" si="72"/>
        <v>2.4600325671501758E-4</v>
      </c>
      <c r="AC60" s="48" t="str">
        <f t="shared" si="73"/>
        <v>21,2162875430439-80,3062778333427i</v>
      </c>
      <c r="AD60" s="20">
        <f t="shared" si="74"/>
        <v>38.388005676750161</v>
      </c>
      <c r="AE60" s="44">
        <f t="shared" si="75"/>
        <v>-75.201031243599559</v>
      </c>
      <c r="AF60" t="str">
        <f t="shared" si="60"/>
        <v>-0,0000125211169631323</v>
      </c>
      <c r="AG60" t="str">
        <f t="shared" si="61"/>
        <v>7,98723869826053E-07i</v>
      </c>
      <c r="AH60">
        <f t="shared" si="76"/>
        <v>7.9872386982605295E-7</v>
      </c>
      <c r="AI60">
        <f t="shared" si="77"/>
        <v>1.5707963267948966</v>
      </c>
      <c r="AJ60" t="str">
        <f t="shared" si="62"/>
        <v>1+0,00127829253711178i</v>
      </c>
      <c r="AK60">
        <f t="shared" si="78"/>
        <v>1.0000008170155714</v>
      </c>
      <c r="AL60">
        <f t="shared" si="79"/>
        <v>1.2782918408555731E-3</v>
      </c>
      <c r="AM60" t="str">
        <f t="shared" si="63"/>
        <v>1+0,187211752480644i</v>
      </c>
      <c r="AN60">
        <f t="shared" si="80"/>
        <v>1.0173732059902472</v>
      </c>
      <c r="AO60">
        <f t="shared" si="81"/>
        <v>0.18506947748263727</v>
      </c>
      <c r="AP60" s="42" t="str">
        <f t="shared" si="82"/>
        <v>-2,91476301521506+15,6801285367232i</v>
      </c>
      <c r="AQ60">
        <f t="shared" si="83"/>
        <v>24.054526995435953</v>
      </c>
      <c r="AR60" s="44">
        <f t="shared" si="84"/>
        <v>100.53045924897948</v>
      </c>
      <c r="AS60" s="42" t="str">
        <f t="shared" si="85"/>
        <v>1197,37230848199+566,74788426522i</v>
      </c>
      <c r="AT60" s="20">
        <f t="shared" si="86"/>
        <v>62.44253267218614</v>
      </c>
      <c r="AU60" s="44">
        <f t="shared" si="87"/>
        <v>25.329428005379867</v>
      </c>
    </row>
    <row r="61" spans="1:47" ht="15.6" x14ac:dyDescent="0.3">
      <c r="A61" s="36" t="s">
        <v>215</v>
      </c>
      <c r="N61" s="8">
        <v>43</v>
      </c>
      <c r="O61" s="35">
        <f t="shared" si="64"/>
        <v>26.915348039269158</v>
      </c>
      <c r="P61" s="34" t="str">
        <f t="shared" si="55"/>
        <v>324,571428571429</v>
      </c>
      <c r="Q61" s="4" t="str">
        <f t="shared" si="56"/>
        <v>1+3,86546558486768i</v>
      </c>
      <c r="R61" s="4">
        <f t="shared" si="65"/>
        <v>3.9927214012245376</v>
      </c>
      <c r="S61" s="4">
        <f t="shared" si="66"/>
        <v>1.3176453550123421</v>
      </c>
      <c r="T61" s="4" t="str">
        <f t="shared" si="57"/>
        <v>1+0,0000338228238675922i</v>
      </c>
      <c r="U61" s="4">
        <f t="shared" si="67"/>
        <v>1.0000000005719916</v>
      </c>
      <c r="V61" s="4">
        <f t="shared" si="68"/>
        <v>3.3822823854694618E-5</v>
      </c>
      <c r="W61" t="str">
        <f t="shared" si="58"/>
        <v>1-0,000293600901628405i</v>
      </c>
      <c r="X61" s="4">
        <f t="shared" si="69"/>
        <v>1.0000000431007439</v>
      </c>
      <c r="Y61" s="4">
        <f t="shared" si="70"/>
        <v>-2.9360089319212712E-4</v>
      </c>
      <c r="Z61" t="str">
        <f t="shared" si="59"/>
        <v>0,999999997102256+0,000251733413056194i</v>
      </c>
      <c r="AA61" s="4">
        <f t="shared" si="71"/>
        <v>1.0000000287871114</v>
      </c>
      <c r="AB61" s="4">
        <f t="shared" si="72"/>
        <v>2.5173340846822856E-4</v>
      </c>
      <c r="AC61" s="48" t="str">
        <f t="shared" si="73"/>
        <v>20,3194838165402-78,7102874014256i</v>
      </c>
      <c r="AD61" s="20">
        <f t="shared" si="74"/>
        <v>38.200825717152441</v>
      </c>
      <c r="AE61" s="44">
        <f t="shared" si="75"/>
        <v>-75.524825186075006</v>
      </c>
      <c r="AF61" t="str">
        <f t="shared" si="60"/>
        <v>-0,0000125211169631323</v>
      </c>
      <c r="AG61" t="str">
        <f t="shared" si="61"/>
        <v>8,17328538760365E-07i</v>
      </c>
      <c r="AH61">
        <f t="shared" si="76"/>
        <v>8.1732853876036503E-7</v>
      </c>
      <c r="AI61">
        <f t="shared" si="77"/>
        <v>1.5707963267948966</v>
      </c>
      <c r="AJ61" t="str">
        <f t="shared" si="62"/>
        <v>1+0,00130806779531128i</v>
      </c>
      <c r="AK61">
        <f t="shared" si="78"/>
        <v>1.0000008555203126</v>
      </c>
      <c r="AL61">
        <f t="shared" si="79"/>
        <v>1.3080670492593472E-3</v>
      </c>
      <c r="AM61" t="str">
        <f t="shared" si="63"/>
        <v>1+0,191572474386042i</v>
      </c>
      <c r="AN61">
        <f t="shared" si="80"/>
        <v>1.0181846654425664</v>
      </c>
      <c r="AO61">
        <f t="shared" si="81"/>
        <v>0.18927919375927177</v>
      </c>
      <c r="AP61" s="42" t="str">
        <f t="shared" si="82"/>
        <v>-2,91476279075086+15,3233768352743i</v>
      </c>
      <c r="AQ61">
        <f t="shared" si="83"/>
        <v>23.861451787235826</v>
      </c>
      <c r="AR61" s="44">
        <f t="shared" si="84"/>
        <v>100.76995223080256</v>
      </c>
      <c r="AS61" s="42" t="str">
        <f t="shared" si="85"/>
        <v>1146,88091930907+540,784924586085i</v>
      </c>
      <c r="AT61" s="20">
        <f t="shared" si="86"/>
        <v>62.062277504388263</v>
      </c>
      <c r="AU61" s="44">
        <f t="shared" si="87"/>
        <v>25.245127044727617</v>
      </c>
    </row>
    <row r="62" spans="1:47" x14ac:dyDescent="0.3">
      <c r="A62" t="s">
        <v>180</v>
      </c>
      <c r="N62" s="8">
        <v>44</v>
      </c>
      <c r="O62" s="35">
        <f t="shared" si="64"/>
        <v>27.542287033381665</v>
      </c>
      <c r="P62" s="34" t="str">
        <f t="shared" si="55"/>
        <v>324,571428571429</v>
      </c>
      <c r="Q62" s="4" t="str">
        <f t="shared" si="56"/>
        <v>1+3,95550384489753i</v>
      </c>
      <c r="R62" s="4">
        <f t="shared" si="65"/>
        <v>4.0799522873434606</v>
      </c>
      <c r="S62" s="4">
        <f t="shared" si="66"/>
        <v>1.3231725554378668</v>
      </c>
      <c r="T62" s="4" t="str">
        <f t="shared" si="57"/>
        <v>1+0,0000346106586428534i</v>
      </c>
      <c r="U62" s="4">
        <f t="shared" si="67"/>
        <v>1.0000000005989489</v>
      </c>
      <c r="V62" s="4">
        <f t="shared" si="68"/>
        <v>3.4610658629033395E-5</v>
      </c>
      <c r="W62" t="str">
        <f t="shared" si="58"/>
        <v>1-0,000300439745163658i</v>
      </c>
      <c r="X62" s="4">
        <f t="shared" si="69"/>
        <v>1.0000000451320192</v>
      </c>
      <c r="Y62" s="4">
        <f t="shared" si="70"/>
        <v>-3.0043973612402339E-4</v>
      </c>
      <c r="Z62" t="str">
        <f t="shared" si="59"/>
        <v>0,99999999696569+0,00025759703750332i</v>
      </c>
      <c r="AA62" s="4">
        <f t="shared" si="71"/>
        <v>1.0000000301438063</v>
      </c>
      <c r="AB62" s="4">
        <f t="shared" si="72"/>
        <v>2.5759703258722635E-4</v>
      </c>
      <c r="AC62" s="48" t="str">
        <f t="shared" si="73"/>
        <v>19,4580790822111-77,1363957791977i</v>
      </c>
      <c r="AD62" s="20">
        <f t="shared" si="74"/>
        <v>38.013104189892189</v>
      </c>
      <c r="AE62" s="44">
        <f t="shared" si="75"/>
        <v>-75.84219310112438</v>
      </c>
      <c r="AF62" t="str">
        <f t="shared" si="60"/>
        <v>-0,0000125211169631323</v>
      </c>
      <c r="AG62" t="str">
        <f t="shared" si="61"/>
        <v>8,3636656610455E-07i</v>
      </c>
      <c r="AH62">
        <f t="shared" si="76"/>
        <v>8.3636656610455002E-7</v>
      </c>
      <c r="AI62">
        <f t="shared" si="77"/>
        <v>1.5707963267948966</v>
      </c>
      <c r="AJ62" t="str">
        <f t="shared" si="62"/>
        <v>1+0,00133853660837017i</v>
      </c>
      <c r="AK62">
        <f t="shared" si="78"/>
        <v>1.0000008958397246</v>
      </c>
      <c r="AL62">
        <f t="shared" si="79"/>
        <v>1.3385358089611601E-3</v>
      </c>
      <c r="AM62" t="str">
        <f t="shared" si="63"/>
        <v>1+0,196034770553122i</v>
      </c>
      <c r="AN62">
        <f t="shared" si="80"/>
        <v>1.0190336752364051</v>
      </c>
      <c r="AO62">
        <f t="shared" si="81"/>
        <v>0.19357994815862112</v>
      </c>
      <c r="AP62" s="42" t="str">
        <f t="shared" si="82"/>
        <v>-2,91476255570805+14,9747497910248i</v>
      </c>
      <c r="AQ62">
        <f t="shared" si="83"/>
        <v>23.668691118360883</v>
      </c>
      <c r="AR62" s="44">
        <f t="shared" si="84"/>
        <v>101.01462157526967</v>
      </c>
      <c r="AS62" s="42" t="str">
        <f t="shared" si="85"/>
        <v>1098,38254626011+516,214143769567i</v>
      </c>
      <c r="AT62" s="20">
        <f t="shared" si="86"/>
        <v>61.681795308253058</v>
      </c>
      <c r="AU62" s="44">
        <f t="shared" si="87"/>
        <v>25.172428474145367</v>
      </c>
    </row>
    <row r="63" spans="1:47" x14ac:dyDescent="0.3">
      <c r="A63" t="s">
        <v>178</v>
      </c>
      <c r="B63" s="3">
        <f>RFBT</f>
        <v>100000</v>
      </c>
      <c r="C63" s="2" t="s">
        <v>35</v>
      </c>
      <c r="E63" t="s">
        <v>181</v>
      </c>
      <c r="N63" s="8">
        <v>45</v>
      </c>
      <c r="O63" s="35">
        <f t="shared" si="64"/>
        <v>28.183829312644548</v>
      </c>
      <c r="P63" s="34" t="str">
        <f t="shared" si="55"/>
        <v>324,571428571429</v>
      </c>
      <c r="Q63" s="4" t="str">
        <f t="shared" si="56"/>
        <v>1+4,04763936542322i</v>
      </c>
      <c r="R63" s="4">
        <f t="shared" si="65"/>
        <v>4.1693386085233817</v>
      </c>
      <c r="S63" s="4">
        <f t="shared" si="66"/>
        <v>1.3285889084968141</v>
      </c>
      <c r="T63" s="4" t="str">
        <f t="shared" si="57"/>
        <v>1+0,0000354168444474532i</v>
      </c>
      <c r="U63" s="4">
        <f t="shared" si="67"/>
        <v>1.0000000006271763</v>
      </c>
      <c r="V63" s="4">
        <f t="shared" si="68"/>
        <v>3.5416844432644795E-5</v>
      </c>
      <c r="W63" t="str">
        <f t="shared" si="58"/>
        <v>1-0,000307437885828587i</v>
      </c>
      <c r="X63" s="4">
        <f t="shared" si="69"/>
        <v>1.0000000472590256</v>
      </c>
      <c r="Y63" s="4">
        <f t="shared" si="70"/>
        <v>-3.07437876142444E-4</v>
      </c>
      <c r="Z63" t="str">
        <f t="shared" si="59"/>
        <v>0,999999996822687+0,00026359724330943i</v>
      </c>
      <c r="AA63" s="4">
        <f t="shared" si="71"/>
        <v>1.00000003156444</v>
      </c>
      <c r="AB63" s="4">
        <f t="shared" si="72"/>
        <v>2.635972380417409E-4</v>
      </c>
      <c r="AC63" s="48" t="str">
        <f t="shared" si="73"/>
        <v>18,6308783028514-75,5849228125381i</v>
      </c>
      <c r="AD63" s="20">
        <f t="shared" si="74"/>
        <v>37.82486253554675</v>
      </c>
      <c r="AE63" s="44">
        <f t="shared" si="75"/>
        <v>-76.153225831047052</v>
      </c>
      <c r="AF63" t="str">
        <f t="shared" si="60"/>
        <v>-0,0000125211169631323</v>
      </c>
      <c r="AG63" t="str">
        <f t="shared" si="61"/>
        <v>8,55848046072704E-07i</v>
      </c>
      <c r="AH63">
        <f t="shared" si="76"/>
        <v>8.5584804607270405E-7</v>
      </c>
      <c r="AI63">
        <f t="shared" si="77"/>
        <v>1.5707963267948966</v>
      </c>
      <c r="AJ63" t="str">
        <f t="shared" si="62"/>
        <v>1+0,00136971513125644i</v>
      </c>
      <c r="AK63">
        <f t="shared" si="78"/>
        <v>1.0000009380593304</v>
      </c>
      <c r="AL63">
        <f t="shared" si="79"/>
        <v>1.3697142746742965E-3</v>
      </c>
      <c r="AM63" t="str">
        <f t="shared" si="63"/>
        <v>1+0,200601006950375i</v>
      </c>
      <c r="AN63">
        <f t="shared" si="80"/>
        <v>1.0199219401451782</v>
      </c>
      <c r="AO63">
        <f t="shared" si="81"/>
        <v>0.19797338430005823</v>
      </c>
      <c r="AP63" s="42" t="str">
        <f t="shared" si="82"/>
        <v>-2,91476230958803+14,634062557299i</v>
      </c>
      <c r="AQ63">
        <f t="shared" si="83"/>
        <v>23.476258715751968</v>
      </c>
      <c r="AR63" s="44">
        <f t="shared" si="84"/>
        <v>101.26456052923724</v>
      </c>
      <c r="AS63" s="42" t="str">
        <f t="shared" si="85"/>
        <v>1051,80990695563+492,957522768459i</v>
      </c>
      <c r="AT63" s="20">
        <f t="shared" si="86"/>
        <v>61.301121251298753</v>
      </c>
      <c r="AU63" s="44">
        <f t="shared" si="87"/>
        <v>25.111334698190138</v>
      </c>
    </row>
    <row r="64" spans="1:47" x14ac:dyDescent="0.3">
      <c r="A64" t="s">
        <v>179</v>
      </c>
      <c r="B64" s="3">
        <f>RFBB</f>
        <v>630</v>
      </c>
      <c r="C64" s="2" t="s">
        <v>35</v>
      </c>
      <c r="E64" t="s">
        <v>182</v>
      </c>
      <c r="N64" s="8">
        <v>46</v>
      </c>
      <c r="O64" s="35">
        <f t="shared" si="64"/>
        <v>28.840315031266066</v>
      </c>
      <c r="P64" s="34" t="str">
        <f t="shared" si="55"/>
        <v>324,571428571429</v>
      </c>
      <c r="Q64" s="4" t="str">
        <f t="shared" si="56"/>
        <v>1+4,1419209979173i</v>
      </c>
      <c r="R64" s="4">
        <f t="shared" si="65"/>
        <v>4.2609282501572636</v>
      </c>
      <c r="S64" s="4">
        <f t="shared" si="66"/>
        <v>1.333896014276359</v>
      </c>
      <c r="T64" s="4" t="str">
        <f t="shared" si="57"/>
        <v>1+0,0000362418087317764i</v>
      </c>
      <c r="U64" s="4">
        <f t="shared" si="67"/>
        <v>1.0000000006567342</v>
      </c>
      <c r="V64" s="4">
        <f t="shared" si="68"/>
        <v>3.6241808715908904E-5</v>
      </c>
      <c r="W64" t="str">
        <f t="shared" si="58"/>
        <v>1-0,000314599034130003i</v>
      </c>
      <c r="X64" s="4">
        <f t="shared" si="69"/>
        <v>1.0000000494862749</v>
      </c>
      <c r="Y64" s="4">
        <f t="shared" si="70"/>
        <v>-3.1459902375111386E-4</v>
      </c>
      <c r="Z64" t="str">
        <f t="shared" si="59"/>
        <v>0,999999996672945+0,000269737211863065i</v>
      </c>
      <c r="AA64" s="4">
        <f t="shared" si="71"/>
        <v>1.0000000330520262</v>
      </c>
      <c r="AB64" s="4">
        <f t="shared" si="72"/>
        <v>2.6973720621863433E-4</v>
      </c>
      <c r="AC64" s="48" t="str">
        <f t="shared" si="73"/>
        <v>17,8367097954952-74,0561386191506i</v>
      </c>
      <c r="AD64" s="20">
        <f t="shared" si="74"/>
        <v>37.636121465546637</v>
      </c>
      <c r="AE64" s="44">
        <f t="shared" si="75"/>
        <v>-76.458015424470076</v>
      </c>
      <c r="AF64" t="str">
        <f t="shared" si="60"/>
        <v>-0,0000125211169631323</v>
      </c>
      <c r="AG64" t="str">
        <f t="shared" si="61"/>
        <v>8,75783308003374E-07i</v>
      </c>
      <c r="AH64">
        <f t="shared" si="76"/>
        <v>8.75783308003374E-7</v>
      </c>
      <c r="AI64">
        <f t="shared" si="77"/>
        <v>1.5707963267948966</v>
      </c>
      <c r="AJ64" t="str">
        <f t="shared" si="62"/>
        <v>1+0,00140161989523563i</v>
      </c>
      <c r="AK64">
        <f t="shared" si="78"/>
        <v>1.0000009822686828</v>
      </c>
      <c r="AL64">
        <f t="shared" si="79"/>
        <v>1.4016189773913754E-3</v>
      </c>
      <c r="AM64" t="str">
        <f t="shared" si="63"/>
        <v>1+0,205273604656781i</v>
      </c>
      <c r="AN64">
        <f t="shared" si="80"/>
        <v>1.0208512392943394</v>
      </c>
      <c r="AO64">
        <f t="shared" si="81"/>
        <v>0.20246115289063671</v>
      </c>
      <c r="AP64" s="42" t="str">
        <f t="shared" si="82"/>
        <v>-2,91476205186877+14,3011344972142i</v>
      </c>
      <c r="AQ64">
        <f t="shared" si="83"/>
        <v>23.284168853599819</v>
      </c>
      <c r="AR64" s="44">
        <f t="shared" si="84"/>
        <v>101.51986272409634</v>
      </c>
      <c r="AS64" s="42" t="str">
        <f t="shared" si="85"/>
        <v>1007,09703389471+470,941208328188i</v>
      </c>
      <c r="AT64" s="20">
        <f t="shared" si="86"/>
        <v>60.920290319146481</v>
      </c>
      <c r="AU64" s="44">
        <f t="shared" si="87"/>
        <v>25.061847299626173</v>
      </c>
    </row>
    <row r="65" spans="1:47" x14ac:dyDescent="0.3">
      <c r="A65" t="s">
        <v>168</v>
      </c>
      <c r="B65" s="3">
        <f>RCOMP</f>
        <v>236000</v>
      </c>
      <c r="C65" s="2" t="s">
        <v>35</v>
      </c>
      <c r="E65" t="s">
        <v>175</v>
      </c>
      <c r="N65" s="8">
        <v>47</v>
      </c>
      <c r="O65" s="35">
        <f t="shared" si="64"/>
        <v>29.512092266663863</v>
      </c>
      <c r="P65" s="34" t="str">
        <f t="shared" si="55"/>
        <v>324,571428571429</v>
      </c>
      <c r="Q65" s="4" t="str">
        <f t="shared" si="56"/>
        <v>1+4,23839873174928i</v>
      </c>
      <c r="R65" s="4">
        <f t="shared" si="65"/>
        <v>4.3547702361082044</v>
      </c>
      <c r="S65" s="4">
        <f t="shared" si="66"/>
        <v>1.3390954903429126</v>
      </c>
      <c r="T65" s="4" t="str">
        <f t="shared" si="57"/>
        <v>1+0,0000370859889028062i</v>
      </c>
      <c r="U65" s="4">
        <f t="shared" si="67"/>
        <v>1.0000000006876852</v>
      </c>
      <c r="V65" s="4">
        <f t="shared" si="68"/>
        <v>3.7085988885803879E-5</v>
      </c>
      <c r="W65" t="str">
        <f t="shared" si="58"/>
        <v>1-0,000321926987003526i</v>
      </c>
      <c r="X65" s="4">
        <f t="shared" si="69"/>
        <v>1.0000000518184911</v>
      </c>
      <c r="Y65" s="4">
        <f t="shared" si="70"/>
        <v>-3.219269758823459E-4</v>
      </c>
      <c r="Z65" t="str">
        <f t="shared" si="59"/>
        <v>0,999999996516146+0,000276020198656823i</v>
      </c>
      <c r="AA65" s="4">
        <f t="shared" si="71"/>
        <v>1.0000000346097204</v>
      </c>
      <c r="AB65" s="4">
        <f t="shared" si="72"/>
        <v>2.7602019260870658E-4</v>
      </c>
      <c r="AC65" s="48" t="str">
        <f t="shared" si="73"/>
        <v>17,0744263225455-72,550266378832i</v>
      </c>
      <c r="AD65" s="20">
        <f t="shared" si="74"/>
        <v>37.446900976910008</v>
      </c>
      <c r="AE65" s="44">
        <f t="shared" si="75"/>
        <v>-76.756654940134482</v>
      </c>
      <c r="AF65" t="str">
        <f t="shared" si="60"/>
        <v>-0,0000125211169631323</v>
      </c>
      <c r="AG65" t="str">
        <f t="shared" si="61"/>
        <v>8,9618292183631E-07i</v>
      </c>
      <c r="AH65">
        <f t="shared" si="76"/>
        <v>8.9618292183631002E-7</v>
      </c>
      <c r="AI65">
        <f t="shared" si="77"/>
        <v>1.5707963267948966</v>
      </c>
      <c r="AJ65" t="str">
        <f t="shared" si="62"/>
        <v>1+0,0014342678166359i</v>
      </c>
      <c r="AK65">
        <f t="shared" si="78"/>
        <v>1.0000010285615559</v>
      </c>
      <c r="AL65">
        <f t="shared" si="79"/>
        <v>1.4342668331481167E-3</v>
      </c>
      <c r="AM65" t="str">
        <f t="shared" si="63"/>
        <v>1+0,210055041145494i</v>
      </c>
      <c r="AN65">
        <f t="shared" si="80"/>
        <v>1.0218234291259107</v>
      </c>
      <c r="AO65">
        <f t="shared" si="81"/>
        <v>0.20704490999045638</v>
      </c>
      <c r="AP65" s="42" t="str">
        <f t="shared" si="82"/>
        <v>-2,91476178200364+13,9757890879034i</v>
      </c>
      <c r="AQ65">
        <f t="shared" si="83"/>
        <v>23.092436370379023</v>
      </c>
      <c r="AR65" s="44">
        <f t="shared" si="84"/>
        <v>101.78062207588422</v>
      </c>
      <c r="AS65" s="42" t="str">
        <f t="shared" si="85"/>
        <v>964,179335887173+450,095324796045i</v>
      </c>
      <c r="AT65" s="20">
        <f t="shared" si="86"/>
        <v>60.539337347289035</v>
      </c>
      <c r="AU65" s="44">
        <f t="shared" si="87"/>
        <v>25.023967135749736</v>
      </c>
    </row>
    <row r="66" spans="1:47" x14ac:dyDescent="0.3">
      <c r="A66" t="s">
        <v>173</v>
      </c>
      <c r="B66" s="3">
        <f>CCOMP</f>
        <v>4.8E-9</v>
      </c>
      <c r="C66" s="2" t="s">
        <v>151</v>
      </c>
      <c r="E66" t="s">
        <v>176</v>
      </c>
      <c r="N66" s="8">
        <v>48</v>
      </c>
      <c r="O66" s="35">
        <f t="shared" si="64"/>
        <v>30.199517204020164</v>
      </c>
      <c r="P66" s="34" t="str">
        <f t="shared" si="55"/>
        <v>324,571428571429</v>
      </c>
      <c r="Q66" s="4" t="str">
        <f t="shared" si="56"/>
        <v>1+4,33712372069067i</v>
      </c>
      <c r="R66" s="4">
        <f t="shared" si="65"/>
        <v>4.4509147563818479</v>
      </c>
      <c r="S66" s="4">
        <f t="shared" si="66"/>
        <v>1.34418896850957</v>
      </c>
      <c r="T66" s="4" t="str">
        <f t="shared" si="57"/>
        <v>1+0,0000379498325560434i</v>
      </c>
      <c r="U66" s="4">
        <f t="shared" si="67"/>
        <v>1.0000000007200949</v>
      </c>
      <c r="V66" s="4">
        <f t="shared" si="68"/>
        <v>3.7949832537825076E-5</v>
      </c>
      <c r="W66" t="str">
        <f t="shared" si="58"/>
        <v>1-0,000329425629826766i</v>
      </c>
      <c r="X66" s="4">
        <f t="shared" si="69"/>
        <v>1.0000000542606213</v>
      </c>
      <c r="Y66" s="4">
        <f t="shared" si="70"/>
        <v>-3.2942561791020689E-4</v>
      </c>
      <c r="Z66" t="str">
        <f t="shared" si="59"/>
        <v>0,999999996351957+0,000282449535013469i</v>
      </c>
      <c r="AA66" s="4">
        <f t="shared" si="71"/>
        <v>1.0000000362408261</v>
      </c>
      <c r="AB66" s="4">
        <f t="shared" si="72"/>
        <v>2.8244952853279554E-4</v>
      </c>
      <c r="AC66" s="48" t="str">
        <f t="shared" si="73"/>
        <v>16,3429060053243-71,0674850530018i</v>
      </c>
      <c r="AD66" s="20">
        <f t="shared" si="74"/>
        <v>37.257220367594158</v>
      </c>
      <c r="AE66" s="44">
        <f t="shared" si="75"/>
        <v>-77.049238261884341</v>
      </c>
      <c r="AF66" t="str">
        <f t="shared" si="60"/>
        <v>-0,0000125211169631323</v>
      </c>
      <c r="AG66" t="str">
        <f t="shared" si="61"/>
        <v>9,17057703716787E-07i</v>
      </c>
      <c r="AH66">
        <f t="shared" si="76"/>
        <v>9.1705770371678698E-7</v>
      </c>
      <c r="AI66">
        <f t="shared" si="77"/>
        <v>1.5707963267948966</v>
      </c>
      <c r="AJ66" t="str">
        <f t="shared" si="62"/>
        <v>1+0,00146767620581734i</v>
      </c>
      <c r="AK66">
        <f t="shared" si="78"/>
        <v>1.0000010770361425</v>
      </c>
      <c r="AL66">
        <f t="shared" si="79"/>
        <v>1.467675151991255E-3</v>
      </c>
      <c r="AM66" t="str">
        <f t="shared" si="63"/>
        <v>1+0,21494785159743i</v>
      </c>
      <c r="AN66">
        <f t="shared" si="80"/>
        <v>1.0228404464560201</v>
      </c>
      <c r="AO66">
        <f t="shared" si="81"/>
        <v>0.21172631513827808</v>
      </c>
      <c r="AP66" s="42" t="str">
        <f t="shared" si="82"/>
        <v>-2,91476149942021+13,6578538269221i</v>
      </c>
      <c r="AQ66">
        <f t="shared" si="83"/>
        <v>22.901076685959634</v>
      </c>
      <c r="AR66" s="44">
        <f t="shared" si="84"/>
        <v>102.04693267737485</v>
      </c>
      <c r="AS66" s="42" t="str">
        <f t="shared" si="85"/>
        <v>922,993649487907+430,353790620958i</v>
      </c>
      <c r="AT66" s="20">
        <f t="shared" si="86"/>
        <v>60.158297053553795</v>
      </c>
      <c r="AU66" s="44">
        <f t="shared" si="87"/>
        <v>24.997694415490535</v>
      </c>
    </row>
    <row r="67" spans="1:47" x14ac:dyDescent="0.3">
      <c r="A67" t="s">
        <v>174</v>
      </c>
      <c r="B67" s="3">
        <f>CHF</f>
        <v>3.3000000000000002E-11</v>
      </c>
      <c r="C67" s="2" t="s">
        <v>151</v>
      </c>
      <c r="E67" t="s">
        <v>177</v>
      </c>
      <c r="N67" s="8">
        <v>49</v>
      </c>
      <c r="O67" s="35">
        <f t="shared" si="64"/>
        <v>30.902954325135919</v>
      </c>
      <c r="P67" s="34" t="str">
        <f t="shared" si="55"/>
        <v>324,571428571429</v>
      </c>
      <c r="Q67" s="4" t="str">
        <f t="shared" si="56"/>
        <v>1+4,43814831003739i</v>
      </c>
      <c r="R67" s="4">
        <f t="shared" si="65"/>
        <v>4.5494131953349486</v>
      </c>
      <c r="S67" s="4">
        <f t="shared" si="66"/>
        <v>1.349178091793769</v>
      </c>
      <c r="T67" s="4" t="str">
        <f t="shared" si="57"/>
        <v>1+0,0000388337977128272i</v>
      </c>
      <c r="U67" s="4">
        <f t="shared" si="67"/>
        <v>1.0000000007540319</v>
      </c>
      <c r="V67" s="4">
        <f t="shared" si="68"/>
        <v>3.8833797693305919E-5</v>
      </c>
      <c r="W67" t="str">
        <f t="shared" si="58"/>
        <v>1-0,000337098938479403i</v>
      </c>
      <c r="X67" s="4">
        <f t="shared" si="69"/>
        <v>1.0000000568178455</v>
      </c>
      <c r="Y67" s="4">
        <f t="shared" si="70"/>
        <v>-3.3709892571057989E-4</v>
      </c>
      <c r="Z67" t="str">
        <f t="shared" si="59"/>
        <v>0,99999999618003+0,00028902862985224i</v>
      </c>
      <c r="AA67" s="4">
        <f t="shared" si="71"/>
        <v>1.0000000379488039</v>
      </c>
      <c r="AB67" s="4">
        <f t="shared" si="72"/>
        <v>2.8902862290807325E-4</v>
      </c>
      <c r="AC67" s="48" t="str">
        <f t="shared" si="73"/>
        <v>15,6410530729609-69,6079320274784i</v>
      </c>
      <c r="AD67" s="20">
        <f t="shared" si="74"/>
        <v>37.067098252358292</v>
      </c>
      <c r="AE67" s="44">
        <f t="shared" si="75"/>
        <v>-77.335859924559415</v>
      </c>
      <c r="AF67" t="str">
        <f t="shared" si="60"/>
        <v>-0,0000125211169631323</v>
      </c>
      <c r="AG67" t="str">
        <f t="shared" si="61"/>
        <v>9,38418721730469E-07i</v>
      </c>
      <c r="AH67">
        <f t="shared" si="76"/>
        <v>9.3841872173046896E-7</v>
      </c>
      <c r="AI67">
        <f t="shared" si="77"/>
        <v>1.5707963267948966</v>
      </c>
      <c r="AJ67" t="str">
        <f t="shared" si="62"/>
        <v>1+0,00150186277635008i</v>
      </c>
      <c r="AK67">
        <f t="shared" si="78"/>
        <v>1.0000011277952634</v>
      </c>
      <c r="AL67">
        <f t="shared" si="79"/>
        <v>1.5018616471551543E-3</v>
      </c>
      <c r="AM67" t="str">
        <f t="shared" si="63"/>
        <v>1+0,219954630245453i</v>
      </c>
      <c r="AN67">
        <f t="shared" si="80"/>
        <v>1.0239043116260493</v>
      </c>
      <c r="AO67">
        <f t="shared" si="81"/>
        <v>0.21650702933085095</v>
      </c>
      <c r="AP67" s="42" t="str">
        <f t="shared" si="82"/>
        <v>-2,91476120351908+13,3471601407837i</v>
      </c>
      <c r="AQ67">
        <f t="shared" si="83"/>
        <v>22.710105818742402</v>
      </c>
      <c r="AR67" s="44">
        <f t="shared" si="84"/>
        <v>102.31888868177839</v>
      </c>
      <c r="AS67" s="42" t="str">
        <f t="shared" si="85"/>
        <v>883,478281160292+411,654139866193i</v>
      </c>
      <c r="AT67" s="20">
        <f t="shared" si="86"/>
        <v>59.777204071100698</v>
      </c>
      <c r="AU67" s="44">
        <f t="shared" si="87"/>
        <v>24.983028757218953</v>
      </c>
    </row>
    <row r="68" spans="1:47" x14ac:dyDescent="0.3">
      <c r="N68" s="8">
        <v>50</v>
      </c>
      <c r="O68" s="35">
        <f t="shared" si="64"/>
        <v>31.622776601683803</v>
      </c>
      <c r="P68" s="34" t="str">
        <f t="shared" si="55"/>
        <v>324,571428571429</v>
      </c>
      <c r="Q68" s="4" t="str">
        <f t="shared" si="56"/>
        <v>1+4,54152606436393i</v>
      </c>
      <c r="R68" s="4">
        <f t="shared" si="65"/>
        <v>4.6503181604377275</v>
      </c>
      <c r="S68" s="4">
        <f t="shared" si="66"/>
        <v>1.3540645115595416</v>
      </c>
      <c r="T68" s="4" t="str">
        <f t="shared" si="57"/>
        <v>1+0,0000397383530631844i</v>
      </c>
      <c r="U68" s="4">
        <f t="shared" si="67"/>
        <v>1.0000000007895682</v>
      </c>
      <c r="V68" s="4">
        <f t="shared" si="68"/>
        <v>3.9738353042266968E-5</v>
      </c>
      <c r="W68" t="str">
        <f t="shared" si="58"/>
        <v>1-0,000344950981451253i</v>
      </c>
      <c r="X68" s="4">
        <f t="shared" si="69"/>
        <v>1.000000059495588</v>
      </c>
      <c r="Y68" s="4">
        <f t="shared" si="70"/>
        <v>-3.449509677692126E-4</v>
      </c>
      <c r="Z68" t="str">
        <f t="shared" si="59"/>
        <v>0,999999996+0,000295760971496304i</v>
      </c>
      <c r="AA68" s="4">
        <f t="shared" si="71"/>
        <v>1.0000000397372755</v>
      </c>
      <c r="AB68" s="4">
        <f t="shared" si="72"/>
        <v>2.9576096405549537E-4</v>
      </c>
      <c r="AC68" s="48" t="str">
        <f t="shared" si="73"/>
        <v>14,9677984591471-68,1717056736282i</v>
      </c>
      <c r="AD68" s="20">
        <f t="shared" si="74"/>
        <v>36.876552579040464</v>
      </c>
      <c r="AE68" s="44">
        <f t="shared" si="75"/>
        <v>-77.616614950468062</v>
      </c>
      <c r="AF68" t="str">
        <f t="shared" si="60"/>
        <v>-0,0000125211169631323</v>
      </c>
      <c r="AG68" t="str">
        <f t="shared" si="61"/>
        <v>9,60277301771851E-07i</v>
      </c>
      <c r="AH68">
        <f t="shared" si="76"/>
        <v>9.6027730177185101E-7</v>
      </c>
      <c r="AI68">
        <f t="shared" si="77"/>
        <v>1.5707963267948966</v>
      </c>
      <c r="AJ68" t="str">
        <f t="shared" si="62"/>
        <v>1+0,00153684565440636i</v>
      </c>
      <c r="AK68">
        <f t="shared" si="78"/>
        <v>1.0000011809465854</v>
      </c>
      <c r="AL68">
        <f t="shared" si="79"/>
        <v>1.536844444452275E-3</v>
      </c>
      <c r="AM68" t="str">
        <f t="shared" si="63"/>
        <v>1+0,225078031749876i</v>
      </c>
      <c r="AN68">
        <f t="shared" si="80"/>
        <v>1.0250171317477568</v>
      </c>
      <c r="AO68">
        <f t="shared" si="81"/>
        <v>0.22138871284940193</v>
      </c>
      <c r="AP68" s="42" t="str">
        <f t="shared" si="82"/>
        <v>-2,91476089367262+13,0435432955807i</v>
      </c>
      <c r="AQ68">
        <f t="shared" si="83"/>
        <v>22.51954040276436</v>
      </c>
      <c r="AR68" s="44">
        <f t="shared" si="84"/>
        <v>102.59658417766917</v>
      </c>
      <c r="AS68" s="42" t="str">
        <f t="shared" si="85"/>
        <v>845,573040874458+393,937348993863i</v>
      </c>
      <c r="AT68" s="20">
        <f t="shared" si="86"/>
        <v>59.39609298180482</v>
      </c>
      <c r="AU68" s="44">
        <f t="shared" si="87"/>
        <v>24.97996922720116</v>
      </c>
    </row>
    <row r="69" spans="1:47" x14ac:dyDescent="0.3">
      <c r="A69" t="s">
        <v>218</v>
      </c>
      <c r="B69" s="1">
        <f>-(RFBB*gm_ea)/(RFBB+RFBT)</f>
        <v>-1.2521116963132267E-5</v>
      </c>
      <c r="C69" t="s">
        <v>144</v>
      </c>
      <c r="N69" s="8">
        <v>51</v>
      </c>
      <c r="O69" s="35">
        <f t="shared" si="64"/>
        <v>32.359365692962832</v>
      </c>
      <c r="P69" s="34" t="str">
        <f t="shared" si="55"/>
        <v>324,571428571429</v>
      </c>
      <c r="Q69" s="4" t="str">
        <f t="shared" si="56"/>
        <v>1+4,647311795924i</v>
      </c>
      <c r="R69" s="4">
        <f t="shared" si="65"/>
        <v>4.7536835116080614</v>
      </c>
      <c r="S69" s="4">
        <f t="shared" si="66"/>
        <v>1.3588498848384218</v>
      </c>
      <c r="T69" s="4" t="str">
        <f t="shared" si="57"/>
        <v>1+0,000040663978214335i</v>
      </c>
      <c r="U69" s="4">
        <f t="shared" si="67"/>
        <v>1.0000000008267795</v>
      </c>
      <c r="V69" s="4">
        <f t="shared" si="68"/>
        <v>4.0663978191921568E-5</v>
      </c>
      <c r="W69" t="str">
        <f t="shared" si="58"/>
        <v>1-0,000352985921999436i</v>
      </c>
      <c r="X69" s="4">
        <f t="shared" si="69"/>
        <v>1.0000000622995286</v>
      </c>
      <c r="Y69" s="4">
        <f t="shared" si="70"/>
        <v>-3.529859073388656E-4</v>
      </c>
      <c r="Z69" t="str">
        <f t="shared" si="59"/>
        <v>0,999999995811486+0,000302650129522316i</v>
      </c>
      <c r="AA69" s="4">
        <f t="shared" si="71"/>
        <v>1.0000000416100356</v>
      </c>
      <c r="AB69" s="4">
        <f t="shared" si="72"/>
        <v>3.026501215493459E-4</v>
      </c>
      <c r="AC69" s="48" t="str">
        <f t="shared" si="73"/>
        <v>14,3221002588387-66,7588678240465i</v>
      </c>
      <c r="AD69" s="20">
        <f t="shared" si="74"/>
        <v>36.685600645158139</v>
      </c>
      <c r="AE69" s="44">
        <f t="shared" si="75"/>
        <v>-77.891598696102903</v>
      </c>
      <c r="AF69" t="str">
        <f t="shared" si="60"/>
        <v>-0,0000125211169631323</v>
      </c>
      <c r="AG69" t="str">
        <f t="shared" si="61"/>
        <v>9,82645033549406E-07i</v>
      </c>
      <c r="AH69">
        <f t="shared" si="76"/>
        <v>9.8264503354940601E-7</v>
      </c>
      <c r="AI69">
        <f t="shared" si="77"/>
        <v>1.5707963267948966</v>
      </c>
      <c r="AJ69" t="str">
        <f t="shared" si="62"/>
        <v>1+0,00157264338837115i</v>
      </c>
      <c r="AK69">
        <f t="shared" si="78"/>
        <v>1.000001236602849</v>
      </c>
      <c r="AL69">
        <f t="shared" si="79"/>
        <v>1.5726420918820761E-3</v>
      </c>
      <c r="AM69" t="str">
        <f t="shared" si="63"/>
        <v>1+0,230320772605993i</v>
      </c>
      <c r="AN69">
        <f t="shared" si="80"/>
        <v>1.0261811040424695</v>
      </c>
      <c r="AO69">
        <f t="shared" si="81"/>
        <v>0.22637302292674144</v>
      </c>
      <c r="AP69" s="42" t="str">
        <f t="shared" si="82"/>
        <v>-2,91476056922364+12,7468423096398i</v>
      </c>
      <c r="AQ69">
        <f t="shared" si="83"/>
        <v>22.32939770470978</v>
      </c>
      <c r="AR69" s="44">
        <f t="shared" si="84"/>
        <v>102.88011305477107</v>
      </c>
      <c r="AS69" s="42" t="str">
        <f t="shared" si="85"/>
        <v>809,219267820276+377,147669121812i</v>
      </c>
      <c r="AT69" s="20">
        <f t="shared" si="86"/>
        <v>59.014998349867923</v>
      </c>
      <c r="AU69" s="44">
        <f t="shared" si="87"/>
        <v>24.988514358668198</v>
      </c>
    </row>
    <row r="70" spans="1:47" x14ac:dyDescent="0.3">
      <c r="A70" t="s">
        <v>217</v>
      </c>
      <c r="B70" s="1">
        <f>1/(RCOMP*CCOMP)</f>
        <v>882.76836158192089</v>
      </c>
      <c r="E70" t="s">
        <v>230</v>
      </c>
      <c r="N70" s="8">
        <v>52</v>
      </c>
      <c r="O70" s="35">
        <f t="shared" si="64"/>
        <v>33.113112148259127</v>
      </c>
      <c r="P70" s="34" t="str">
        <f t="shared" si="55"/>
        <v>324,571428571429</v>
      </c>
      <c r="Q70" s="4" t="str">
        <f t="shared" si="56"/>
        <v>1+4,75556159371273i</v>
      </c>
      <c r="R70" s="4">
        <f t="shared" si="65"/>
        <v>4.8595643911358515</v>
      </c>
      <c r="S70" s="4">
        <f t="shared" si="66"/>
        <v>1.3635358718228456</v>
      </c>
      <c r="T70" s="4" t="str">
        <f t="shared" si="57"/>
        <v>1+0,0000416111639449864i</v>
      </c>
      <c r="U70" s="4">
        <f t="shared" si="67"/>
        <v>1.0000000008657444</v>
      </c>
      <c r="V70" s="4">
        <f t="shared" si="68"/>
        <v>4.1611163920969977E-5</v>
      </c>
      <c r="W70" t="str">
        <f t="shared" si="58"/>
        <v>1-0,000361208020355785i</v>
      </c>
      <c r="X70" s="4">
        <f t="shared" si="69"/>
        <v>1.0000000652356149</v>
      </c>
      <c r="Y70" s="4">
        <f t="shared" si="70"/>
        <v>-3.6120800464670085E-4</v>
      </c>
      <c r="Z70" t="str">
        <f t="shared" si="59"/>
        <v>0,999999995614087+0,00030969975665305i</v>
      </c>
      <c r="AA70" s="4">
        <f t="shared" si="71"/>
        <v>1.0000000435710557</v>
      </c>
      <c r="AB70" s="4">
        <f t="shared" si="72"/>
        <v>3.0969974810985871E-4</v>
      </c>
      <c r="AC70" s="48" t="str">
        <f t="shared" si="73"/>
        <v>13,7029440565072-65,3694461598738i</v>
      </c>
      <c r="AD70" s="20">
        <f t="shared" si="74"/>
        <v>36.494259114750214</v>
      </c>
      <c r="AE70" s="44">
        <f t="shared" si="75"/>
        <v>-78.160906708742473</v>
      </c>
      <c r="AF70" t="str">
        <f t="shared" si="60"/>
        <v>-0,0000125211169631323</v>
      </c>
      <c r="AG70" t="str">
        <f t="shared" si="61"/>
        <v>1,00553377673059E-06i</v>
      </c>
      <c r="AH70">
        <f t="shared" si="76"/>
        <v>1.0055337767305899E-6</v>
      </c>
      <c r="AI70">
        <f t="shared" si="77"/>
        <v>1.5707963267948966</v>
      </c>
      <c r="AJ70" t="str">
        <f t="shared" si="62"/>
        <v>1+0,00160927495867687i</v>
      </c>
      <c r="AK70">
        <f t="shared" si="78"/>
        <v>1.000001294882108</v>
      </c>
      <c r="AL70">
        <f t="shared" si="79"/>
        <v>1.6092735694638954E-3</v>
      </c>
      <c r="AM70" t="str">
        <f t="shared" si="63"/>
        <v>1+0,235685632584403i</v>
      </c>
      <c r="AN70">
        <f t="shared" si="80"/>
        <v>1.0273985192741473</v>
      </c>
      <c r="AO70">
        <f t="shared" si="81"/>
        <v>0.23146161124853126</v>
      </c>
      <c r="AP70" s="42" t="str">
        <f t="shared" si="82"/>
        <v>-2,91476022948394+12,4568998681678i</v>
      </c>
      <c r="AQ70">
        <f t="shared" si="83"/>
        <v>22.13969564075963</v>
      </c>
      <c r="AR70" s="44">
        <f t="shared" si="84"/>
        <v>103.16956886022641</v>
      </c>
      <c r="AS70" s="42" t="str">
        <f t="shared" si="85"/>
        <v>774,359848888384+361,232463901207i</v>
      </c>
      <c r="AT70" s="20">
        <f t="shared" si="86"/>
        <v>58.633954755509848</v>
      </c>
      <c r="AU70" s="44">
        <f t="shared" si="87"/>
        <v>25.008662151483925</v>
      </c>
    </row>
    <row r="71" spans="1:47" x14ac:dyDescent="0.3">
      <c r="A71" t="s">
        <v>222</v>
      </c>
      <c r="B71" s="1">
        <f>(CCOMP+CHF)</f>
        <v>4.8330000000000002E-9</v>
      </c>
      <c r="E71" t="s">
        <v>231</v>
      </c>
      <c r="N71" s="8">
        <v>53</v>
      </c>
      <c r="O71" s="35">
        <f t="shared" si="64"/>
        <v>33.884415613920268</v>
      </c>
      <c r="P71" s="34" t="str">
        <f t="shared" si="55"/>
        <v>324,571428571429</v>
      </c>
      <c r="Q71" s="4" t="str">
        <f t="shared" si="56"/>
        <v>1+4,86633285320571i</v>
      </c>
      <c r="R71" s="4">
        <f t="shared" si="65"/>
        <v>4.9680172542161358</v>
      </c>
      <c r="S71" s="4">
        <f t="shared" si="66"/>
        <v>1.368124133525684</v>
      </c>
      <c r="T71" s="4" t="str">
        <f t="shared" si="57"/>
        <v>1+0,00004258041246555i</v>
      </c>
      <c r="U71" s="4">
        <f t="shared" si="67"/>
        <v>1.0000000009065457</v>
      </c>
      <c r="V71" s="4">
        <f t="shared" si="68"/>
        <v>4.2580412439815938E-5</v>
      </c>
      <c r="W71" t="str">
        <f t="shared" si="58"/>
        <v>1-0,000369621635985677i</v>
      </c>
      <c r="X71" s="4">
        <f t="shared" si="69"/>
        <v>1.0000000683100745</v>
      </c>
      <c r="Y71" s="4">
        <f t="shared" si="70"/>
        <v>-3.6962161915309012E-4</v>
      </c>
      <c r="Z71" t="str">
        <f t="shared" si="59"/>
        <v>0,999999995407385+0,000316913590694119i</v>
      </c>
      <c r="AA71" s="4">
        <f t="shared" si="71"/>
        <v>1.000000045624496</v>
      </c>
      <c r="AB71" s="4">
        <f t="shared" si="72"/>
        <v>3.1691358153992477E-4</v>
      </c>
      <c r="AC71" s="48" t="str">
        <f t="shared" si="73"/>
        <v>13,1093431370245-64,0034365076938i</v>
      </c>
      <c r="AD71" s="20">
        <f t="shared" si="74"/>
        <v>36.302544035384599</v>
      </c>
      <c r="AE71" s="44">
        <f t="shared" si="75"/>
        <v>-78.42463459257857</v>
      </c>
      <c r="AF71" t="str">
        <f t="shared" si="60"/>
        <v>-0,0000125211169631323</v>
      </c>
      <c r="AG71" t="str">
        <f t="shared" si="61"/>
        <v>1,02895566723002E-06i</v>
      </c>
      <c r="AH71">
        <f t="shared" si="76"/>
        <v>1.0289556672300201E-6</v>
      </c>
      <c r="AI71">
        <f t="shared" si="77"/>
        <v>1.5707963267948966</v>
      </c>
      <c r="AJ71" t="str">
        <f t="shared" si="62"/>
        <v>1+0,00164675978786693i</v>
      </c>
      <c r="AK71">
        <f t="shared" si="78"/>
        <v>1.0000013559079803</v>
      </c>
      <c r="AL71">
        <f t="shared" si="79"/>
        <v>1.6467582992985175E-3</v>
      </c>
      <c r="AM71" t="str">
        <f t="shared" si="63"/>
        <v>1+0,241175456204875i</v>
      </c>
      <c r="AN71">
        <f t="shared" si="80"/>
        <v>1.0286717652757995</v>
      </c>
      <c r="AO71">
        <f t="shared" si="81"/>
        <v>0.23665612128234809</v>
      </c>
      <c r="AP71" s="42" t="str">
        <f t="shared" si="82"/>
        <v>-2,91475987373282+12,1735622398408i</v>
      </c>
      <c r="AQ71">
        <f t="shared" si="83"/>
        <v>21.950452793202814</v>
      </c>
      <c r="AR71" s="44">
        <f t="shared" si="84"/>
        <v>103.4650446449867</v>
      </c>
      <c r="AS71" s="42" t="str">
        <f t="shared" si="85"/>
        <v>740,939230543316+346,14205311563i</v>
      </c>
      <c r="AT71" s="20">
        <f t="shared" si="86"/>
        <v>58.25299682858742</v>
      </c>
      <c r="AU71" s="44">
        <f t="shared" si="87"/>
        <v>25.040410052408159</v>
      </c>
    </row>
    <row r="72" spans="1:47" x14ac:dyDescent="0.3">
      <c r="A72" t="s">
        <v>223</v>
      </c>
      <c r="B72" s="1">
        <f>(CCOMP+CHF)/(RCOMP*CHF*CCOMP)</f>
        <v>129285.43913713405</v>
      </c>
      <c r="E72" t="s">
        <v>232</v>
      </c>
      <c r="N72" s="8">
        <v>54</v>
      </c>
      <c r="O72" s="35">
        <f t="shared" si="64"/>
        <v>34.67368504525318</v>
      </c>
      <c r="P72" s="34" t="str">
        <f t="shared" si="55"/>
        <v>324,571428571429</v>
      </c>
      <c r="Q72" s="4" t="str">
        <f t="shared" si="56"/>
        <v>1+4,97968430679102i</v>
      </c>
      <c r="R72" s="4">
        <f t="shared" si="65"/>
        <v>5.0790999001103296</v>
      </c>
      <c r="S72" s="4">
        <f t="shared" si="66"/>
        <v>1.3726163295994691</v>
      </c>
      <c r="T72" s="4" t="str">
        <f t="shared" si="57"/>
        <v>1+0,0000435722376844214i</v>
      </c>
      <c r="U72" s="4">
        <f t="shared" si="67"/>
        <v>1.00000000094927</v>
      </c>
      <c r="V72" s="4">
        <f t="shared" si="68"/>
        <v>4.3572237656846861E-5</v>
      </c>
      <c r="W72" t="str">
        <f t="shared" si="58"/>
        <v>1-0,000378231229899491i</v>
      </c>
      <c r="X72" s="4">
        <f t="shared" si="69"/>
        <v>1.000000071529429</v>
      </c>
      <c r="Y72" s="4">
        <f t="shared" si="70"/>
        <v>-3.7823121186304933E-4</v>
      </c>
      <c r="Z72" t="str">
        <f t="shared" si="59"/>
        <v>0,999999995190942+0,000324295456515824i</v>
      </c>
      <c r="AA72" s="4">
        <f t="shared" si="71"/>
        <v>1.0000000477747124</v>
      </c>
      <c r="AB72" s="4">
        <f t="shared" si="72"/>
        <v>3.2429544670692812E-4</v>
      </c>
      <c r="AC72" s="48" t="str">
        <f t="shared" si="73"/>
        <v>12,5403385897348-62,660805044713i</v>
      </c>
      <c r="AD72" s="20">
        <f t="shared" si="74"/>
        <v>36.110470855261859</v>
      </c>
      <c r="AE72" s="44">
        <f t="shared" si="75"/>
        <v>-78.682877883997364</v>
      </c>
      <c r="AF72" t="str">
        <f t="shared" si="60"/>
        <v>-0,0000125211169631323</v>
      </c>
      <c r="AG72" t="str">
        <f t="shared" si="61"/>
        <v>1,05292312364404E-06i</v>
      </c>
      <c r="AH72">
        <f t="shared" si="76"/>
        <v>1.0529231236440401E-6</v>
      </c>
      <c r="AI72">
        <f t="shared" si="77"/>
        <v>1.5707963267948966</v>
      </c>
      <c r="AJ72" t="str">
        <f t="shared" si="62"/>
        <v>1+0,00168511775089397i</v>
      </c>
      <c r="AK72">
        <f t="shared" si="78"/>
        <v>1.0000014198099092</v>
      </c>
      <c r="AL72">
        <f t="shared" si="79"/>
        <v>1.6851161558643012E-3</v>
      </c>
      <c r="AM72" t="str">
        <f t="shared" si="63"/>
        <v>1+0,246793154244563i</v>
      </c>
      <c r="AN72">
        <f t="shared" si="80"/>
        <v>1.0300033305683922</v>
      </c>
      <c r="AO72">
        <f t="shared" si="81"/>
        <v>0.24195818542838923</v>
      </c>
      <c r="AP72" s="42" t="str">
        <f t="shared" si="82"/>
        <v>-2,91475950121583+11,8966791952944i</v>
      </c>
      <c r="AQ72">
        <f t="shared" si="83"/>
        <v>21.761688426728124</v>
      </c>
      <c r="AR72" s="44">
        <f t="shared" si="84"/>
        <v>103.76663279997015</v>
      </c>
      <c r="AS72" s="42" t="str">
        <f t="shared" si="85"/>
        <v>708,903424682943+331,829562060356i</v>
      </c>
      <c r="AT72" s="20">
        <f t="shared" si="86"/>
        <v>57.872159281989994</v>
      </c>
      <c r="AU72" s="44">
        <f t="shared" si="87"/>
        <v>25.083754915972801</v>
      </c>
    </row>
    <row r="73" spans="1:47" x14ac:dyDescent="0.3">
      <c r="N73" s="8">
        <v>55</v>
      </c>
      <c r="O73" s="35">
        <f t="shared" si="64"/>
        <v>35.481338923357555</v>
      </c>
      <c r="P73" s="34" t="str">
        <f t="shared" si="55"/>
        <v>324,571428571429</v>
      </c>
      <c r="Q73" s="4" t="str">
        <f t="shared" si="56"/>
        <v>1+5,09567605490969i</v>
      </c>
      <c r="R73" s="4">
        <f t="shared" si="65"/>
        <v>5.1928715039542404</v>
      </c>
      <c r="S73" s="4">
        <f t="shared" si="66"/>
        <v>1.3770141163087508</v>
      </c>
      <c r="T73" s="4" t="str">
        <f t="shared" si="57"/>
        <v>1+0,0000445871654804598i</v>
      </c>
      <c r="U73" s="4">
        <f t="shared" si="67"/>
        <v>1.0000000009940075</v>
      </c>
      <c r="V73" s="4">
        <f t="shared" si="68"/>
        <v>4.4587165450913141E-5</v>
      </c>
      <c r="W73" t="str">
        <f t="shared" si="58"/>
        <v>1-0,00038704136701788i</v>
      </c>
      <c r="X73" s="4">
        <f t="shared" si="69"/>
        <v>1.0000000749005071</v>
      </c>
      <c r="Y73" s="4">
        <f t="shared" si="70"/>
        <v>-3.8704134769148457E-4</v>
      </c>
      <c r="Z73" t="str">
        <f t="shared" si="59"/>
        <v>0,999999994964298+0,00033184926808113i</v>
      </c>
      <c r="AA73" s="4">
        <f t="shared" si="71"/>
        <v>1.0000000500262651</v>
      </c>
      <c r="AB73" s="4">
        <f t="shared" si="72"/>
        <v>3.3184925757070874E-4</v>
      </c>
      <c r="AC73" s="48" t="str">
        <f t="shared" si="73"/>
        <v>11,9949993157217-61,3414904116076i</v>
      </c>
      <c r="AD73" s="20">
        <f t="shared" si="74"/>
        <v>35.91805444035338</v>
      </c>
      <c r="AE73" s="44">
        <f t="shared" si="75"/>
        <v>-78.935731935640433</v>
      </c>
      <c r="AF73" t="str">
        <f t="shared" si="60"/>
        <v>-0,0000125211169631323</v>
      </c>
      <c r="AG73" t="str">
        <f t="shared" si="61"/>
        <v>1,07744885383531E-06i</v>
      </c>
      <c r="AH73">
        <f t="shared" si="76"/>
        <v>1.0774488538353099E-6</v>
      </c>
      <c r="AI73">
        <f t="shared" si="77"/>
        <v>1.5707963267948966</v>
      </c>
      <c r="AJ73" t="str">
        <f t="shared" si="62"/>
        <v>1+0,00172436918565771i</v>
      </c>
      <c r="AK73">
        <f t="shared" si="78"/>
        <v>1.000001486723439</v>
      </c>
      <c r="AL73">
        <f t="shared" si="79"/>
        <v>1.7243674765527648E-3</v>
      </c>
      <c r="AM73" t="str">
        <f t="shared" si="63"/>
        <v>1+0,252541705281324i</v>
      </c>
      <c r="AN73">
        <f t="shared" si="80"/>
        <v>1.0313958080709846</v>
      </c>
      <c r="AO73">
        <f t="shared" si="81"/>
        <v>0.24736942198583106</v>
      </c>
      <c r="AP73" s="42" t="str">
        <f t="shared" si="82"/>
        <v>-2,91475911114272+11,6261039274693i</v>
      </c>
      <c r="AQ73">
        <f t="shared" si="83"/>
        <v>21.573422504305448</v>
      </c>
      <c r="AR73" s="44">
        <f t="shared" si="84"/>
        <v>104.07442488164266</v>
      </c>
      <c r="AS73" s="42" t="str">
        <f t="shared" si="85"/>
        <v>678,200009047561+318,250776722811i</v>
      </c>
      <c r="AT73" s="20">
        <f t="shared" si="86"/>
        <v>57.491476944658821</v>
      </c>
      <c r="AU73" s="44">
        <f t="shared" si="87"/>
        <v>25.138692946002248</v>
      </c>
    </row>
    <row r="74" spans="1:47" x14ac:dyDescent="0.3">
      <c r="N74" s="8">
        <v>56</v>
      </c>
      <c r="O74" s="35">
        <f t="shared" si="64"/>
        <v>36.307805477010156</v>
      </c>
      <c r="P74" s="34" t="str">
        <f t="shared" si="55"/>
        <v>324,571428571429</v>
      </c>
      <c r="Q74" s="4" t="str">
        <f t="shared" si="56"/>
        <v>1+5,21436959792194i</v>
      </c>
      <c r="R74" s="4">
        <f t="shared" si="65"/>
        <v>5.3093926492333008</v>
      </c>
      <c r="S74" s="4">
        <f t="shared" si="66"/>
        <v>1.3813191446490602</v>
      </c>
      <c r="T74" s="4" t="str">
        <f t="shared" si="57"/>
        <v>1+0,000045625733981817i</v>
      </c>
      <c r="U74" s="4">
        <f t="shared" si="67"/>
        <v>1.0000000010408538</v>
      </c>
      <c r="V74" s="4">
        <f t="shared" si="68"/>
        <v>4.5625733950157185E-5</v>
      </c>
      <c r="W74" t="str">
        <f t="shared" si="58"/>
        <v>1-0,000396056718592161i</v>
      </c>
      <c r="X74" s="4">
        <f t="shared" si="69"/>
        <v>1.000000078430459</v>
      </c>
      <c r="Y74" s="4">
        <f t="shared" si="70"/>
        <v>-3.960566978835553E-4</v>
      </c>
      <c r="Z74" t="str">
        <f t="shared" si="59"/>
        <v>0,999999994726973+0,000339579030520919i</v>
      </c>
      <c r="AA74" s="4">
        <f t="shared" si="71"/>
        <v>1.0000000523839305</v>
      </c>
      <c r="AB74" s="4">
        <f t="shared" si="72"/>
        <v>3.3957901925879964E-4</v>
      </c>
      <c r="AC74" s="48" t="str">
        <f t="shared" si="73"/>
        <v>11,4724219477213-60,0454057329984i</v>
      </c>
      <c r="AD74" s="20">
        <f t="shared" si="74"/>
        <v>35.72530909151596</v>
      </c>
      <c r="AE74" s="44">
        <f t="shared" si="75"/>
        <v>-79.18329180887082</v>
      </c>
      <c r="AF74" t="str">
        <f t="shared" si="60"/>
        <v>-0,0000125211169631323</v>
      </c>
      <c r="AG74" t="str">
        <f t="shared" si="61"/>
        <v>1,10254586167061E-06i</v>
      </c>
      <c r="AH74">
        <f t="shared" si="76"/>
        <v>1.10254586167061E-6</v>
      </c>
      <c r="AI74">
        <f t="shared" si="77"/>
        <v>1.5707963267948966</v>
      </c>
      <c r="AJ74" t="str">
        <f t="shared" si="62"/>
        <v>1+0,00176453490378841i</v>
      </c>
      <c r="AK74">
        <f t="shared" si="78"/>
        <v>1.0000015567905016</v>
      </c>
      <c r="AL74">
        <f t="shared" si="79"/>
        <v>1.7645330724496205E-3</v>
      </c>
      <c r="AM74" t="str">
        <f t="shared" si="63"/>
        <v>1+0,258424157273011i</v>
      </c>
      <c r="AN74">
        <f t="shared" si="80"/>
        <v>1.0328518989004503</v>
      </c>
      <c r="AO74">
        <f t="shared" si="81"/>
        <v>0.25289143192925195</v>
      </c>
      <c r="AP74" s="42" t="str">
        <f t="shared" si="82"/>
        <v>-2,91475870268614+11,3616929737727i</v>
      </c>
      <c r="AQ74">
        <f t="shared" si="83"/>
        <v>21.385675702561056</v>
      </c>
      <c r="AR74" s="44">
        <f t="shared" si="84"/>
        <v>104.38851142670345</v>
      </c>
      <c r="AS74" s="42" t="str">
        <f t="shared" si="85"/>
        <v>648,778122710931+305,364004752158i</v>
      </c>
      <c r="AT74" s="20">
        <f t="shared" si="86"/>
        <v>57.110984794077019</v>
      </c>
      <c r="AU74" s="44">
        <f t="shared" si="87"/>
        <v>25.205219617832608</v>
      </c>
    </row>
    <row r="75" spans="1:47" x14ac:dyDescent="0.3">
      <c r="N75" s="8">
        <v>57</v>
      </c>
      <c r="O75" s="35">
        <f t="shared" si="64"/>
        <v>37.15352290971726</v>
      </c>
      <c r="P75" s="34" t="str">
        <f t="shared" si="55"/>
        <v>324,571428571429</v>
      </c>
      <c r="Q75" s="4" t="str">
        <f t="shared" si="56"/>
        <v>1+5,33582786871534i</v>
      </c>
      <c r="R75" s="4">
        <f t="shared" si="65"/>
        <v>5.4287253609442505</v>
      </c>
      <c r="S75" s="4">
        <f t="shared" si="66"/>
        <v>1.385533058605918</v>
      </c>
      <c r="T75" s="4" t="str">
        <f t="shared" si="57"/>
        <v>1+0,0000466884938512592i</v>
      </c>
      <c r="U75" s="4">
        <f t="shared" si="67"/>
        <v>1.0000000010899077</v>
      </c>
      <c r="V75" s="4">
        <f t="shared" si="68"/>
        <v>4.6688493817335097E-5</v>
      </c>
      <c r="W75" t="str">
        <f t="shared" si="58"/>
        <v>1-0,000405282064681069i</v>
      </c>
      <c r="X75" s="4">
        <f t="shared" si="69"/>
        <v>1.0000000821267725</v>
      </c>
      <c r="Y75" s="4">
        <f t="shared" si="70"/>
        <v>-4.0528204249139829E-4</v>
      </c>
      <c r="Z75" t="str">
        <f t="shared" si="59"/>
        <v>0,999999994478463+0,000347488842257549i</v>
      </c>
      <c r="AA75" s="4">
        <f t="shared" si="71"/>
        <v>1.000000054852709</v>
      </c>
      <c r="AB75" s="4">
        <f t="shared" si="72"/>
        <v>3.4748883018997066E-4</v>
      </c>
      <c r="AC75" s="48" t="str">
        <f t="shared" si="73"/>
        <v>10,9717306915854-58,7724405460556i</v>
      </c>
      <c r="AD75" s="20">
        <f t="shared" si="74"/>
        <v>35.532248561532874</v>
      </c>
      <c r="AE75" s="44">
        <f t="shared" si="75"/>
        <v>-79.42565217426872</v>
      </c>
      <c r="AF75" t="str">
        <f t="shared" si="60"/>
        <v>-0,0000125211169631323</v>
      </c>
      <c r="AG75" t="str">
        <f t="shared" si="61"/>
        <v>1,12822745391568E-06i</v>
      </c>
      <c r="AH75">
        <f t="shared" si="76"/>
        <v>1.1282274539156799E-6</v>
      </c>
      <c r="AI75">
        <f t="shared" si="77"/>
        <v>1.5707963267948966</v>
      </c>
      <c r="AJ75" t="str">
        <f t="shared" si="62"/>
        <v>1+0,00180563620168147i</v>
      </c>
      <c r="AK75">
        <f t="shared" si="78"/>
        <v>1.0000016301597177</v>
      </c>
      <c r="AL75">
        <f t="shared" si="79"/>
        <v>1.8056342393667753E-3</v>
      </c>
      <c r="AM75" t="str">
        <f t="shared" si="63"/>
        <v>1+0,264443629173532i</v>
      </c>
      <c r="AN75">
        <f t="shared" si="80"/>
        <v>1.0343744162586719</v>
      </c>
      <c r="AO75">
        <f t="shared" si="81"/>
        <v>0.25852579548981786</v>
      </c>
      <c r="AP75" s="42" t="str">
        <f t="shared" si="82"/>
        <v>-2,91475827497974+11,1033061400127i</v>
      </c>
      <c r="AQ75">
        <f t="shared" si="83"/>
        <v>21.198469426540822</v>
      </c>
      <c r="AR75" s="44">
        <f t="shared" si="84"/>
        <v>104.70898175556879</v>
      </c>
      <c r="AS75" s="42" t="str">
        <f t="shared" si="85"/>
        <v>620,588457154403+293,129942176816i</v>
      </c>
      <c r="AT75" s="20">
        <f t="shared" si="86"/>
        <v>56.7307179880737</v>
      </c>
      <c r="AU75" s="44">
        <f t="shared" si="87"/>
        <v>25.283329581300048</v>
      </c>
    </row>
    <row r="76" spans="1:47" x14ac:dyDescent="0.3">
      <c r="N76" s="8">
        <v>58</v>
      </c>
      <c r="O76" s="35">
        <f t="shared" si="64"/>
        <v>38.018939632056139</v>
      </c>
      <c r="P76" s="34" t="str">
        <f t="shared" si="55"/>
        <v>324,571428571429</v>
      </c>
      <c r="Q76" s="4" t="str">
        <f t="shared" si="56"/>
        <v>1+5,46011526607275i</v>
      </c>
      <c r="R76" s="4">
        <f t="shared" si="65"/>
        <v>5.5509331394640924</v>
      </c>
      <c r="S76" s="4">
        <f t="shared" si="66"/>
        <v>1.3896574935474202</v>
      </c>
      <c r="T76" s="4" t="str">
        <f t="shared" si="57"/>
        <v>1+0,0000477760085781366i</v>
      </c>
      <c r="U76" s="4">
        <f t="shared" si="67"/>
        <v>1.0000000011412735</v>
      </c>
      <c r="V76" s="4">
        <f t="shared" si="68"/>
        <v>4.7776008541786268E-5</v>
      </c>
      <c r="W76" t="str">
        <f t="shared" si="58"/>
        <v>1-0,000414722296685214i</v>
      </c>
      <c r="X76" s="4">
        <f t="shared" si="69"/>
        <v>1.000000085997288</v>
      </c>
      <c r="Y76" s="4">
        <f t="shared" si="70"/>
        <v>-4.1472227290855358E-4</v>
      </c>
      <c r="Z76" t="str">
        <f t="shared" si="59"/>
        <v>0,999999994218241+0,000355582897177902i</v>
      </c>
      <c r="AA76" s="4">
        <f t="shared" si="71"/>
        <v>1.0000000574378378</v>
      </c>
      <c r="AB76" s="4">
        <f t="shared" si="72"/>
        <v>3.5558288424725887E-4</v>
      </c>
      <c r="AC76" s="48" t="str">
        <f t="shared" si="73"/>
        <v>10,4920770976451-57,522462638175i</v>
      </c>
      <c r="AD76" s="20">
        <f t="shared" si="74"/>
        <v>35.338886072035088</v>
      </c>
      <c r="AE76" s="44">
        <f t="shared" si="75"/>
        <v>-79.662907219786348</v>
      </c>
      <c r="AF76" t="str">
        <f t="shared" si="60"/>
        <v>-0,0000125211169631323</v>
      </c>
      <c r="AG76" t="str">
        <f t="shared" si="61"/>
        <v>1,15450724729067E-06i</v>
      </c>
      <c r="AH76">
        <f t="shared" si="76"/>
        <v>1.15450724729067E-6</v>
      </c>
      <c r="AI76">
        <f t="shared" si="77"/>
        <v>1.5707963267948966</v>
      </c>
      <c r="AJ76" t="str">
        <f t="shared" si="62"/>
        <v>1+0,00184769487178909i</v>
      </c>
      <c r="AK76">
        <f t="shared" si="78"/>
        <v>1.0000017069867126</v>
      </c>
      <c r="AL76">
        <f t="shared" si="79"/>
        <v>1.8476927691312055E-3</v>
      </c>
      <c r="AM76" t="str">
        <f t="shared" si="63"/>
        <v>1+0,270603312586566i</v>
      </c>
      <c r="AN76">
        <f t="shared" si="80"/>
        <v>1.0359662894046422</v>
      </c>
      <c r="AO76">
        <f t="shared" si="81"/>
        <v>0.26427406853647084</v>
      </c>
      <c r="AP76" s="42" t="str">
        <f t="shared" si="82"/>
        <v>-2,91475782711629+10,850806426065i</v>
      </c>
      <c r="AQ76">
        <f t="shared" si="83"/>
        <v>21.01182582374782</v>
      </c>
      <c r="AR76" s="44">
        <f t="shared" si="84"/>
        <v>105.03592376438274</v>
      </c>
      <c r="AS76" s="42" t="str">
        <f t="shared" si="85"/>
        <v>593,583243394325+281,511545803522i</v>
      </c>
      <c r="AT76" s="20">
        <f t="shared" si="86"/>
        <v>56.350711895782915</v>
      </c>
      <c r="AU76" s="44">
        <f t="shared" si="87"/>
        <v>25.373016544596418</v>
      </c>
    </row>
    <row r="77" spans="1:47" x14ac:dyDescent="0.3">
      <c r="N77" s="8">
        <v>59</v>
      </c>
      <c r="O77" s="35">
        <f t="shared" si="64"/>
        <v>38.904514499428053</v>
      </c>
      <c r="P77" s="34" t="str">
        <f t="shared" si="55"/>
        <v>324,571428571429</v>
      </c>
      <c r="Q77" s="4" t="str">
        <f t="shared" si="56"/>
        <v>1+5,58729768881742i</v>
      </c>
      <c r="R77" s="4">
        <f t="shared" si="65"/>
        <v>5.6760809951466058</v>
      </c>
      <c r="S77" s="4">
        <f t="shared" si="66"/>
        <v>1.3936940747439872</v>
      </c>
      <c r="T77" s="4" t="str">
        <f t="shared" si="57"/>
        <v>1+0,0000488888547771524i</v>
      </c>
      <c r="U77" s="4">
        <f t="shared" si="67"/>
        <v>1.0000000011950601</v>
      </c>
      <c r="V77" s="4">
        <f t="shared" si="68"/>
        <v>4.8888854738202318E-5</v>
      </c>
      <c r="W77" t="str">
        <f t="shared" si="58"/>
        <v>1-0,000424382419940559i</v>
      </c>
      <c r="X77" s="4">
        <f t="shared" si="69"/>
        <v>1.0000000900502151</v>
      </c>
      <c r="Y77" s="4">
        <f t="shared" si="70"/>
        <v>-4.2438239446340845E-4</v>
      </c>
      <c r="Z77" t="str">
        <f t="shared" si="59"/>
        <v>0,999999993945755+0,000363865486857035i</v>
      </c>
      <c r="AA77" s="4">
        <f t="shared" si="71"/>
        <v>1.0000000601447996</v>
      </c>
      <c r="AB77" s="4">
        <f t="shared" si="72"/>
        <v>3.6386547300160132E-4</v>
      </c>
      <c r="AC77" s="48" t="str">
        <f t="shared" si="73"/>
        <v>10,0326397697884-56,2953197950638i</v>
      </c>
      <c r="AD77" s="20">
        <f t="shared" si="74"/>
        <v>35.145234330261928</v>
      </c>
      <c r="AE77" s="44">
        <f t="shared" si="75"/>
        <v>-79.895150566194957</v>
      </c>
      <c r="AF77" t="str">
        <f t="shared" si="60"/>
        <v>-0,0000125211169631323</v>
      </c>
      <c r="AG77" t="str">
        <f t="shared" si="61"/>
        <v>1,18139917568989E-06i</v>
      </c>
      <c r="AH77">
        <f t="shared" si="76"/>
        <v>1.18139917568989E-6</v>
      </c>
      <c r="AI77">
        <f t="shared" si="77"/>
        <v>1.5707963267948966</v>
      </c>
      <c r="AJ77" t="str">
        <f t="shared" si="62"/>
        <v>1+0,00189073321417486i</v>
      </c>
      <c r="AK77">
        <f t="shared" si="78"/>
        <v>1.0000017874344462</v>
      </c>
      <c r="AL77">
        <f t="shared" si="79"/>
        <v>1.890730961136562E-3</v>
      </c>
      <c r="AM77" t="str">
        <f t="shared" si="63"/>
        <v>1+0,276906473457791i</v>
      </c>
      <c r="AN77">
        <f t="shared" si="80"/>
        <v>1.0376305677083872</v>
      </c>
      <c r="AO77">
        <f t="shared" si="81"/>
        <v>0.2701377787528656</v>
      </c>
      <c r="AP77" s="42" t="str">
        <f t="shared" si="82"/>
        <v>-2,91475735814582+10,6040599532337i</v>
      </c>
      <c r="AQ77">
        <f t="shared" si="83"/>
        <v>20.825767797334052</v>
      </c>
      <c r="AR77" s="44">
        <f t="shared" si="84"/>
        <v>105.36942370531018</v>
      </c>
      <c r="AS77" s="42" t="str">
        <f t="shared" si="85"/>
        <v>567,716235602703+270,473911209867i</v>
      </c>
      <c r="AT77" s="20">
        <f t="shared" si="86"/>
        <v>55.97100212759598</v>
      </c>
      <c r="AU77" s="44">
        <f t="shared" si="87"/>
        <v>25.474273139115237</v>
      </c>
    </row>
    <row r="78" spans="1:47" x14ac:dyDescent="0.3">
      <c r="N78" s="8">
        <v>60</v>
      </c>
      <c r="O78" s="35">
        <f t="shared" si="64"/>
        <v>39.810717055349755</v>
      </c>
      <c r="P78" s="34" t="str">
        <f t="shared" si="55"/>
        <v>324,571428571429</v>
      </c>
      <c r="Q78" s="4" t="str">
        <f t="shared" si="56"/>
        <v>1+5,7174425707533i</v>
      </c>
      <c r="R78" s="4">
        <f t="shared" si="65"/>
        <v>5.8042354836672585</v>
      </c>
      <c r="S78" s="4">
        <f t="shared" si="66"/>
        <v>1.3976444160089765</v>
      </c>
      <c r="T78" s="4" t="str">
        <f t="shared" si="57"/>
        <v>1+0,0000500276224940914i</v>
      </c>
      <c r="U78" s="4">
        <f t="shared" si="67"/>
        <v>1.0000000012513814</v>
      </c>
      <c r="V78" s="4">
        <f t="shared" si="68"/>
        <v>5.0027622452355644E-5</v>
      </c>
      <c r="W78" t="str">
        <f t="shared" si="58"/>
        <v>1-0,000434267556372321i</v>
      </c>
      <c r="X78" s="4">
        <f t="shared" si="69"/>
        <v>1.0000000942941507</v>
      </c>
      <c r="Y78" s="4">
        <f t="shared" si="70"/>
        <v>-4.342675290730625E-4</v>
      </c>
      <c r="Z78" t="str">
        <f t="shared" si="59"/>
        <v>0,999999993660427+0,000372341002833628i</v>
      </c>
      <c r="AA78" s="4">
        <f t="shared" si="71"/>
        <v>1.0000000629793364</v>
      </c>
      <c r="AB78" s="4">
        <f t="shared" si="72"/>
        <v>3.7234098798726348E-4</v>
      </c>
      <c r="AC78" s="48" t="str">
        <f t="shared" si="73"/>
        <v>9,59262401953976-55,0908414609097i</v>
      </c>
      <c r="AD78" s="20">
        <f t="shared" si="74"/>
        <v>34.951305545625601</v>
      </c>
      <c r="AE78" s="44">
        <f t="shared" si="75"/>
        <v>-80.122475189462307</v>
      </c>
      <c r="AF78" t="str">
        <f t="shared" si="60"/>
        <v>-0,0000125211169631323</v>
      </c>
      <c r="AG78" t="str">
        <f t="shared" si="61"/>
        <v>1,20891749756972E-06i</v>
      </c>
      <c r="AH78">
        <f t="shared" si="76"/>
        <v>1.2089174975697201E-6</v>
      </c>
      <c r="AI78">
        <f t="shared" si="77"/>
        <v>1.5707963267948966</v>
      </c>
      <c r="AJ78" t="str">
        <f t="shared" si="62"/>
        <v>1+0,0019347740483376i</v>
      </c>
      <c r="AK78">
        <f t="shared" si="78"/>
        <v>1.0000018716735575</v>
      </c>
      <c r="AL78">
        <f t="shared" si="79"/>
        <v>1.9347716341638122E-3</v>
      </c>
      <c r="AM78" t="str">
        <f t="shared" si="63"/>
        <v>1+0,283356453806534i</v>
      </c>
      <c r="AN78">
        <f t="shared" si="80"/>
        <v>1.0393704247831062</v>
      </c>
      <c r="AO78">
        <f t="shared" si="81"/>
        <v>0.27611842160648914</v>
      </c>
      <c r="AP78" s="42" t="str">
        <f t="shared" si="82"/>
        <v>-2,91475686707362+10,3629358932674i</v>
      </c>
      <c r="AQ78">
        <f t="shared" si="83"/>
        <v>20.640319018316326</v>
      </c>
      <c r="AR78" s="44">
        <f t="shared" si="84"/>
        <v>105.70956595490649</v>
      </c>
      <c r="AS78" s="42" t="str">
        <f t="shared" si="85"/>
        <v>542,942691631356+259,984156223758i</v>
      </c>
      <c r="AT78" s="20">
        <f t="shared" si="86"/>
        <v>55.59162456394192</v>
      </c>
      <c r="AU78" s="44">
        <f t="shared" si="87"/>
        <v>25.587090765444188</v>
      </c>
    </row>
    <row r="79" spans="1:47" x14ac:dyDescent="0.3">
      <c r="N79" s="8">
        <v>61</v>
      </c>
      <c r="O79" s="35">
        <f t="shared" si="64"/>
        <v>40.738027780411279</v>
      </c>
      <c r="P79" s="34" t="str">
        <f t="shared" si="55"/>
        <v>324,571428571429</v>
      </c>
      <c r="Q79" s="4" t="str">
        <f t="shared" si="56"/>
        <v>1+5,85061891641952i</v>
      </c>
      <c r="R79" s="4">
        <f t="shared" si="65"/>
        <v>5.9354647421382181</v>
      </c>
      <c r="S79" s="4">
        <f t="shared" si="66"/>
        <v>1.4015101184540033</v>
      </c>
      <c r="T79" s="4" t="str">
        <f t="shared" si="57"/>
        <v>1+0,0000511929155186708i</v>
      </c>
      <c r="U79" s="4">
        <f t="shared" si="67"/>
        <v>1.0000000013103572</v>
      </c>
      <c r="V79" s="4">
        <f t="shared" si="68"/>
        <v>5.1192915473950127E-5</v>
      </c>
      <c r="W79" t="str">
        <f t="shared" si="58"/>
        <v>1-0,000444382947210684i</v>
      </c>
      <c r="X79" s="4">
        <f t="shared" si="69"/>
        <v>1.000000098738097</v>
      </c>
      <c r="Y79" s="4">
        <f t="shared" si="70"/>
        <v>-4.4438291795900167E-4</v>
      </c>
      <c r="Z79" t="str">
        <f t="shared" si="59"/>
        <v>0,999999993361652+0,00038101393893844i</v>
      </c>
      <c r="AA79" s="4">
        <f t="shared" si="71"/>
        <v>1.0000000659474606</v>
      </c>
      <c r="AB79" s="4">
        <f t="shared" si="72"/>
        <v>3.8101392303027394E-4</v>
      </c>
      <c r="AC79" s="48" t="str">
        <f t="shared" si="73"/>
        <v>9,17126147191279-53,9088403125787i</v>
      </c>
      <c r="AD79" s="20">
        <f t="shared" si="74"/>
        <v>34.757111446046814</v>
      </c>
      <c r="AE79" s="44">
        <f t="shared" si="75"/>
        <v>-80.344973349708951</v>
      </c>
      <c r="AF79" t="str">
        <f t="shared" si="60"/>
        <v>-0,0000125211169631323</v>
      </c>
      <c r="AG79" t="str">
        <f t="shared" si="61"/>
        <v>1,23707680350868E-06i</v>
      </c>
      <c r="AH79">
        <f t="shared" si="76"/>
        <v>1.2370768035086799E-6</v>
      </c>
      <c r="AI79">
        <f t="shared" si="77"/>
        <v>1.5707963267948966</v>
      </c>
      <c r="AJ79" t="str">
        <f t="shared" si="62"/>
        <v>1+0,00197984072531053i</v>
      </c>
      <c r="AK79">
        <f t="shared" si="78"/>
        <v>1.0000019598827283</v>
      </c>
      <c r="AL79">
        <f t="shared" si="79"/>
        <v>1.979838138476984E-3</v>
      </c>
      <c r="AM79" t="str">
        <f t="shared" si="63"/>
        <v>1+0,289956673497751i</v>
      </c>
      <c r="AN79">
        <f t="shared" si="80"/>
        <v>1.0411891626913341</v>
      </c>
      <c r="AO79">
        <f t="shared" si="81"/>
        <v>0.2822174561071395</v>
      </c>
      <c r="AP79" s="42" t="str">
        <f t="shared" si="82"/>
        <v>-2,91475635285808+10,1273063989918i</v>
      </c>
      <c r="AQ79">
        <f t="shared" si="83"/>
        <v>20.455503936677179</v>
      </c>
      <c r="AR79" s="44">
        <f t="shared" si="84"/>
        <v>106.05643277040389</v>
      </c>
      <c r="AS79" s="42" t="str">
        <f t="shared" si="85"/>
        <v>519,219350820825+250,01130976763i</v>
      </c>
      <c r="AT79" s="20">
        <f t="shared" si="86"/>
        <v>55.212615382723989</v>
      </c>
      <c r="AU79" s="44">
        <f t="shared" si="87"/>
        <v>25.71145942069495</v>
      </c>
    </row>
    <row r="80" spans="1:47" x14ac:dyDescent="0.3">
      <c r="N80" s="8">
        <v>62</v>
      </c>
      <c r="O80" s="35">
        <f t="shared" si="64"/>
        <v>41.686938347033561</v>
      </c>
      <c r="P80" s="34" t="str">
        <f t="shared" si="55"/>
        <v>324,571428571429</v>
      </c>
      <c r="Q80" s="4" t="str">
        <f t="shared" si="56"/>
        <v>1+5,98689733767733i</v>
      </c>
      <c r="R80" s="4">
        <f t="shared" si="65"/>
        <v>6.0698385260143368</v>
      </c>
      <c r="S80" s="4">
        <f t="shared" si="66"/>
        <v>1.4052927693529291</v>
      </c>
      <c r="T80" s="4" t="str">
        <f t="shared" si="57"/>
        <v>1+0,0000523853517046766i</v>
      </c>
      <c r="U80" s="4">
        <f t="shared" si="67"/>
        <v>1.0000000013721124</v>
      </c>
      <c r="V80" s="4">
        <f t="shared" si="68"/>
        <v>5.2385351656757534E-5</v>
      </c>
      <c r="W80" t="str">
        <f t="shared" si="58"/>
        <v>1-0,000454733955769762i</v>
      </c>
      <c r="X80" s="4">
        <f t="shared" si="69"/>
        <v>1.0000001033914798</v>
      </c>
      <c r="Y80" s="4">
        <f t="shared" si="70"/>
        <v>-4.5473392442601986E-4</v>
      </c>
      <c r="Z80" t="str">
        <f t="shared" si="59"/>
        <v>0,999999993048797+0,000389888893676994i</v>
      </c>
      <c r="AA80" s="4">
        <f t="shared" si="71"/>
        <v>1.0000000690554693</v>
      </c>
      <c r="AB80" s="4">
        <f t="shared" si="72"/>
        <v>3.8988887663108675E-4</v>
      </c>
      <c r="AC80" s="48" t="str">
        <f t="shared" si="73"/>
        <v>8,76780962931874-52,7491137500333i</v>
      </c>
      <c r="AD80" s="20">
        <f t="shared" si="74"/>
        <v>34.562663294034834</v>
      </c>
      <c r="AE80" s="44">
        <f t="shared" si="75"/>
        <v>-80.562736526397131</v>
      </c>
      <c r="AF80" t="str">
        <f t="shared" si="60"/>
        <v>-0,0000125211169631323</v>
      </c>
      <c r="AG80" t="str">
        <f t="shared" si="61"/>
        <v>1,26589202394351E-06i</v>
      </c>
      <c r="AH80">
        <f t="shared" si="76"/>
        <v>1.26589202394351E-6</v>
      </c>
      <c r="AI80">
        <f t="shared" si="77"/>
        <v>1.5707963267948966</v>
      </c>
      <c r="AJ80" t="str">
        <f t="shared" si="62"/>
        <v>1+0,00202595714004232i</v>
      </c>
      <c r="AK80">
        <f t="shared" si="78"/>
        <v>1.0000020522490609</v>
      </c>
      <c r="AL80">
        <f t="shared" si="79"/>
        <v>2.0259543682005434E-3</v>
      </c>
      <c r="AM80" t="str">
        <f t="shared" si="63"/>
        <v>1+0,296710632055288i</v>
      </c>
      <c r="AN80">
        <f t="shared" si="80"/>
        <v>1.0430902162203652</v>
      </c>
      <c r="AO80">
        <f t="shared" si="81"/>
        <v>0.28843630035283802</v>
      </c>
      <c r="AP80" s="42" t="str">
        <f t="shared" si="82"/>
        <v>-2,9147558144085+9,89704653652367i</v>
      </c>
      <c r="AQ80">
        <f t="shared" si="83"/>
        <v>20.271347791205621</v>
      </c>
      <c r="AR80" s="44">
        <f t="shared" si="84"/>
        <v>106.4101040338014</v>
      </c>
      <c r="AS80" s="42" t="str">
        <f t="shared" si="85"/>
        <v>496,504409447776+240,526205932553i</v>
      </c>
      <c r="AT80" s="20">
        <f t="shared" si="86"/>
        <v>54.834011085240455</v>
      </c>
      <c r="AU80" s="44">
        <f t="shared" si="87"/>
        <v>25.847367507404307</v>
      </c>
    </row>
    <row r="81" spans="14:47" x14ac:dyDescent="0.3">
      <c r="N81" s="8">
        <v>63</v>
      </c>
      <c r="O81" s="35">
        <f t="shared" si="64"/>
        <v>42.657951880159267</v>
      </c>
      <c r="P81" s="34" t="str">
        <f t="shared" si="55"/>
        <v>324,571428571429</v>
      </c>
      <c r="Q81" s="4" t="str">
        <f t="shared" si="56"/>
        <v>1+6,12635009114951i</v>
      </c>
      <c r="R81" s="4">
        <f t="shared" si="65"/>
        <v>6.2074282468126531</v>
      </c>
      <c r="S81" s="4">
        <f t="shared" si="66"/>
        <v>1.4089939411086745</v>
      </c>
      <c r="T81" s="4" t="str">
        <f t="shared" si="57"/>
        <v>1+0,0000536055632975582i</v>
      </c>
      <c r="U81" s="4">
        <f t="shared" si="67"/>
        <v>1.0000000014367783</v>
      </c>
      <c r="V81" s="4">
        <f t="shared" si="68"/>
        <v>5.3605563246211999E-5</v>
      </c>
      <c r="W81" t="str">
        <f t="shared" si="58"/>
        <v>1-0,000465326070291304i</v>
      </c>
      <c r="X81" s="4">
        <f t="shared" si="69"/>
        <v>1.0000001082641701</v>
      </c>
      <c r="Y81" s="4">
        <f t="shared" si="70"/>
        <v>-4.6532603670587934E-4</v>
      </c>
      <c r="Z81" t="str">
        <f t="shared" si="59"/>
        <v>0,999999992721197+0,000398970572667763i</v>
      </c>
      <c r="AA81" s="4">
        <f t="shared" si="71"/>
        <v>1.0000000723099534</v>
      </c>
      <c r="AB81" s="4">
        <f t="shared" si="72"/>
        <v>3.9897055440274426E-4</v>
      </c>
      <c r="AC81" s="48" t="str">
        <f t="shared" si="73"/>
        <v>8,3815513993336-51,6114453053415i</v>
      </c>
      <c r="AD81" s="20">
        <f t="shared" si="74"/>
        <v>34.367971902487355</v>
      </c>
      <c r="AE81" s="44">
        <f t="shared" si="75"/>
        <v>-80.775855359417136</v>
      </c>
      <c r="AF81" t="str">
        <f t="shared" si="60"/>
        <v>-0,0000125211169631323</v>
      </c>
      <c r="AG81" t="str">
        <f t="shared" si="61"/>
        <v>1,29537843708549E-06i</v>
      </c>
      <c r="AH81">
        <f t="shared" si="76"/>
        <v>1.2953784370854899E-6</v>
      </c>
      <c r="AI81">
        <f t="shared" si="77"/>
        <v>1.5707963267948966</v>
      </c>
      <c r="AJ81" t="str">
        <f t="shared" si="62"/>
        <v>1+0,00207314774406646i</v>
      </c>
      <c r="AK81">
        <f t="shared" si="78"/>
        <v>1.0000021489684754</v>
      </c>
      <c r="AL81">
        <f t="shared" si="79"/>
        <v>2.0731447739848301E-3</v>
      </c>
      <c r="AM81" t="str">
        <f t="shared" si="63"/>
        <v>1+0,30362191051737i</v>
      </c>
      <c r="AN81">
        <f t="shared" si="80"/>
        <v>1.0450771572215221</v>
      </c>
      <c r="AO81">
        <f t="shared" si="81"/>
        <v>0.29477632686222466</v>
      </c>
      <c r="AP81" s="42" t="str">
        <f t="shared" si="82"/>
        <v>-2,91475525058281+9,67203421902931i</v>
      </c>
      <c r="AQ81">
        <f t="shared" si="83"/>
        <v>20.087876617922014</v>
      </c>
      <c r="AR81" s="44">
        <f t="shared" si="84"/>
        <v>106.77065698370539</v>
      </c>
      <c r="AS81" s="42" t="str">
        <f t="shared" si="85"/>
        <v>474,757494137585+231,501383136819i</v>
      </c>
      <c r="AT81" s="20">
        <f t="shared" si="86"/>
        <v>54.455848520409361</v>
      </c>
      <c r="AU81" s="44">
        <f t="shared" si="87"/>
        <v>25.994801624288261</v>
      </c>
    </row>
    <row r="82" spans="14:47" x14ac:dyDescent="0.3">
      <c r="N82" s="8">
        <v>64</v>
      </c>
      <c r="O82" s="35">
        <f t="shared" si="64"/>
        <v>43.651583224016633</v>
      </c>
      <c r="P82" s="34" t="str">
        <f t="shared" si="55"/>
        <v>324,571428571429</v>
      </c>
      <c r="Q82" s="4" t="str">
        <f t="shared" si="56"/>
        <v>1+6,26905111653184i</v>
      </c>
      <c r="R82" s="4">
        <f t="shared" si="65"/>
        <v>6.34830701066742</v>
      </c>
      <c r="S82" s="4">
        <f t="shared" si="66"/>
        <v>1.4126151903171633</v>
      </c>
      <c r="T82" s="4" t="str">
        <f t="shared" si="57"/>
        <v>1+0,0000548541972696536i</v>
      </c>
      <c r="U82" s="4">
        <f t="shared" si="67"/>
        <v>1.0000000015044914</v>
      </c>
      <c r="V82" s="4">
        <f t="shared" si="68"/>
        <v>5.4854197214635153E-5</v>
      </c>
      <c r="W82" t="str">
        <f t="shared" si="58"/>
        <v>1-0,000476164906854632i</v>
      </c>
      <c r="X82" s="4">
        <f t="shared" si="69"/>
        <v>1.0000001133665029</v>
      </c>
      <c r="Y82" s="4">
        <f t="shared" si="70"/>
        <v>-4.7616487086720133E-4</v>
      </c>
      <c r="Z82" t="str">
        <f t="shared" si="59"/>
        <v>0,999999992378157+0,000408263791137161i</v>
      </c>
      <c r="AA82" s="4">
        <f t="shared" si="71"/>
        <v>1.0000000757178158</v>
      </c>
      <c r="AB82" s="4">
        <f t="shared" si="72"/>
        <v>4.0826377156584118E-4</v>
      </c>
      <c r="AC82" s="48" t="str">
        <f t="shared" si="73"/>
        <v>8,0117945916731-50,4956059728017i</v>
      </c>
      <c r="AD82" s="20">
        <f t="shared" si="74"/>
        <v>34.173047650189304</v>
      </c>
      <c r="AE82" s="44">
        <f t="shared" si="75"/>
        <v>-80.984419595745919</v>
      </c>
      <c r="AF82" t="str">
        <f t="shared" si="60"/>
        <v>-0,0000125211169631323</v>
      </c>
      <c r="AG82" t="str">
        <f t="shared" si="61"/>
        <v>1,32555167702118E-06i</v>
      </c>
      <c r="AH82">
        <f t="shared" si="76"/>
        <v>1.3255516770211801E-6</v>
      </c>
      <c r="AI82">
        <f t="shared" si="77"/>
        <v>1.5707963267948966</v>
      </c>
      <c r="AJ82" t="str">
        <f t="shared" si="62"/>
        <v>1+0,00212143755846586i</v>
      </c>
      <c r="AK82">
        <f t="shared" si="78"/>
        <v>1.0000022502461254</v>
      </c>
      <c r="AL82">
        <f t="shared" si="79"/>
        <v>2.1214343759664417E-3</v>
      </c>
      <c r="AM82" t="str">
        <f t="shared" si="63"/>
        <v>1+0,310694173335318i</v>
      </c>
      <c r="AN82">
        <f t="shared" si="80"/>
        <v>1.0471536990072263</v>
      </c>
      <c r="AO82">
        <f t="shared" si="81"/>
        <v>0.30123885769364273</v>
      </c>
      <c r="AP82" s="42" t="str">
        <f t="shared" si="82"/>
        <v>-2,91475466018502+9,45215014199212i</v>
      </c>
      <c r="AQ82">
        <f t="shared" si="83"/>
        <v>19.90511725692371</v>
      </c>
      <c r="AR82" s="44">
        <f t="shared" si="84"/>
        <v>107.13816593493087</v>
      </c>
      <c r="AS82" s="42" t="str">
        <f t="shared" si="85"/>
        <v>453,939633543271+222,910988215385i</v>
      </c>
      <c r="AT82" s="20">
        <f t="shared" si="86"/>
        <v>54.078164907113006</v>
      </c>
      <c r="AU82" s="44">
        <f t="shared" si="87"/>
        <v>26.153746339184988</v>
      </c>
    </row>
    <row r="83" spans="14:47" x14ac:dyDescent="0.3">
      <c r="N83" s="8">
        <v>65</v>
      </c>
      <c r="O83" s="35">
        <f t="shared" si="64"/>
        <v>44.668359215096324</v>
      </c>
      <c r="P83" s="34" t="str">
        <f t="shared" ref="P83:P146" si="88">COMPLEX(Adc,0)</f>
        <v>324,571428571429</v>
      </c>
      <c r="Q83" s="4" t="str">
        <f t="shared" ref="Q83:Q146" si="89">IMSUM(COMPLEX(1,0),IMDIV(COMPLEX(0,2*PI()*O83),COMPLEX(wp_lf,0)))</f>
        <v>1+6,41507607579687i</v>
      </c>
      <c r="R83" s="4">
        <f t="shared" si="65"/>
        <v>6.4925496577432016</v>
      </c>
      <c r="S83" s="4">
        <f t="shared" si="66"/>
        <v>1.416158056922896</v>
      </c>
      <c r="T83" s="4" t="str">
        <f t="shared" ref="T83:T146" si="90">IMSUM(COMPLEX(1,0),IMDIV(COMPLEX(0,2*PI()*O83),COMPLEX(wz_esr,0)))</f>
        <v>1+0,0000561319156632226i</v>
      </c>
      <c r="U83" s="4">
        <f t="shared" si="67"/>
        <v>1.0000000015753958</v>
      </c>
      <c r="V83" s="4">
        <f t="shared" si="68"/>
        <v>5.6131915604269271E-5</v>
      </c>
      <c r="W83" t="str">
        <f t="shared" ref="W83:W146" si="91">IMSUB(COMPLEX(1,0),IMDIV(COMPLEX(0,2*PI()*O83),COMPLEX(wz_rhp,0)))</f>
        <v>1-0,000487256212354363i</v>
      </c>
      <c r="X83" s="4">
        <f t="shared" si="69"/>
        <v>1.0000001187093013</v>
      </c>
      <c r="Y83" s="4">
        <f t="shared" si="70"/>
        <v>-4.8725617379313655E-4</v>
      </c>
      <c r="Z83" t="str">
        <f t="shared" ref="Z83:Z146" si="92">IMSUM(COMPLEX(1,0),IMDIV(COMPLEX(0,2*PI()*O83),COMPLEX(Q*(wsl/2),0)),IMDIV(IMPOWER(COMPLEX(0,2*PI()*O83),2),IMPOWER(COMPLEX(wsl/2,0),2)))</f>
        <v>0,999999992018951+0,00041777347647263i</v>
      </c>
      <c r="AA83" s="4">
        <f t="shared" si="71"/>
        <v>1.0000000792862866</v>
      </c>
      <c r="AB83" s="4">
        <f t="shared" si="72"/>
        <v>4.1777345550158288E-4</v>
      </c>
      <c r="AC83" s="48" t="str">
        <f t="shared" si="73"/>
        <v>7,65787138929271-49,4013554628286i</v>
      </c>
      <c r="AD83" s="20">
        <f t="shared" si="74"/>
        <v>33.97790049699384</v>
      </c>
      <c r="AE83" s="44">
        <f t="shared" si="75"/>
        <v>-81.188518041362101</v>
      </c>
      <c r="AF83" t="str">
        <f t="shared" ref="AF83:AF146" si="93">COMPLEX(Adc_ea,0)</f>
        <v>-0,0000125211169631323</v>
      </c>
      <c r="AG83" t="str">
        <f t="shared" ref="AG83:AG146" si="94">COMPLEX(0,2*PI()*O83*wp0_ea)</f>
        <v>1,35642774200177E-06i</v>
      </c>
      <c r="AH83">
        <f t="shared" si="76"/>
        <v>1.35642774200177E-6</v>
      </c>
      <c r="AI83">
        <f t="shared" si="77"/>
        <v>1.5707963267948966</v>
      </c>
      <c r="AJ83" t="str">
        <f t="shared" ref="AJ83:AJ146" si="95">IMSUM(COMPLEX(1,0),IMDIV(COMPLEX(0,2*PI()*O83),COMPLEX(wp1_ea,0)))</f>
        <v>1+0,00217085218713931i</v>
      </c>
      <c r="AK83">
        <f t="shared" si="78"/>
        <v>1.0000023562968332</v>
      </c>
      <c r="AL83">
        <f t="shared" si="79"/>
        <v>2.1708487770301789E-3</v>
      </c>
      <c r="AM83" t="str">
        <f t="shared" ref="AM83:AM146" si="96">IMSUM(COMPLEX(1,0),IMDIV(COMPLEX(0,2*PI()*O83),COMPLEX(wz_ea,0)))</f>
        <v>1+0,317931170316493i</v>
      </c>
      <c r="AN83">
        <f t="shared" si="80"/>
        <v>1.0493237007991456</v>
      </c>
      <c r="AO83">
        <f t="shared" si="81"/>
        <v>0.30782515935235671</v>
      </c>
      <c r="AP83" s="42" t="str">
        <f t="shared" si="82"/>
        <v>-2,91475404196293+9,23727771995618i</v>
      </c>
      <c r="AQ83">
        <f t="shared" si="83"/>
        <v>19.723097357481581</v>
      </c>
      <c r="AR83" s="44">
        <f t="shared" si="84"/>
        <v>107.51270198594707</v>
      </c>
      <c r="AS83" s="42" t="str">
        <f t="shared" si="85"/>
        <v>434,013228567649+214,730685280331i</v>
      </c>
      <c r="AT83" s="20">
        <f t="shared" si="86"/>
        <v>53.700997854475432</v>
      </c>
      <c r="AU83" s="44">
        <f t="shared" si="87"/>
        <v>26.32418394458502</v>
      </c>
    </row>
    <row r="84" spans="14:47" x14ac:dyDescent="0.3">
      <c r="N84" s="8">
        <v>66</v>
      </c>
      <c r="O84" s="35">
        <f t="shared" ref="O84:O118" si="97">10^(1+(N84/100))</f>
        <v>45.70881896148753</v>
      </c>
      <c r="P84" s="34" t="str">
        <f t="shared" si="88"/>
        <v>324,571428571429</v>
      </c>
      <c r="Q84" s="4" t="str">
        <f t="shared" si="89"/>
        <v>1+6,56450239331086i</v>
      </c>
      <c r="R84" s="4">
        <f t="shared" ref="R84:R147" si="98">IMABS(Q84)</f>
        <v>6.6402328025291419</v>
      </c>
      <c r="S84" s="4">
        <f t="shared" ref="S84:S147" si="99">IMARGUMENT(Q84)</f>
        <v>1.4196240634608386</v>
      </c>
      <c r="T84" s="4" t="str">
        <f t="shared" si="90"/>
        <v>1+0,00005743939594147i</v>
      </c>
      <c r="U84" s="4">
        <f t="shared" ref="U84:U147" si="100">IMABS(T84)</f>
        <v>1.000000001649642</v>
      </c>
      <c r="V84" s="4">
        <f t="shared" ref="V84:V147" si="101">IMARGUMENT(T84)</f>
        <v>5.7439395878300373E-5</v>
      </c>
      <c r="W84" t="str">
        <f t="shared" si="91"/>
        <v>1-0,000498605867547483i</v>
      </c>
      <c r="X84" s="4">
        <f t="shared" ref="X84:X147" si="102">IMABS(W84)</f>
        <v>1.0000001243038978</v>
      </c>
      <c r="Y84" s="4">
        <f t="shared" ref="Y84:Y147" si="103">IMARGUMENT(W84)</f>
        <v>-4.986058262283847E-4</v>
      </c>
      <c r="Z84" t="str">
        <f t="shared" si="92"/>
        <v>0,999999991642816+0,000427504670835211i</v>
      </c>
      <c r="AA84" s="4">
        <f t="shared" ref="AA84:AA147" si="104">IMABS(Z84)</f>
        <v>1.0000000830229345</v>
      </c>
      <c r="AB84" s="4">
        <f t="shared" ref="AB84:AB147" si="105">IMARGUMENT(Z84)</f>
        <v>4.2750464836432912E-4</v>
      </c>
      <c r="AC84" s="48" t="str">
        <f t="shared" ref="AC84:AC147" si="106">(IMDIV(IMPRODUCT(P84,T84,W84),IMPRODUCT(Q84,Z84)))</f>
        <v>7,31913779811608-48,3284433823272i</v>
      </c>
      <c r="AD84" s="20">
        <f t="shared" ref="AD84:AD147" si="107">20*LOG(IMABS(AC84))</f>
        <v>33.782539998670927</v>
      </c>
      <c r="AE84" s="44">
        <f t="shared" ref="AE84:AE147" si="108">(180/PI())*IMARGUMENT(AC84)</f>
        <v>-81.388238518113596</v>
      </c>
      <c r="AF84" t="str">
        <f t="shared" si="93"/>
        <v>-0,0000125211169631323</v>
      </c>
      <c r="AG84" t="str">
        <f t="shared" si="94"/>
        <v>1,38802300292562E-06i</v>
      </c>
      <c r="AH84">
        <f t="shared" ref="AH84:AH147" si="109">IMABS(AG84)</f>
        <v>1.3880230029256199E-6</v>
      </c>
      <c r="AI84">
        <f t="shared" ref="AI84:AI147" si="110">IMARGUMENT(AG84)</f>
        <v>1.5707963267948966</v>
      </c>
      <c r="AJ84" t="str">
        <f t="shared" si="95"/>
        <v>1+0,002221417830377i</v>
      </c>
      <c r="AK84">
        <f t="shared" ref="AK84:AK147" si="111">IMABS(AJ84)</f>
        <v>1.0000024673455448</v>
      </c>
      <c r="AL84">
        <f t="shared" ref="AL84:AL147" si="112">IMARGUMENT(AJ84)</f>
        <v>2.22141417637972E-3</v>
      </c>
      <c r="AM84" t="str">
        <f t="shared" si="96"/>
        <v>1+0,325336738612486i</v>
      </c>
      <c r="AN84">
        <f t="shared" ref="AN84:AN147" si="113">IMABS(AM84)</f>
        <v>1.0515911722199884</v>
      </c>
      <c r="AO84">
        <f t="shared" ref="AO84:AO147" si="114">IMARGUMENT(AM84)</f>
        <v>0.31453643748875026</v>
      </c>
      <c r="AP84" s="42" t="str">
        <f t="shared" ref="AP84:AP147" si="115">IMPRODUCT(AF84,IMDIV(AM84,IMPRODUCT(AG84,AJ84)))</f>
        <v>-2,9147533946052+9,02730302471061i</v>
      </c>
      <c r="AQ84">
        <f t="shared" ref="AQ84:AQ147" si="116">20*LOG(IMABS(AP84))</f>
        <v>19.541845381207366</v>
      </c>
      <c r="AR84" s="44">
        <f t="shared" ref="AR84:AR147" si="117">(180/PI())*IMARGUMENT(AP84)</f>
        <v>107.89433271432875</v>
      </c>
      <c r="AS84" s="42" t="str">
        <f t="shared" ref="AS84:AS147" si="118">IMPRODUCT(AC84,AP84)</f>
        <v>414,942021382196+206,93756918783i</v>
      </c>
      <c r="AT84" s="20">
        <f t="shared" ref="AT84:AT147" si="119">20*LOG(IMABS(AS84))</f>
        <v>53.324385379878301</v>
      </c>
      <c r="AU84" s="44">
        <f t="shared" ref="AU84:AU147" si="120">(180/PI())*IMARGUMENT(AS84)</f>
        <v>26.506094196215091</v>
      </c>
    </row>
    <row r="85" spans="14:47" x14ac:dyDescent="0.3">
      <c r="N85" s="8">
        <v>67</v>
      </c>
      <c r="O85" s="35">
        <f t="shared" si="97"/>
        <v>46.773514128719818</v>
      </c>
      <c r="P85" s="34" t="str">
        <f t="shared" si="88"/>
        <v>324,571428571429</v>
      </c>
      <c r="Q85" s="4" t="str">
        <f t="shared" si="89"/>
        <v>1+6,71740929688523i</v>
      </c>
      <c r="R85" s="4">
        <f t="shared" si="98"/>
        <v>6.7914348750378313</v>
      </c>
      <c r="S85" s="4">
        <f t="shared" si="99"/>
        <v>1.4230147143795178</v>
      </c>
      <c r="T85" s="4" t="str">
        <f t="shared" si="90"/>
        <v>1+0,0000587773313477458i</v>
      </c>
      <c r="U85" s="4">
        <f t="shared" si="100"/>
        <v>1.0000000017273873</v>
      </c>
      <c r="V85" s="4">
        <f t="shared" si="101"/>
        <v>5.877733128005832E-5</v>
      </c>
      <c r="W85" t="str">
        <f t="shared" si="91"/>
        <v>1-0,000510219890171405i</v>
      </c>
      <c r="X85" s="4">
        <f t="shared" si="102"/>
        <v>1.0000001301621597</v>
      </c>
      <c r="Y85" s="4">
        <f t="shared" si="103"/>
        <v>-5.1021984589719389E-4</v>
      </c>
      <c r="Z85" t="str">
        <f t="shared" si="92"/>
        <v>0,999999991248954+0,000437462533832962i</v>
      </c>
      <c r="AA85" s="4">
        <f t="shared" si="104"/>
        <v>1.0000000869356847</v>
      </c>
      <c r="AB85" s="4">
        <f t="shared" si="105"/>
        <v>4.3746250975497842E-4</v>
      </c>
      <c r="AC85" s="48" t="str">
        <f t="shared" si="106"/>
        <v>6,99497307950604-47,2766103443354i</v>
      </c>
      <c r="AD85" s="20">
        <f t="shared" si="107"/>
        <v>33.586975321410705</v>
      </c>
      <c r="AE85" s="44">
        <f t="shared" si="108"/>
        <v>-81.583667825245158</v>
      </c>
      <c r="AF85" t="str">
        <f t="shared" si="93"/>
        <v>-0,0000125211169631323</v>
      </c>
      <c r="AG85" t="str">
        <f t="shared" si="94"/>
        <v>1,42035421201828E-06i</v>
      </c>
      <c r="AH85">
        <f t="shared" si="109"/>
        <v>1.4203542120182799E-6</v>
      </c>
      <c r="AI85">
        <f t="shared" si="110"/>
        <v>1.5707963267948966</v>
      </c>
      <c r="AJ85" t="str">
        <f t="shared" si="95"/>
        <v>1+0,0022731612987523i</v>
      </c>
      <c r="AK85">
        <f t="shared" si="111"/>
        <v>1.0000025836278075</v>
      </c>
      <c r="AL85">
        <f t="shared" si="112"/>
        <v>2.2731573834242195E-3</v>
      </c>
      <c r="AM85" t="str">
        <f t="shared" si="96"/>
        <v>1+0,332914804753632i</v>
      </c>
      <c r="AN85">
        <f t="shared" si="113"/>
        <v>1.0539602778208241</v>
      </c>
      <c r="AO85">
        <f t="shared" si="114"/>
        <v>0.32137383139192705</v>
      </c>
      <c r="AP85" s="42" t="str">
        <f t="shared" si="115"/>
        <v>-2,91475271673873+8,82211472488364i</v>
      </c>
      <c r="AQ85">
        <f t="shared" si="116"/>
        <v>19.361390603108056</v>
      </c>
      <c r="AR85" s="44">
        <f t="shared" si="117"/>
        <v>108.28312186046706</v>
      </c>
      <c r="AS85" s="42" t="str">
        <f t="shared" si="118"/>
        <v>396,691063474343+199,510083444225i</v>
      </c>
      <c r="AT85" s="20">
        <f t="shared" si="119"/>
        <v>52.948365924518754</v>
      </c>
      <c r="AU85" s="44">
        <f t="shared" si="120"/>
        <v>26.69945403522193</v>
      </c>
    </row>
    <row r="86" spans="14:47" x14ac:dyDescent="0.3">
      <c r="N86" s="8">
        <v>68</v>
      </c>
      <c r="O86" s="35">
        <f t="shared" si="97"/>
        <v>47.863009232263877</v>
      </c>
      <c r="P86" s="34" t="str">
        <f t="shared" si="88"/>
        <v>324,571428571429</v>
      </c>
      <c r="Q86" s="4" t="str">
        <f t="shared" si="89"/>
        <v>1+6,87387785978425i</v>
      </c>
      <c r="R86" s="4">
        <f t="shared" si="98"/>
        <v>6.9462361629325642</v>
      </c>
      <c r="S86" s="4">
        <f t="shared" si="99"/>
        <v>1.4263314954404014</v>
      </c>
      <c r="T86" s="4" t="str">
        <f t="shared" si="90"/>
        <v>1+0,0000601464312731122i</v>
      </c>
      <c r="U86" s="4">
        <f t="shared" si="100"/>
        <v>1.0000000018087964</v>
      </c>
      <c r="V86" s="4">
        <f t="shared" si="101"/>
        <v>6.014643120058376E-5</v>
      </c>
      <c r="W86" t="str">
        <f t="shared" si="91"/>
        <v>1-0,000522104438134655i</v>
      </c>
      <c r="X86" s="4">
        <f t="shared" si="102"/>
        <v>1.000000136296513</v>
      </c>
      <c r="Y86" s="4">
        <f t="shared" si="103"/>
        <v>-5.2210439069398336E-4</v>
      </c>
      <c r="Z86" t="str">
        <f t="shared" si="92"/>
        <v>0,999999990836529+0,000447652345256652i</v>
      </c>
      <c r="AA86" s="4">
        <f t="shared" si="104"/>
        <v>1.0000000910328359</v>
      </c>
      <c r="AB86" s="4">
        <f t="shared" si="105"/>
        <v>4.4765231945662829E-4</v>
      </c>
      <c r="AC86" s="48" t="str">
        <f t="shared" si="106"/>
        <v>6,68477916922639-46,2455890097594i</v>
      </c>
      <c r="AD86" s="20">
        <f t="shared" si="107"/>
        <v>33.391215255973286</v>
      </c>
      <c r="AE86" s="44">
        <f t="shared" si="108"/>
        <v>-81.774891705303773</v>
      </c>
      <c r="AF86" t="str">
        <f t="shared" si="93"/>
        <v>-0,0000125211169631323</v>
      </c>
      <c r="AG86" t="str">
        <f t="shared" si="94"/>
        <v>1,45343851171476E-06i</v>
      </c>
      <c r="AH86">
        <f t="shared" si="109"/>
        <v>1.45343851171476E-6</v>
      </c>
      <c r="AI86">
        <f t="shared" si="110"/>
        <v>1.5707963267948966</v>
      </c>
      <c r="AJ86" t="str">
        <f t="shared" si="95"/>
        <v>1+0,00232611002733705i</v>
      </c>
      <c r="AK86">
        <f t="shared" si="111"/>
        <v>1.00000270539027</v>
      </c>
      <c r="AL86">
        <f t="shared" si="112"/>
        <v>2.3261058319880381E-3</v>
      </c>
      <c r="AM86" t="str">
        <f t="shared" si="96"/>
        <v>1+0,340669386730908i</v>
      </c>
      <c r="AN86">
        <f t="shared" si="113"/>
        <v>1.0564353416350727</v>
      </c>
      <c r="AO86">
        <f t="shared" si="114"/>
        <v>0.32833840828479682</v>
      </c>
      <c r="AP86" s="42" t="str">
        <f t="shared" si="115"/>
        <v>-2,91475200692577+8,62160402691302i</v>
      </c>
      <c r="AQ86">
        <f t="shared" si="116"/>
        <v>19.181763110334359</v>
      </c>
      <c r="AR86" s="44">
        <f t="shared" si="117"/>
        <v>108.67912899988842</v>
      </c>
      <c r="AS86" s="42" t="str">
        <f t="shared" si="118"/>
        <v>379,226682934148+192,427942382087i</v>
      </c>
      <c r="AT86" s="20">
        <f t="shared" si="119"/>
        <v>52.572978366307638</v>
      </c>
      <c r="AU86" s="44">
        <f t="shared" si="120"/>
        <v>26.90423729458465</v>
      </c>
    </row>
    <row r="87" spans="14:47" x14ac:dyDescent="0.3">
      <c r="N87" s="8">
        <v>69</v>
      </c>
      <c r="O87" s="35">
        <f t="shared" si="97"/>
        <v>48.977881936844632</v>
      </c>
      <c r="P87" s="34" t="str">
        <f t="shared" si="88"/>
        <v>324,571428571429</v>
      </c>
      <c r="Q87" s="4" t="str">
        <f t="shared" si="89"/>
        <v>1+7,03399104371106i</v>
      </c>
      <c r="R87" s="4">
        <f t="shared" si="98"/>
        <v>7.1047188546069444</v>
      </c>
      <c r="S87" s="4">
        <f t="shared" si="99"/>
        <v>1.4295758731888415</v>
      </c>
      <c r="T87" s="4" t="str">
        <f t="shared" si="90"/>
        <v>1+0,0000615474216324718i</v>
      </c>
      <c r="U87" s="4">
        <f t="shared" si="100"/>
        <v>1.0000000018940425</v>
      </c>
      <c r="V87" s="4">
        <f t="shared" si="101"/>
        <v>6.1547421554756176E-5</v>
      </c>
      <c r="W87" t="str">
        <f t="shared" si="91"/>
        <v>1-0,000534265812781873i</v>
      </c>
      <c r="X87" s="4">
        <f t="shared" si="102"/>
        <v>1.0000001427199692</v>
      </c>
      <c r="Y87" s="4">
        <f t="shared" si="103"/>
        <v>-5.3426576194827782E-4</v>
      </c>
      <c r="Z87" t="str">
        <f t="shared" si="92"/>
        <v>0,999999990404668+0,000458079507879178i</v>
      </c>
      <c r="AA87" s="4">
        <f t="shared" si="104"/>
        <v>1.0000000953230812</v>
      </c>
      <c r="AB87" s="4">
        <f t="shared" si="105"/>
        <v>4.5807948023395467E-4</v>
      </c>
      <c r="AC87" s="48" t="str">
        <f t="shared" si="106"/>
        <v>6,38798008629607-45,2351050640307i</v>
      </c>
      <c r="AD87" s="20">
        <f t="shared" si="107"/>
        <v>33.195268231477428</v>
      </c>
      <c r="AE87" s="44">
        <f t="shared" si="108"/>
        <v>-81.961994814151922</v>
      </c>
      <c r="AF87" t="str">
        <f t="shared" si="93"/>
        <v>-0,0000125211169631323</v>
      </c>
      <c r="AG87" t="str">
        <f t="shared" si="94"/>
        <v>1,48729344374868E-06i</v>
      </c>
      <c r="AH87">
        <f t="shared" si="109"/>
        <v>1.4872934437486799E-6</v>
      </c>
      <c r="AI87">
        <f t="shared" si="110"/>
        <v>1.5707963267948966</v>
      </c>
      <c r="AJ87" t="str">
        <f t="shared" si="95"/>
        <v>1+0,002380292090248i</v>
      </c>
      <c r="AK87">
        <f t="shared" si="111"/>
        <v>1.0000028328912047</v>
      </c>
      <c r="AL87">
        <f t="shared" si="112"/>
        <v>2.3802875948512295E-3</v>
      </c>
      <c r="AM87" t="str">
        <f t="shared" si="96"/>
        <v>1+0,34860459612632i</v>
      </c>
      <c r="AN87">
        <f t="shared" si="113"/>
        <v>1.0590208517495747</v>
      </c>
      <c r="AO87">
        <f t="shared" si="114"/>
        <v>0.33543115742859053</v>
      </c>
      <c r="AP87" s="42" t="str">
        <f t="shared" si="115"/>
        <v>-2,91475126366072+8,42566461736225i</v>
      </c>
      <c r="AQ87">
        <f t="shared" si="116"/>
        <v>19.002993798426807</v>
      </c>
      <c r="AR87" s="44">
        <f t="shared" si="117"/>
        <v>109.08240920463422</v>
      </c>
      <c r="AS87" s="42" t="str">
        <f t="shared" si="118"/>
        <v>362,516451171896+185,672057436728i</v>
      </c>
      <c r="AT87" s="20">
        <f t="shared" si="119"/>
        <v>52.198262029904221</v>
      </c>
      <c r="AU87" s="44">
        <f t="shared" si="120"/>
        <v>27.120414390482289</v>
      </c>
    </row>
    <row r="88" spans="14:47" x14ac:dyDescent="0.3">
      <c r="N88" s="8">
        <v>70</v>
      </c>
      <c r="O88" s="35">
        <f t="shared" si="97"/>
        <v>50.118723362727238</v>
      </c>
      <c r="P88" s="34" t="str">
        <f t="shared" si="88"/>
        <v>324,571428571429</v>
      </c>
      <c r="Q88" s="4" t="str">
        <f t="shared" si="89"/>
        <v>1+7,19783374279511i</v>
      </c>
      <c r="R88" s="4">
        <f t="shared" si="98"/>
        <v>7.2669670832418012</v>
      </c>
      <c r="S88" s="4">
        <f t="shared" si="99"/>
        <v>1.4327492944920772</v>
      </c>
      <c r="T88" s="4" t="str">
        <f t="shared" si="90"/>
        <v>1+0,0000629810452494572i</v>
      </c>
      <c r="U88" s="4">
        <f t="shared" si="100"/>
        <v>1.000000001983306</v>
      </c>
      <c r="V88" s="4">
        <f t="shared" si="101"/>
        <v>6.2981045166183414E-5</v>
      </c>
      <c r="W88" t="str">
        <f t="shared" si="91"/>
        <v>1-0,000546710462234872i</v>
      </c>
      <c r="X88" s="4">
        <f t="shared" si="102"/>
        <v>1.0000001494461537</v>
      </c>
      <c r="Y88" s="4">
        <f t="shared" si="103"/>
        <v>-5.4671040776569388E-4</v>
      </c>
      <c r="Z88" t="str">
        <f t="shared" si="92"/>
        <v>0,999999989952454+0,000468749550320178i</v>
      </c>
      <c r="AA88" s="4">
        <f t="shared" si="104"/>
        <v>1.0000000998155196</v>
      </c>
      <c r="AB88" s="4">
        <f t="shared" si="105"/>
        <v>4.6874952069778764E-4</v>
      </c>
      <c r="AC88" s="48" t="str">
        <f t="shared" si="106"/>
        <v>6,10402133481324-44,2448781315083i</v>
      </c>
      <c r="AD88" s="20">
        <f t="shared" si="107"/>
        <v>32.999142328822309</v>
      </c>
      <c r="AE88" s="44">
        <f t="shared" si="108"/>
        <v>-82.145060694830576</v>
      </c>
      <c r="AF88" t="str">
        <f t="shared" si="93"/>
        <v>-0,0000125211169631323</v>
      </c>
      <c r="AG88" t="str">
        <f t="shared" si="94"/>
        <v>1,52193695845313E-06i</v>
      </c>
      <c r="AH88">
        <f t="shared" si="109"/>
        <v>1.52193695845313E-6</v>
      </c>
      <c r="AI88">
        <f t="shared" si="110"/>
        <v>1.5707963267948966</v>
      </c>
      <c r="AJ88" t="str">
        <f t="shared" si="95"/>
        <v>1+0,00243573621553208i</v>
      </c>
      <c r="AK88">
        <f t="shared" si="111"/>
        <v>1.0000029664010561</v>
      </c>
      <c r="AL88">
        <f t="shared" si="112"/>
        <v>2.4357313986284276E-3</v>
      </c>
      <c r="AM88" t="str">
        <f t="shared" si="96"/>
        <v>1+0,356724640292926i</v>
      </c>
      <c r="AN88">
        <f t="shared" si="113"/>
        <v>1.0617214648824416</v>
      </c>
      <c r="AO88">
        <f t="shared" si="114"/>
        <v>0.34265298404676225</v>
      </c>
      <c r="AP88" s="42" t="str">
        <f t="shared" si="115"/>
        <v>-2,91475048536707+8,23419260655166i</v>
      </c>
      <c r="AQ88">
        <f t="shared" si="116"/>
        <v>18.825114364857757</v>
      </c>
      <c r="AR88" s="44">
        <f t="shared" si="117"/>
        <v>109.4930126942741</v>
      </c>
      <c r="AS88" s="42" t="str">
        <f t="shared" si="118"/>
        <v>346,529149239907+179,224467354173i</v>
      </c>
      <c r="AT88" s="20">
        <f t="shared" si="119"/>
        <v>51.82425669368007</v>
      </c>
      <c r="AU88" s="44">
        <f t="shared" si="120"/>
        <v>27.34795199944346</v>
      </c>
    </row>
    <row r="89" spans="14:47" x14ac:dyDescent="0.3">
      <c r="N89" s="8">
        <v>71</v>
      </c>
      <c r="O89" s="35">
        <f t="shared" si="97"/>
        <v>51.28613839913649</v>
      </c>
      <c r="P89" s="34" t="str">
        <f t="shared" si="88"/>
        <v>324,571428571429</v>
      </c>
      <c r="Q89" s="4" t="str">
        <f t="shared" si="89"/>
        <v>1+7,36549282860418i</v>
      </c>
      <c r="R89" s="4">
        <f t="shared" si="98"/>
        <v>7.4330669718642781</v>
      </c>
      <c r="S89" s="4">
        <f t="shared" si="99"/>
        <v>1.4358531861399704</v>
      </c>
      <c r="T89" s="4" t="str">
        <f t="shared" si="90"/>
        <v>1+0,0000644480622502866i</v>
      </c>
      <c r="U89" s="4">
        <f t="shared" si="100"/>
        <v>1.0000000020767763</v>
      </c>
      <c r="V89" s="4">
        <f t="shared" si="101"/>
        <v>6.4448062161057121E-5</v>
      </c>
      <c r="W89" t="str">
        <f t="shared" si="91"/>
        <v>1-0,000559444984811516i</v>
      </c>
      <c r="X89" s="4">
        <f t="shared" si="102"/>
        <v>1.0000001564893333</v>
      </c>
      <c r="Y89" s="4">
        <f t="shared" si="103"/>
        <v>-5.5944492644674059E-4</v>
      </c>
      <c r="Z89" t="str">
        <f t="shared" si="92"/>
        <v>0,999999989478928+0,000479668129977393i</v>
      </c>
      <c r="AA89" s="4">
        <f t="shared" si="104"/>
        <v>1.0000001045196802</v>
      </c>
      <c r="AB89" s="4">
        <f t="shared" si="105"/>
        <v>4.7966809823642988E-4</v>
      </c>
      <c r="AC89" s="48" t="str">
        <f t="shared" si="106"/>
        <v>5,83236930152518-43,2746226304297i</v>
      </c>
      <c r="AD89" s="20">
        <f t="shared" si="107"/>
        <v>32.802845293739352</v>
      </c>
      <c r="AE89" s="44">
        <f t="shared" si="108"/>
        <v>-82.324171755024295</v>
      </c>
      <c r="AF89" t="str">
        <f t="shared" si="93"/>
        <v>-0,0000125211169631323</v>
      </c>
      <c r="AG89" t="str">
        <f t="shared" si="94"/>
        <v>1,55738742427818E-06i</v>
      </c>
      <c r="AH89">
        <f t="shared" si="109"/>
        <v>1.55738742427818E-6</v>
      </c>
      <c r="AI89">
        <f t="shared" si="110"/>
        <v>1.5707963267948966</v>
      </c>
      <c r="AJ89" t="str">
        <f t="shared" si="95"/>
        <v>1+0,00249247180039842i</v>
      </c>
      <c r="AK89">
        <f t="shared" si="111"/>
        <v>1.0000031062030137</v>
      </c>
      <c r="AL89">
        <f t="shared" si="112"/>
        <v>2.4924666389940305E-3</v>
      </c>
      <c r="AM89" t="str">
        <f t="shared" si="96"/>
        <v>1+0,365033824585623i</v>
      </c>
      <c r="AN89">
        <f t="shared" si="113"/>
        <v>1.0645420109566401</v>
      </c>
      <c r="AO89">
        <f t="shared" si="114"/>
        <v>0.35000470308033693</v>
      </c>
      <c r="AP89" s="42" t="str">
        <f t="shared" si="115"/>
        <v>-2,91474967039399+8,0470864734747i</v>
      </c>
      <c r="AQ89">
        <f t="shared" si="116"/>
        <v>18.648157299664629</v>
      </c>
      <c r="AR89" s="44">
        <f t="shared" si="117"/>
        <v>109.91098447724131</v>
      </c>
      <c r="AS89" s="42" t="str">
        <f t="shared" si="118"/>
        <v>331,234733914816+173,068272163082i</v>
      </c>
      <c r="AT89" s="20">
        <f t="shared" si="119"/>
        <v>51.45100259340397</v>
      </c>
      <c r="AU89" s="44">
        <f t="shared" si="120"/>
        <v>27.586812722217111</v>
      </c>
    </row>
    <row r="90" spans="14:47" x14ac:dyDescent="0.3">
      <c r="N90" s="8">
        <v>72</v>
      </c>
      <c r="O90" s="35">
        <f t="shared" si="97"/>
        <v>52.480746024977286</v>
      </c>
      <c r="P90" s="34" t="str">
        <f t="shared" si="88"/>
        <v>324,571428571429</v>
      </c>
      <c r="Q90" s="4" t="str">
        <f t="shared" si="89"/>
        <v>1+7,53705719620482i</v>
      </c>
      <c r="R90" s="4">
        <f t="shared" si="98"/>
        <v>7.603106679434589</v>
      </c>
      <c r="S90" s="4">
        <f t="shared" si="99"/>
        <v>1.4388889545043584</v>
      </c>
      <c r="T90" s="4" t="str">
        <f t="shared" si="90"/>
        <v>1+0,0000659492504667922i</v>
      </c>
      <c r="U90" s="4">
        <f t="shared" si="100"/>
        <v>1.0000000021746518</v>
      </c>
      <c r="V90" s="4">
        <f t="shared" si="101"/>
        <v>6.5949250371181105E-5</v>
      </c>
      <c r="W90" t="str">
        <f t="shared" si="91"/>
        <v>1-0,000572476132524238i</v>
      </c>
      <c r="X90" s="4">
        <f t="shared" si="102"/>
        <v>1.0000001638644478</v>
      </c>
      <c r="Y90" s="4">
        <f t="shared" si="103"/>
        <v>-5.7247606998525504E-4</v>
      </c>
      <c r="Z90" t="str">
        <f t="shared" si="92"/>
        <v>0,999999988983085+0,000490841036026281i</v>
      </c>
      <c r="AA90" s="4">
        <f t="shared" si="104"/>
        <v>1.0000001094455404</v>
      </c>
      <c r="AB90" s="4">
        <f t="shared" si="105"/>
        <v>4.9084100201522663E-4</v>
      </c>
      <c r="AC90" s="48" t="str">
        <f t="shared" si="106"/>
        <v>5,57251065163741-42,3240485711803i</v>
      </c>
      <c r="AD90" s="20">
        <f t="shared" si="107"/>
        <v>32.606384549472615</v>
      </c>
      <c r="AE90" s="44">
        <f t="shared" si="108"/>
        <v>-82.499409247892785</v>
      </c>
      <c r="AF90" t="str">
        <f t="shared" si="93"/>
        <v>-0,0000125211169631323</v>
      </c>
      <c r="AG90" t="str">
        <f t="shared" si="94"/>
        <v>1,59366363753003E-06i</v>
      </c>
      <c r="AH90">
        <f t="shared" si="109"/>
        <v>1.59366363753003E-6</v>
      </c>
      <c r="AI90">
        <f t="shared" si="110"/>
        <v>1.5707963267948966</v>
      </c>
      <c r="AJ90" t="str">
        <f t="shared" si="95"/>
        <v>1+0,0025505289268051i</v>
      </c>
      <c r="AK90">
        <f t="shared" si="111"/>
        <v>1.0000032525936136</v>
      </c>
      <c r="AL90">
        <f t="shared" si="112"/>
        <v>2.5505233962616262E-3</v>
      </c>
      <c r="AM90" t="str">
        <f t="shared" si="96"/>
        <v>1+0,373536554643911i</v>
      </c>
      <c r="AN90">
        <f t="shared" si="113"/>
        <v>1.0674874976575808</v>
      </c>
      <c r="AO90">
        <f t="shared" si="114"/>
        <v>0.35748703278910782</v>
      </c>
      <c r="AP90" s="42" t="str">
        <f t="shared" si="115"/>
        <v>-2,91474881701294+7,86424701197032i</v>
      </c>
      <c r="AQ90">
        <f t="shared" si="116"/>
        <v>18.472155872968031</v>
      </c>
      <c r="AR90" s="44">
        <f t="shared" si="117"/>
        <v>110.33636398331556</v>
      </c>
      <c r="AS90" s="42" t="str">
        <f t="shared" si="118"/>
        <v>316,604303680739+167,187570745358i</v>
      </c>
      <c r="AT90" s="20">
        <f t="shared" si="119"/>
        <v>51.078540422440639</v>
      </c>
      <c r="AU90" s="44">
        <f t="shared" si="120"/>
        <v>27.836954735422761</v>
      </c>
    </row>
    <row r="91" spans="14:47" x14ac:dyDescent="0.3">
      <c r="N91" s="8">
        <v>73</v>
      </c>
      <c r="O91" s="35">
        <f t="shared" si="97"/>
        <v>53.703179637025293</v>
      </c>
      <c r="P91" s="34" t="str">
        <f t="shared" si="88"/>
        <v>324,571428571429</v>
      </c>
      <c r="Q91" s="4" t="str">
        <f t="shared" si="89"/>
        <v>1+7,71261781129561i</v>
      </c>
      <c r="R91" s="4">
        <f t="shared" si="98"/>
        <v>7.7771764479863963</v>
      </c>
      <c r="S91" s="4">
        <f t="shared" si="99"/>
        <v>1.441857985253101</v>
      </c>
      <c r="T91" s="4" t="str">
        <f t="shared" si="90"/>
        <v>1+0,0000674854058488366i</v>
      </c>
      <c r="U91" s="4">
        <f t="shared" si="100"/>
        <v>1.00000000227714</v>
      </c>
      <c r="V91" s="4">
        <f t="shared" si="101"/>
        <v>6.7485405746387452E-5</v>
      </c>
      <c r="W91" t="str">
        <f t="shared" si="91"/>
        <v>1-0,00058581081466004i</v>
      </c>
      <c r="X91" s="4">
        <f t="shared" si="102"/>
        <v>1.0000001715871405</v>
      </c>
      <c r="Y91" s="4">
        <f t="shared" si="103"/>
        <v>-5.8581074764831303E-4</v>
      </c>
      <c r="Z91" t="str">
        <f t="shared" si="92"/>
        <v>0,999999988463874+0,000502274192489518i</v>
      </c>
      <c r="AA91" s="4">
        <f t="shared" si="104"/>
        <v>1.0000001146035495</v>
      </c>
      <c r="AB91" s="4">
        <f t="shared" si="105"/>
        <v>5.0227415604601664E-4</v>
      </c>
      <c r="AC91" s="48" t="str">
        <f t="shared" si="106"/>
        <v>5,32395172509243-41,3928623005971i</v>
      </c>
      <c r="AD91" s="20">
        <f t="shared" si="107"/>
        <v>32.409767209086588</v>
      </c>
      <c r="AE91" s="44">
        <f t="shared" si="108"/>
        <v>-82.670853256044367</v>
      </c>
      <c r="AF91" t="str">
        <f t="shared" si="93"/>
        <v>-0,0000125211169631323</v>
      </c>
      <c r="AG91" t="str">
        <f t="shared" si="94"/>
        <v>1,63078483233714E-06i</v>
      </c>
      <c r="AH91">
        <f t="shared" si="109"/>
        <v>1.63078483233714E-6</v>
      </c>
      <c r="AI91">
        <f t="shared" si="110"/>
        <v>1.5707963267948966</v>
      </c>
      <c r="AJ91" t="str">
        <f t="shared" si="95"/>
        <v>1+0,00260993837740901i</v>
      </c>
      <c r="AK91">
        <f t="shared" si="111"/>
        <v>1.0000034058833669</v>
      </c>
      <c r="AL91">
        <f t="shared" si="112"/>
        <v>2.6099324513259993E-3</v>
      </c>
      <c r="AM91" t="str">
        <f t="shared" si="96"/>
        <v>1+0,38223733872781i</v>
      </c>
      <c r="AN91">
        <f t="shared" si="113"/>
        <v>1.0705631149622701</v>
      </c>
      <c r="AO91">
        <f t="shared" si="114"/>
        <v>0.36510058821545616</v>
      </c>
      <c r="AP91" s="42" t="str">
        <f t="shared" si="115"/>
        <v>-2,91474792341378+7,68557727812203i</v>
      </c>
      <c r="AQ91">
        <f t="shared" si="116"/>
        <v>18.29714411916699</v>
      </c>
      <c r="AR91" s="44">
        <f t="shared" si="117"/>
        <v>110.76918468821421</v>
      </c>
      <c r="AS91" s="42" t="str">
        <f t="shared" si="118"/>
        <v>302,610064738835+161,567401843007i</v>
      </c>
      <c r="AT91" s="20">
        <f t="shared" si="119"/>
        <v>50.706911328253589</v>
      </c>
      <c r="AU91" s="44">
        <f t="shared" si="120"/>
        <v>28.098331432169825</v>
      </c>
    </row>
    <row r="92" spans="14:47" x14ac:dyDescent="0.3">
      <c r="N92" s="8">
        <v>74</v>
      </c>
      <c r="O92" s="35">
        <f t="shared" si="97"/>
        <v>54.95408738576247</v>
      </c>
      <c r="P92" s="34" t="str">
        <f t="shared" si="88"/>
        <v>324,571428571429</v>
      </c>
      <c r="Q92" s="4" t="str">
        <f t="shared" si="89"/>
        <v>1+7,89226775843854i</v>
      </c>
      <c r="R92" s="4">
        <f t="shared" si="98"/>
        <v>7.9553686508475838</v>
      </c>
      <c r="S92" s="4">
        <f t="shared" si="99"/>
        <v>1.4447616431150907</v>
      </c>
      <c r="T92" s="4" t="str">
        <f t="shared" si="90"/>
        <v>1+0,0000690573428863372i</v>
      </c>
      <c r="U92" s="4">
        <f t="shared" si="100"/>
        <v>1.0000000023844582</v>
      </c>
      <c r="V92" s="4">
        <f t="shared" si="101"/>
        <v>6.905734277656096E-5</v>
      </c>
      <c r="W92" t="str">
        <f t="shared" si="91"/>
        <v>1-0,000599456101443899i</v>
      </c>
      <c r="X92" s="4">
        <f t="shared" si="102"/>
        <v>1.0000001796737927</v>
      </c>
      <c r="Y92" s="4">
        <f t="shared" si="103"/>
        <v>-5.9945602963954055E-4</v>
      </c>
      <c r="Z92" t="str">
        <f t="shared" si="92"/>
        <v>0,999999987920193+0,000513973661377999i</v>
      </c>
      <c r="AA92" s="4">
        <f t="shared" si="104"/>
        <v>1.000000120004648</v>
      </c>
      <c r="AB92" s="4">
        <f t="shared" si="105"/>
        <v>5.1397362232808406E-4</v>
      </c>
      <c r="AC92" s="48" t="str">
        <f t="shared" si="106"/>
        <v>5,08621793530542-40,4807671949715i</v>
      </c>
      <c r="AD92" s="20">
        <f t="shared" si="107"/>
        <v>32.21300008740269</v>
      </c>
      <c r="AE92" s="44">
        <f t="shared" si="108"/>
        <v>-82.83858267843776</v>
      </c>
      <c r="AF92" t="str">
        <f t="shared" si="93"/>
        <v>-0,0000125211169631323</v>
      </c>
      <c r="AG92" t="str">
        <f t="shared" si="94"/>
        <v>1,66877069084834E-06i</v>
      </c>
      <c r="AH92">
        <f t="shared" si="109"/>
        <v>1.6687706908483399E-6</v>
      </c>
      <c r="AI92">
        <f t="shared" si="110"/>
        <v>1.5707963267948966</v>
      </c>
      <c r="AJ92" t="str">
        <f t="shared" si="95"/>
        <v>1+0,00267073165188725i</v>
      </c>
      <c r="AK92">
        <f t="shared" si="111"/>
        <v>1.0000035663974185</v>
      </c>
      <c r="AL92">
        <f t="shared" si="112"/>
        <v>2.670725301976123E-3</v>
      </c>
      <c r="AM92" t="str">
        <f t="shared" si="96"/>
        <v>1+0,391140790108214i</v>
      </c>
      <c r="AN92">
        <f t="shared" si="113"/>
        <v>1.0737742396269703</v>
      </c>
      <c r="AO92">
        <f t="shared" si="114"/>
        <v>0.37284587453019352</v>
      </c>
      <c r="AP92" s="42" t="str">
        <f t="shared" si="115"/>
        <v>-2,9147469877012+7,51098253885737i</v>
      </c>
      <c r="AQ92">
        <f t="shared" si="116"/>
        <v>18.123156817607764</v>
      </c>
      <c r="AR92" s="44">
        <f t="shared" si="117"/>
        <v>111.20947373140228</v>
      </c>
      <c r="AS92" s="42" t="str">
        <f t="shared" si="118"/>
        <v>289,225297155258+156,193688342279i</v>
      </c>
      <c r="AT92" s="20">
        <f t="shared" si="119"/>
        <v>50.336156905010455</v>
      </c>
      <c r="AU92" s="44">
        <f t="shared" si="120"/>
        <v>28.370891052964527</v>
      </c>
    </row>
    <row r="93" spans="14:47" x14ac:dyDescent="0.3">
      <c r="N93" s="8">
        <v>75</v>
      </c>
      <c r="O93" s="35">
        <f t="shared" si="97"/>
        <v>56.234132519034915</v>
      </c>
      <c r="P93" s="34" t="str">
        <f t="shared" si="88"/>
        <v>324,571428571429</v>
      </c>
      <c r="Q93" s="4" t="str">
        <f t="shared" si="89"/>
        <v>1+8,07610229041349i</v>
      </c>
      <c r="R93" s="4">
        <f t="shared" si="98"/>
        <v>8.1377778419677931</v>
      </c>
      <c r="S93" s="4">
        <f t="shared" si="99"/>
        <v>1.4476012716926716</v>
      </c>
      <c r="T93" s="4" t="str">
        <f t="shared" si="90"/>
        <v>1+0,000070665895041118i</v>
      </c>
      <c r="U93" s="4">
        <f t="shared" si="100"/>
        <v>1.0000000024968343</v>
      </c>
      <c r="V93" s="4">
        <f t="shared" si="101"/>
        <v>7.0665894923490648E-5</v>
      </c>
      <c r="W93" t="str">
        <f t="shared" si="91"/>
        <v>1-0,000613419227787483i</v>
      </c>
      <c r="X93" s="4">
        <f t="shared" si="102"/>
        <v>1.0000001881415568</v>
      </c>
      <c r="Y93" s="4">
        <f t="shared" si="103"/>
        <v>-6.1341915084772746E-4</v>
      </c>
      <c r="Z93" t="str">
        <f t="shared" si="92"/>
        <v>0,999999987350889+0,000525945645904987i</v>
      </c>
      <c r="AA93" s="4">
        <f t="shared" si="104"/>
        <v>1.0000001256602924</v>
      </c>
      <c r="AB93" s="4">
        <f t="shared" si="105"/>
        <v>5.2594560406224987E-4</v>
      </c>
      <c r="AC93" s="48" t="str">
        <f t="shared" si="106"/>
        <v>4,85885317212001-39,587464304351i</v>
      </c>
      <c r="AD93" s="20">
        <f t="shared" si="107"/>
        <v>32.016089712566838</v>
      </c>
      <c r="AE93" s="44">
        <f t="shared" si="108"/>
        <v>-83.002675220008555</v>
      </c>
      <c r="AF93" t="str">
        <f t="shared" si="93"/>
        <v>-0,0000125211169631323</v>
      </c>
      <c r="AG93" t="str">
        <f t="shared" si="94"/>
        <v>1,70764135366862E-06i</v>
      </c>
      <c r="AH93">
        <f t="shared" si="109"/>
        <v>1.70764135366862E-6</v>
      </c>
      <c r="AI93">
        <f t="shared" si="110"/>
        <v>1.5707963267948966</v>
      </c>
      <c r="AJ93" t="str">
        <f t="shared" si="95"/>
        <v>1+0,00273294098363862i</v>
      </c>
      <c r="AK93">
        <f t="shared" si="111"/>
        <v>1.0000037344762369</v>
      </c>
      <c r="AL93">
        <f t="shared" si="112"/>
        <v>2.7329341795876332E-3</v>
      </c>
      <c r="AM93" t="str">
        <f t="shared" si="96"/>
        <v>1+0,400251629512892i</v>
      </c>
      <c r="AN93">
        <f t="shared" si="113"/>
        <v>1.07712643961966</v>
      </c>
      <c r="AO93">
        <f t="shared" si="114"/>
        <v>0.38072328028240821</v>
      </c>
      <c r="AP93" s="42" t="str">
        <f t="shared" si="115"/>
        <v>-2,91474600789048+7,34037022171882i</v>
      </c>
      <c r="AQ93">
        <f t="shared" si="116"/>
        <v>17.950229469522682</v>
      </c>
      <c r="AR93" s="44">
        <f t="shared" si="117"/>
        <v>111.65725152838088</v>
      </c>
      <c r="AS93" s="42" t="str">
        <f t="shared" si="118"/>
        <v>276,424321246652+151,053184679948i</v>
      </c>
      <c r="AT93" s="20">
        <f t="shared" si="119"/>
        <v>49.966319182089521</v>
      </c>
      <c r="AU93" s="44">
        <f t="shared" si="120"/>
        <v>28.654576308372391</v>
      </c>
    </row>
    <row r="94" spans="14:47" x14ac:dyDescent="0.3">
      <c r="N94" s="8">
        <v>76</v>
      </c>
      <c r="O94" s="35">
        <f t="shared" si="97"/>
        <v>57.543993733715695</v>
      </c>
      <c r="P94" s="34" t="str">
        <f t="shared" si="88"/>
        <v>324,571428571429</v>
      </c>
      <c r="Q94" s="4" t="str">
        <f t="shared" si="89"/>
        <v>1+8,26421887872267i</v>
      </c>
      <c r="R94" s="4">
        <f t="shared" si="98"/>
        <v>8.324500806380895</v>
      </c>
      <c r="S94" s="4">
        <f t="shared" si="99"/>
        <v>1.450378193318115</v>
      </c>
      <c r="T94" s="4" t="str">
        <f t="shared" si="90"/>
        <v>1+0,0000723119151888234i</v>
      </c>
      <c r="U94" s="4">
        <f t="shared" si="100"/>
        <v>1.0000000026145064</v>
      </c>
      <c r="V94" s="4">
        <f t="shared" si="101"/>
        <v>7.2311915062783419E-5</v>
      </c>
      <c r="W94" t="str">
        <f t="shared" si="91"/>
        <v>1-0,000627707597125203i</v>
      </c>
      <c r="X94" s="4">
        <f t="shared" si="102"/>
        <v>1.0000001970083943</v>
      </c>
      <c r="Y94" s="4">
        <f t="shared" si="103"/>
        <v>-6.277075146827705E-4</v>
      </c>
      <c r="Z94" t="str">
        <f t="shared" si="92"/>
        <v>0,999999986754755+0,000538196493775149i</v>
      </c>
      <c r="AA94" s="4">
        <f t="shared" si="104"/>
        <v>1.0000001315824794</v>
      </c>
      <c r="AB94" s="4">
        <f t="shared" si="105"/>
        <v>5.3819644893984841E-4</v>
      </c>
      <c r="AC94" s="48" t="str">
        <f t="shared" si="106"/>
        <v>4,64141921053718-38,712652950664i</v>
      </c>
      <c r="AD94" s="20">
        <f t="shared" si="107"/>
        <v>31.819042337250657</v>
      </c>
      <c r="AE94" s="44">
        <f t="shared" si="108"/>
        <v>-83.163207383828961</v>
      </c>
      <c r="AF94" t="str">
        <f t="shared" si="93"/>
        <v>-0,0000125211169631323</v>
      </c>
      <c r="AG94" t="str">
        <f t="shared" si="94"/>
        <v>1,74741743053792E-06i</v>
      </c>
      <c r="AH94">
        <f t="shared" si="109"/>
        <v>1.74741743053792E-6</v>
      </c>
      <c r="AI94">
        <f t="shared" si="110"/>
        <v>1.5707963267948966</v>
      </c>
      <c r="AJ94" t="str">
        <f t="shared" si="95"/>
        <v>1+0,00279659935687427i</v>
      </c>
      <c r="AK94">
        <f t="shared" si="111"/>
        <v>1.0000039104763354</v>
      </c>
      <c r="AL94">
        <f t="shared" si="112"/>
        <v>2.7965920662038238E-3</v>
      </c>
      <c r="AM94" t="str">
        <f t="shared" si="96"/>
        <v>1+0,409574687629496i</v>
      </c>
      <c r="AN94">
        <f t="shared" si="113"/>
        <v>1.0806254784830864</v>
      </c>
      <c r="AO94">
        <f t="shared" si="114"/>
        <v>0.38873307057817436</v>
      </c>
      <c r="AP94" s="42" t="str">
        <f t="shared" si="115"/>
        <v>-2,91474498190342+7,17364986578065i</v>
      </c>
      <c r="AQ94">
        <f t="shared" si="116"/>
        <v>17.778398271044345</v>
      </c>
      <c r="AR94" s="44">
        <f t="shared" si="117"/>
        <v>112.11253137887729</v>
      </c>
      <c r="AS94" s="42" t="str">
        <f t="shared" si="118"/>
        <v>264,18246429072+146,133427220818i</v>
      </c>
      <c r="AT94" s="20">
        <f t="shared" si="119"/>
        <v>49.597440608294995</v>
      </c>
      <c r="AU94" s="44">
        <f t="shared" si="120"/>
        <v>28.949323995048314</v>
      </c>
    </row>
    <row r="95" spans="14:47" x14ac:dyDescent="0.3">
      <c r="N95" s="8">
        <v>77</v>
      </c>
      <c r="O95" s="35">
        <f t="shared" si="97"/>
        <v>58.884365535558949</v>
      </c>
      <c r="P95" s="34" t="str">
        <f t="shared" si="88"/>
        <v>324,571428571429</v>
      </c>
      <c r="Q95" s="4" t="str">
        <f t="shared" si="89"/>
        <v>1+8,45671726527122i</v>
      </c>
      <c r="R95" s="4">
        <f t="shared" si="98"/>
        <v>8.5156366118298124</v>
      </c>
      <c r="S95" s="4">
        <f t="shared" si="99"/>
        <v>1.4530937089509504</v>
      </c>
      <c r="T95" s="4" t="str">
        <f t="shared" si="90"/>
        <v>1+0,0000739962760711232i</v>
      </c>
      <c r="U95" s="4">
        <f t="shared" si="100"/>
        <v>1.0000000027377245</v>
      </c>
      <c r="V95" s="4">
        <f t="shared" si="101"/>
        <v>7.3996275936068917E-5</v>
      </c>
      <c r="W95" t="str">
        <f t="shared" si="91"/>
        <v>1-0,000642328785339611i</v>
      </c>
      <c r="X95" s="4">
        <f t="shared" si="102"/>
        <v>1.000000206293113</v>
      </c>
      <c r="Y95" s="4">
        <f t="shared" si="103"/>
        <v>-6.4232869700095398E-4</v>
      </c>
      <c r="Z95" t="str">
        <f t="shared" si="92"/>
        <v>0,999999986130526+0,000550732700550182i</v>
      </c>
      <c r="AA95" s="4">
        <f t="shared" si="104"/>
        <v>1.0000001377837704</v>
      </c>
      <c r="AB95" s="4">
        <f t="shared" si="105"/>
        <v>5.5073265250829215E-4</v>
      </c>
      <c r="AC95" s="48" t="str">
        <f t="shared" si="106"/>
        <v>4,43349512658129-37,8560312821182i</v>
      </c>
      <c r="AD95" s="20">
        <f t="shared" si="107"/>
        <v>31.621863949490386</v>
      </c>
      <c r="AE95" s="44">
        <f t="shared" si="108"/>
        <v>-83.320254465616898</v>
      </c>
      <c r="AF95" t="str">
        <f t="shared" si="93"/>
        <v>-0,0000125211169631323</v>
      </c>
      <c r="AG95" t="str">
        <f t="shared" si="94"/>
        <v>1,78812001125869E-06i</v>
      </c>
      <c r="AH95">
        <f t="shared" si="109"/>
        <v>1.7881200112586899E-6</v>
      </c>
      <c r="AI95">
        <f t="shared" si="110"/>
        <v>1.5707963267948966</v>
      </c>
      <c r="AJ95" t="str">
        <f t="shared" si="95"/>
        <v>1+0,00286174052410631i</v>
      </c>
      <c r="AK95">
        <f t="shared" si="111"/>
        <v>1.00000409477103</v>
      </c>
      <c r="AL95">
        <f t="shared" si="112"/>
        <v>2.8617327120139067E-3</v>
      </c>
      <c r="AM95" t="str">
        <f t="shared" si="96"/>
        <v>1+0,419114907666842i</v>
      </c>
      <c r="AN95">
        <f t="shared" si="113"/>
        <v>1.0842773196136613</v>
      </c>
      <c r="AO95">
        <f t="shared" si="114"/>
        <v>0.39687538021572472</v>
      </c>
      <c r="AP95" s="42" t="str">
        <f t="shared" si="115"/>
        <v>-2,91474390756385+7,01073307368529i</v>
      </c>
      <c r="AQ95">
        <f t="shared" si="116"/>
        <v>17.607700082107069</v>
      </c>
      <c r="AR95" s="44">
        <f t="shared" si="117"/>
        <v>112.57531907251794</v>
      </c>
      <c r="AS95" s="42" t="str">
        <f t="shared" si="118"/>
        <v>252,476027638594+141,422687460047i</v>
      </c>
      <c r="AT95" s="20">
        <f t="shared" si="119"/>
        <v>49.229564031597455</v>
      </c>
      <c r="AU95" s="44">
        <f t="shared" si="120"/>
        <v>29.255064606901133</v>
      </c>
    </row>
    <row r="96" spans="14:47" x14ac:dyDescent="0.3">
      <c r="N96" s="8">
        <v>78</v>
      </c>
      <c r="O96" s="35">
        <f t="shared" si="97"/>
        <v>60.255958607435822</v>
      </c>
      <c r="P96" s="34" t="str">
        <f t="shared" si="88"/>
        <v>324,571428571429</v>
      </c>
      <c r="Q96" s="4" t="str">
        <f t="shared" si="89"/>
        <v>1+8,6536995152517i</v>
      </c>
      <c r="R96" s="4">
        <f t="shared" si="98"/>
        <v>8.7112866615826334</v>
      </c>
      <c r="S96" s="4">
        <f t="shared" si="99"/>
        <v>1.4557490981131456</v>
      </c>
      <c r="T96" s="4" t="str">
        <f t="shared" si="90"/>
        <v>1+0,0000757198707584524i</v>
      </c>
      <c r="U96" s="4">
        <f t="shared" si="100"/>
        <v>1.0000000028667493</v>
      </c>
      <c r="V96" s="4">
        <f t="shared" si="101"/>
        <v>7.5719870613739139E-5</v>
      </c>
      <c r="W96" t="str">
        <f t="shared" si="91"/>
        <v>1-0,000657290544778233i</v>
      </c>
      <c r="X96" s="4">
        <f t="shared" si="102"/>
        <v>1.0000002160154067</v>
      </c>
      <c r="Y96" s="4">
        <f t="shared" si="103"/>
        <v>-6.5729045012165766E-4</v>
      </c>
      <c r="Z96" t="str">
        <f t="shared" si="92"/>
        <v>0,999999985476878+0,000563560913092856i</v>
      </c>
      <c r="AA96" s="4">
        <f t="shared" si="104"/>
        <v>1.0000001442773192</v>
      </c>
      <c r="AB96" s="4">
        <f t="shared" si="105"/>
        <v>5.6356086161504391E-4</v>
      </c>
      <c r="AC96" s="48" t="str">
        <f t="shared" si="106"/>
        <v>4,23467672148946-37,0172967862457i</v>
      </c>
      <c r="AD96" s="20">
        <f t="shared" si="107"/>
        <v>31.424560283168891</v>
      </c>
      <c r="AE96" s="44">
        <f t="shared" si="108"/>
        <v>-83.473890550423334</v>
      </c>
      <c r="AF96" t="str">
        <f t="shared" si="93"/>
        <v>-0,0000125211169631323</v>
      </c>
      <c r="AG96" t="str">
        <f t="shared" si="94"/>
        <v>0,000001829770676878i</v>
      </c>
      <c r="AH96">
        <f t="shared" si="109"/>
        <v>1.829770676878E-6</v>
      </c>
      <c r="AI96">
        <f t="shared" si="110"/>
        <v>1.5707963267948966</v>
      </c>
      <c r="AJ96" t="str">
        <f t="shared" si="95"/>
        <v>1+0,00292839902404384i</v>
      </c>
      <c r="AK96">
        <f t="shared" si="111"/>
        <v>1.0000042877512296</v>
      </c>
      <c r="AL96">
        <f t="shared" si="112"/>
        <v>2.9283906532379536E-3</v>
      </c>
      <c r="AM96" t="str">
        <f t="shared" si="96"/>
        <v>1+0,428877347975874i</v>
      </c>
      <c r="AN96">
        <f t="shared" si="113"/>
        <v>1.088088130441105</v>
      </c>
      <c r="AO96">
        <f t="shared" si="114"/>
        <v>0.40515020680769104</v>
      </c>
      <c r="AP96" s="42" t="str">
        <f t="shared" si="115"/>
        <v>-2,91474278259306+6,85153346477375i</v>
      </c>
      <c r="AQ96">
        <f t="shared" si="116"/>
        <v>17.438172391058664</v>
      </c>
      <c r="AR96" s="44">
        <f t="shared" si="117"/>
        <v>113.04561249373707</v>
      </c>
      <c r="AS96" s="42" t="str">
        <f t="shared" si="118"/>
        <v>241,282254295848+136,909927908598i</v>
      </c>
      <c r="AT96" s="20">
        <f t="shared" si="119"/>
        <v>48.862732674227551</v>
      </c>
      <c r="AU96" s="44">
        <f t="shared" si="120"/>
        <v>29.571721943313676</v>
      </c>
    </row>
    <row r="97" spans="14:47" x14ac:dyDescent="0.3">
      <c r="N97" s="8">
        <v>79</v>
      </c>
      <c r="O97" s="35">
        <f t="shared" si="97"/>
        <v>61.659500186148257</v>
      </c>
      <c r="P97" s="34" t="str">
        <f t="shared" si="88"/>
        <v>324,571428571429</v>
      </c>
      <c r="Q97" s="4" t="str">
        <f t="shared" si="89"/>
        <v>1+8,85527007126043i</v>
      </c>
      <c r="R97" s="4">
        <f t="shared" si="98"/>
        <v>8.9115547484690172</v>
      </c>
      <c r="S97" s="4">
        <f t="shared" si="99"/>
        <v>1.4583456188592774</v>
      </c>
      <c r="T97" s="4" t="str">
        <f t="shared" si="90"/>
        <v>1+0,0000774836131235288i</v>
      </c>
      <c r="U97" s="4">
        <f t="shared" si="100"/>
        <v>1.000000003001855</v>
      </c>
      <c r="V97" s="4">
        <f t="shared" si="101"/>
        <v>7.7483612968465743E-5</v>
      </c>
      <c r="W97" t="str">
        <f t="shared" si="91"/>
        <v>1-0,000672600808363965i</v>
      </c>
      <c r="X97" s="4">
        <f t="shared" si="102"/>
        <v>1.000000226195898</v>
      </c>
      <c r="Y97" s="4">
        <f t="shared" si="103"/>
        <v>-6.7260070693761845E-4</v>
      </c>
      <c r="Z97" t="str">
        <f t="shared" si="92"/>
        <v>0,999999984792424+0,000576687933091263i</v>
      </c>
      <c r="AA97" s="4">
        <f t="shared" si="104"/>
        <v>1.0000001510768988</v>
      </c>
      <c r="AB97" s="4">
        <f t="shared" si="105"/>
        <v>5.766878779317942E-4</v>
      </c>
      <c r="AC97" s="48" t="str">
        <f t="shared" si="106"/>
        <v>4,04457595525039-36,1961467638761i</v>
      </c>
      <c r="AD97" s="20">
        <f t="shared" si="107"/>
        <v>31.227136828145227</v>
      </c>
      <c r="AE97" s="44">
        <f t="shared" si="108"/>
        <v>-83.624188511333102</v>
      </c>
      <c r="AF97" t="str">
        <f t="shared" si="93"/>
        <v>-0,0000125211169631323</v>
      </c>
      <c r="AG97" t="str">
        <f t="shared" si="94"/>
        <v>1,87239151113007E-06i</v>
      </c>
      <c r="AH97">
        <f t="shared" si="109"/>
        <v>1.87239151113007E-6</v>
      </c>
      <c r="AI97">
        <f t="shared" si="110"/>
        <v>1.5707963267948966</v>
      </c>
      <c r="AJ97" t="str">
        <f t="shared" si="95"/>
        <v>1+0,00299661019990586i</v>
      </c>
      <c r="AK97">
        <f t="shared" si="111"/>
        <v>1.0000044898262659</v>
      </c>
      <c r="AL97">
        <f t="shared" si="112"/>
        <v>2.9966012304279274E-3</v>
      </c>
      <c r="AM97" t="str">
        <f t="shared" si="96"/>
        <v>1+0,438867184731667i</v>
      </c>
      <c r="AN97">
        <f t="shared" si="113"/>
        <v>1.0920642864933818</v>
      </c>
      <c r="AO97">
        <f t="shared" si="114"/>
        <v>0.41355740392387519</v>
      </c>
      <c r="AP97" s="42" t="str">
        <f t="shared" si="115"/>
        <v>-2,91474160460497+6,69596662928539i</v>
      </c>
      <c r="AQ97">
        <f t="shared" si="116"/>
        <v>17.269853274819642</v>
      </c>
      <c r="AR97" s="44">
        <f t="shared" si="117"/>
        <v>113.52340122783787</v>
      </c>
      <c r="AS97" s="42" t="str">
        <f t="shared" si="118"/>
        <v>230,579297029878+132,584760525024i</v>
      </c>
      <c r="AT97" s="20">
        <f t="shared" si="119"/>
        <v>48.496990102964887</v>
      </c>
      <c r="AU97" s="44">
        <f t="shared" si="120"/>
        <v>29.899212716504735</v>
      </c>
    </row>
    <row r="98" spans="14:47" x14ac:dyDescent="0.3">
      <c r="N98" s="8">
        <v>80</v>
      </c>
      <c r="O98" s="35">
        <f t="shared" si="97"/>
        <v>63.095734448019364</v>
      </c>
      <c r="P98" s="34" t="str">
        <f t="shared" si="88"/>
        <v>324,571428571429</v>
      </c>
      <c r="Q98" s="4" t="str">
        <f t="shared" si="89"/>
        <v>1+9,06153580867429i</v>
      </c>
      <c r="R98" s="4">
        <f t="shared" si="98"/>
        <v>9.1165471101665698</v>
      </c>
      <c r="S98" s="4">
        <f t="shared" si="99"/>
        <v>1.4608845077790027</v>
      </c>
      <c r="T98" s="4" t="str">
        <f t="shared" si="90"/>
        <v>1+0,0000792884383259i</v>
      </c>
      <c r="U98" s="4">
        <f t="shared" si="100"/>
        <v>1.0000000031433283</v>
      </c>
      <c r="V98" s="4">
        <f t="shared" si="101"/>
        <v>7.9288438159746933E-5</v>
      </c>
      <c r="W98" t="str">
        <f t="shared" si="91"/>
        <v>1-0,000688267693801215i</v>
      </c>
      <c r="X98" s="4">
        <f t="shared" si="102"/>
        <v>1.0000002368561811</v>
      </c>
      <c r="Y98" s="4">
        <f t="shared" si="103"/>
        <v>-6.8826758512092806E-4</v>
      </c>
      <c r="Z98" t="str">
        <f t="shared" si="92"/>
        <v>0,999999984075713+0,000590120720665161i</v>
      </c>
      <c r="AA98" s="4">
        <f t="shared" si="104"/>
        <v>1.0000001581969331</v>
      </c>
      <c r="AB98" s="4">
        <f t="shared" si="105"/>
        <v>5.9012066156072576E-4</v>
      </c>
      <c r="AC98" s="48" t="str">
        <f t="shared" si="106"/>
        <v>3,86282039037063-35,392278766243i</v>
      </c>
      <c r="AD98" s="20">
        <f t="shared" si="107"/>
        <v>31.029598840038602</v>
      </c>
      <c r="AE98" s="44">
        <f t="shared" si="108"/>
        <v>-83.771220010026781</v>
      </c>
      <c r="AF98" t="str">
        <f t="shared" si="93"/>
        <v>-0,0000125211169631323</v>
      </c>
      <c r="AG98" t="str">
        <f t="shared" si="94"/>
        <v>1,91600511214537E-06i</v>
      </c>
      <c r="AH98">
        <f t="shared" si="109"/>
        <v>1.9160051121453702E-6</v>
      </c>
      <c r="AI98">
        <f t="shared" si="110"/>
        <v>1.5707963267948966</v>
      </c>
      <c r="AJ98" t="str">
        <f t="shared" si="95"/>
        <v>1+0,00306641021816069i</v>
      </c>
      <c r="AK98">
        <f t="shared" si="111"/>
        <v>1.0000047014247613</v>
      </c>
      <c r="AL98">
        <f t="shared" si="112"/>
        <v>3.0664006071943676E-3</v>
      </c>
      <c r="AM98" t="str">
        <f t="shared" si="96"/>
        <v>1+0,449089714677898i</v>
      </c>
      <c r="AN98">
        <f t="shared" si="113"/>
        <v>1.0962123753312931</v>
      </c>
      <c r="AO98">
        <f t="shared" si="114"/>
        <v>0.42209667429097519</v>
      </c>
      <c r="AP98" s="42" t="str">
        <f t="shared" si="115"/>
        <v>-2,91474037110102+6,54395008360266i</v>
      </c>
      <c r="AQ98">
        <f t="shared" si="116"/>
        <v>17.102781354443195</v>
      </c>
      <c r="AR98" s="44">
        <f t="shared" si="117"/>
        <v>114.00866617029247</v>
      </c>
      <c r="AS98" s="42" t="str">
        <f t="shared" si="118"/>
        <v>220,346187053119+128,437407561738i</v>
      </c>
      <c r="AT98" s="20">
        <f t="shared" si="119"/>
        <v>48.132380194481797</v>
      </c>
      <c r="AU98" s="44">
        <f t="shared" si="120"/>
        <v>30.237446160265744</v>
      </c>
    </row>
    <row r="99" spans="14:47" x14ac:dyDescent="0.3">
      <c r="N99" s="8">
        <v>81</v>
      </c>
      <c r="O99" s="35">
        <f t="shared" si="97"/>
        <v>64.565422903465588</v>
      </c>
      <c r="P99" s="34" t="str">
        <f t="shared" si="88"/>
        <v>324,571428571429</v>
      </c>
      <c r="Q99" s="4" t="str">
        <f t="shared" si="89"/>
        <v>1+9,27260609231751i</v>
      </c>
      <c r="R99" s="4">
        <f t="shared" si="98"/>
        <v>9.3263724857676458</v>
      </c>
      <c r="S99" s="4">
        <f t="shared" si="99"/>
        <v>1.4633669800292903</v>
      </c>
      <c r="T99" s="4" t="str">
        <f t="shared" si="90"/>
        <v>1+0,0000811353033077782i</v>
      </c>
      <c r="U99" s="4">
        <f t="shared" si="100"/>
        <v>1.0000000032914687</v>
      </c>
      <c r="V99" s="4">
        <f t="shared" si="101"/>
        <v>8.1135303129741999E-5</v>
      </c>
      <c r="W99" t="str">
        <f t="shared" si="91"/>
        <v>1-0,000704299507880019i</v>
      </c>
      <c r="X99" s="4">
        <f t="shared" si="102"/>
        <v>1.0000002480188677</v>
      </c>
      <c r="Y99" s="4">
        <f t="shared" si="103"/>
        <v>-7.042993914269949E-4</v>
      </c>
      <c r="Z99" t="str">
        <f t="shared" si="92"/>
        <v>0,999999983325225+0,000603866398056328i</v>
      </c>
      <c r="AA99" s="4">
        <f t="shared" si="104"/>
        <v>1.0000001656525248</v>
      </c>
      <c r="AB99" s="4">
        <f t="shared" si="105"/>
        <v>6.0386633472478499E-4</v>
      </c>
      <c r="AC99" s="48" t="str">
        <f t="shared" si="106"/>
        <v>3,68905264661245-34,6053909973368i</v>
      </c>
      <c r="AD99" s="20">
        <f t="shared" si="107"/>
        <v>30.831951349672956</v>
      </c>
      <c r="AE99" s="44">
        <f t="shared" si="108"/>
        <v>-83.915055499056692</v>
      </c>
      <c r="AF99" t="str">
        <f t="shared" si="93"/>
        <v>-0,0000125211169631323</v>
      </c>
      <c r="AG99" t="str">
        <f t="shared" si="94"/>
        <v>1,96063460443246E-06i</v>
      </c>
      <c r="AH99">
        <f t="shared" si="109"/>
        <v>1.9606346044324599E-6</v>
      </c>
      <c r="AI99">
        <f t="shared" si="110"/>
        <v>1.5707963267948966</v>
      </c>
      <c r="AJ99" t="str">
        <f t="shared" si="95"/>
        <v>1+0,00313783608770193i</v>
      </c>
      <c r="AK99">
        <f t="shared" si="111"/>
        <v>1.0000049229955388</v>
      </c>
      <c r="AL99">
        <f t="shared" si="112"/>
        <v>3.1378257893687118E-3</v>
      </c>
      <c r="AM99" t="str">
        <f t="shared" si="96"/>
        <v>1+0,459550357935256i</v>
      </c>
      <c r="AN99">
        <f t="shared" si="113"/>
        <v>1.1005392003370082</v>
      </c>
      <c r="AO99">
        <f t="shared" si="114"/>
        <v>0.43076756308858288</v>
      </c>
      <c r="AP99" s="42" t="str">
        <f t="shared" si="115"/>
        <v>-2,91473907946494+6,39540322651707i</v>
      </c>
      <c r="AQ99">
        <f t="shared" si="116"/>
        <v>16.936995745949567</v>
      </c>
      <c r="AR99" s="44">
        <f t="shared" si="117"/>
        <v>114.50137914153312</v>
      </c>
      <c r="AS99" s="42" t="str">
        <f t="shared" si="118"/>
        <v>210,562803323968+124,458664699038i</v>
      </c>
      <c r="AT99" s="20">
        <f t="shared" si="119"/>
        <v>47.768947095622529</v>
      </c>
      <c r="AU99" s="44">
        <f t="shared" si="120"/>
        <v>30.586323642476316</v>
      </c>
    </row>
    <row r="100" spans="14:47" x14ac:dyDescent="0.3">
      <c r="N100" s="8">
        <v>82</v>
      </c>
      <c r="O100" s="35">
        <f t="shared" si="97"/>
        <v>66.069344800759623</v>
      </c>
      <c r="P100" s="34" t="str">
        <f t="shared" si="88"/>
        <v>324,571428571429</v>
      </c>
      <c r="Q100" s="4" t="str">
        <f t="shared" si="89"/>
        <v>1+9,48859283444834i</v>
      </c>
      <c r="R100" s="4">
        <f t="shared" si="98"/>
        <v>9.5411421736574269</v>
      </c>
      <c r="S100" s="4">
        <f t="shared" si="99"/>
        <v>1.4657942293940214</v>
      </c>
      <c r="T100" s="4" t="str">
        <f t="shared" si="90"/>
        <v>1+0,000083025187301423i</v>
      </c>
      <c r="U100" s="4">
        <f t="shared" si="100"/>
        <v>1.0000000034465908</v>
      </c>
      <c r="V100" s="4">
        <f t="shared" si="101"/>
        <v>8.3025187110653766E-5</v>
      </c>
      <c r="W100" t="str">
        <f t="shared" si="91"/>
        <v>1-0,000720704750880408i</v>
      </c>
      <c r="X100" s="4">
        <f t="shared" si="102"/>
        <v>1.0000002597076352</v>
      </c>
      <c r="Y100" s="4">
        <f t="shared" si="103"/>
        <v>-7.2070462609874638E-4</v>
      </c>
      <c r="Z100" t="str">
        <f t="shared" si="92"/>
        <v>0,999999982539367+0,000617932253404861i</v>
      </c>
      <c r="AA100" s="4">
        <f t="shared" si="104"/>
        <v>1.0000001734594868</v>
      </c>
      <c r="AB100" s="4">
        <f t="shared" si="105"/>
        <v>6.1793218554389065E-4</v>
      </c>
      <c r="AC100" s="48" t="str">
        <f t="shared" si="106"/>
        <v>3,52292986732418-33,8351826835312i</v>
      </c>
      <c r="AD100" s="20">
        <f t="shared" si="107"/>
        <v>30.634199172189014</v>
      </c>
      <c r="AE100" s="44">
        <f t="shared" si="108"/>
        <v>-84.055764225701523</v>
      </c>
      <c r="AF100" t="str">
        <f t="shared" si="93"/>
        <v>-0,0000125211169631323</v>
      </c>
      <c r="AG100" t="str">
        <f t="shared" si="94"/>
        <v>2,00630365113889E-06i</v>
      </c>
      <c r="AH100">
        <f t="shared" si="109"/>
        <v>2.0063036511388901E-6</v>
      </c>
      <c r="AI100">
        <f t="shared" si="110"/>
        <v>1.5707963267948966</v>
      </c>
      <c r="AJ100" t="str">
        <f t="shared" si="95"/>
        <v>1+0,00321092567947105i</v>
      </c>
      <c r="AK100">
        <f t="shared" si="111"/>
        <v>1.0000051550085725</v>
      </c>
      <c r="AL100">
        <f t="shared" si="112"/>
        <v>3.2109146446112672E-3</v>
      </c>
      <c r="AM100" t="str">
        <f t="shared" si="96"/>
        <v>1+0,47025466087526i</v>
      </c>
      <c r="AN100">
        <f t="shared" si="113"/>
        <v>1.1050517843408543</v>
      </c>
      <c r="AO100">
        <f t="shared" si="114"/>
        <v>0.43956945138353731</v>
      </c>
      <c r="AP100" s="42" t="str">
        <f t="shared" si="115"/>
        <v>-2,91473772695715+6,25024729649321i</v>
      </c>
      <c r="AQ100">
        <f t="shared" si="116"/>
        <v>16.772536006331229</v>
      </c>
      <c r="AR100" s="44">
        <f t="shared" si="117"/>
        <v>115.00150250964478</v>
      </c>
      <c r="AS100" s="42" t="str">
        <f t="shared" si="118"/>
        <v>201,209842500381+120,639866345154i</v>
      </c>
      <c r="AT100" s="20">
        <f t="shared" si="119"/>
        <v>47.40673517852025</v>
      </c>
      <c r="AU100" s="44">
        <f t="shared" si="120"/>
        <v>30.9457382839433</v>
      </c>
    </row>
    <row r="101" spans="14:47" x14ac:dyDescent="0.3">
      <c r="N101" s="8">
        <v>83</v>
      </c>
      <c r="O101" s="35">
        <f t="shared" si="97"/>
        <v>67.60829753919819</v>
      </c>
      <c r="P101" s="34" t="str">
        <f t="shared" si="88"/>
        <v>324,571428571429</v>
      </c>
      <c r="Q101" s="4" t="str">
        <f t="shared" si="89"/>
        <v>1+9,70961055409636i</v>
      </c>
      <c r="R101" s="4">
        <f t="shared" si="98"/>
        <v>9.7609700907348049</v>
      </c>
      <c r="S101" s="4">
        <f t="shared" si="99"/>
        <v>1.4681674283687021</v>
      </c>
      <c r="T101" s="4" t="str">
        <f t="shared" si="90"/>
        <v>1+0,0000849590923483432i</v>
      </c>
      <c r="U101" s="4">
        <f t="shared" si="100"/>
        <v>1.0000000036090235</v>
      </c>
      <c r="V101" s="4">
        <f t="shared" si="101"/>
        <v>8.4959092143930287E-5</v>
      </c>
      <c r="W101" t="str">
        <f t="shared" si="91"/>
        <v>1-0,000737492121079368i</v>
      </c>
      <c r="X101" s="4">
        <f t="shared" si="102"/>
        <v>1.0000002719472774</v>
      </c>
      <c r="Y101" s="4">
        <f t="shared" si="103"/>
        <v>-7.3749198737341052E-4</v>
      </c>
      <c r="Z101" t="str">
        <f t="shared" si="92"/>
        <v>0,999999981716472+0,00063232574461345i</v>
      </c>
      <c r="AA101" s="4">
        <f t="shared" si="104"/>
        <v>1.0000001816343795</v>
      </c>
      <c r="AB101" s="4">
        <f t="shared" si="105"/>
        <v>6.3232567189911131E-4</v>
      </c>
      <c r="AC101" s="48" t="str">
        <f t="shared" si="106"/>
        <v>3,36412319787372-33,0813544124256i</v>
      </c>
      <c r="AD101" s="20">
        <f t="shared" si="107"/>
        <v>30.436346915831436</v>
      </c>
      <c r="AE101" s="44">
        <f t="shared" si="108"/>
        <v>-84.193414237269934</v>
      </c>
      <c r="AF101" t="str">
        <f t="shared" si="93"/>
        <v>-0,0000125211169631323</v>
      </c>
      <c r="AG101" t="str">
        <f t="shared" si="94"/>
        <v>2,05303646659771E-06i</v>
      </c>
      <c r="AH101">
        <f t="shared" si="109"/>
        <v>2.0530364665977101E-6</v>
      </c>
      <c r="AI101">
        <f t="shared" si="110"/>
        <v>1.5707963267948966</v>
      </c>
      <c r="AJ101" t="str">
        <f t="shared" si="95"/>
        <v>1+0,00328571774653704i</v>
      </c>
      <c r="AK101">
        <f t="shared" si="111"/>
        <v>1.000005397955986</v>
      </c>
      <c r="AL101">
        <f t="shared" si="112"/>
        <v>3.2857059224751994E-3</v>
      </c>
      <c r="AM101" t="str">
        <f t="shared" si="96"/>
        <v>1+0,481208299061016i</v>
      </c>
      <c r="AN101">
        <f t="shared" si="113"/>
        <v>1.1097573730708872</v>
      </c>
      <c r="AO101">
        <f t="shared" si="114"/>
        <v>0.44850154974741729</v>
      </c>
      <c r="AP101" s="42" t="str">
        <f t="shared" si="115"/>
        <v>-2,91473631070898+6,10840532990836i</v>
      </c>
      <c r="AQ101">
        <f t="shared" si="116"/>
        <v>16.609442074652311</v>
      </c>
      <c r="AR101" s="44">
        <f t="shared" si="117"/>
        <v>115.5089888235247</v>
      </c>
      <c r="AS101" s="42" t="str">
        <f t="shared" si="118"/>
        <v>192,268789574907+116,97285298569i</v>
      </c>
      <c r="AT101" s="20">
        <f t="shared" si="119"/>
        <v>47.04578899048375</v>
      </c>
      <c r="AU101" s="44">
        <f t="shared" si="120"/>
        <v>31.315574586254829</v>
      </c>
    </row>
    <row r="102" spans="14:47" x14ac:dyDescent="0.3">
      <c r="N102" s="8">
        <v>84</v>
      </c>
      <c r="O102" s="35">
        <f t="shared" si="97"/>
        <v>69.183097091893657</v>
      </c>
      <c r="P102" s="34" t="str">
        <f t="shared" si="88"/>
        <v>324,571428571429</v>
      </c>
      <c r="Q102" s="4" t="str">
        <f t="shared" si="89"/>
        <v>1+9,93577643778206i</v>
      </c>
      <c r="R102" s="4">
        <f t="shared" si="98"/>
        <v>9.9859728330085673</v>
      </c>
      <c r="S102" s="4">
        <f t="shared" si="99"/>
        <v>1.4704877282681794</v>
      </c>
      <c r="T102" s="4" t="str">
        <f t="shared" si="90"/>
        <v>1+0,000086938043830593i</v>
      </c>
      <c r="U102" s="4">
        <f t="shared" si="100"/>
        <v>1.0000000037791117</v>
      </c>
      <c r="V102" s="4">
        <f t="shared" si="101"/>
        <v>8.6938043611560611E-5</v>
      </c>
      <c r="W102" t="str">
        <f t="shared" si="91"/>
        <v>1-0,000754670519362787i</v>
      </c>
      <c r="X102" s="4">
        <f t="shared" si="102"/>
        <v>1.0000002847637559</v>
      </c>
      <c r="Y102" s="4">
        <f t="shared" si="103"/>
        <v>-7.5467037609427447E-4</v>
      </c>
      <c r="Z102" t="str">
        <f t="shared" si="92"/>
        <v>0,999999980854796+0,000647054503301653i</v>
      </c>
      <c r="AA102" s="4">
        <f t="shared" si="104"/>
        <v>1.0000001901945432</v>
      </c>
      <c r="AB102" s="4">
        <f t="shared" si="105"/>
        <v>6.4705442538683599E-4</v>
      </c>
      <c r="AC102" s="48" t="str">
        <f t="shared" si="106"/>
        <v>3,21231727659449-32,3436084427566i</v>
      </c>
      <c r="AD102" s="20">
        <f t="shared" si="107"/>
        <v>30.23839899041829</v>
      </c>
      <c r="AE102" s="44">
        <f t="shared" si="108"/>
        <v>-84.328072387732519</v>
      </c>
      <c r="AF102" t="str">
        <f t="shared" si="93"/>
        <v>-0,0000125211169631323</v>
      </c>
      <c r="AG102" t="str">
        <f t="shared" si="94"/>
        <v>2,10085782916628E-06i</v>
      </c>
      <c r="AH102">
        <f t="shared" si="109"/>
        <v>2.1008578291662801E-6</v>
      </c>
      <c r="AI102">
        <f t="shared" si="110"/>
        <v>1.5707963267948966</v>
      </c>
      <c r="AJ102" t="str">
        <f t="shared" si="95"/>
        <v>1+0,00336225194464387i</v>
      </c>
      <c r="AK102">
        <f t="shared" si="111"/>
        <v>1.0000056523530951</v>
      </c>
      <c r="AL102">
        <f t="shared" si="112"/>
        <v>3.3622392749372092E-3</v>
      </c>
      <c r="AM102" t="str">
        <f t="shared" si="96"/>
        <v>1+0,492417080256479i</v>
      </c>
      <c r="AN102">
        <f t="shared" si="113"/>
        <v>1.1146634384101399</v>
      </c>
      <c r="AO102">
        <f t="shared" si="114"/>
        <v>0.45756289210444595</v>
      </c>
      <c r="AP102" s="42" t="str">
        <f t="shared" si="115"/>
        <v>-2,91473482771657+5,96980212024497i</v>
      </c>
      <c r="AQ102">
        <f t="shared" si="116"/>
        <v>16.447754208194734</v>
      </c>
      <c r="AR102" s="44">
        <f t="shared" si="117"/>
        <v>116.02378045921753</v>
      </c>
      <c r="AS102" s="42" t="str">
        <f t="shared" si="118"/>
        <v>183,721889214176+113,449940470844i</v>
      </c>
      <c r="AT102" s="20">
        <f t="shared" si="119"/>
        <v>46.686153198613034</v>
      </c>
      <c r="AU102" s="44">
        <f t="shared" si="120"/>
        <v>31.695708071485086</v>
      </c>
    </row>
    <row r="103" spans="14:47" x14ac:dyDescent="0.3">
      <c r="N103" s="8">
        <v>85</v>
      </c>
      <c r="O103" s="35">
        <f t="shared" si="97"/>
        <v>70.794578438413865</v>
      </c>
      <c r="P103" s="34" t="str">
        <f t="shared" si="88"/>
        <v>324,571428571429</v>
      </c>
      <c r="Q103" s="4" t="str">
        <f t="shared" si="89"/>
        <v>1+10,1672104016506i</v>
      </c>
      <c r="R103" s="4">
        <f t="shared" si="98"/>
        <v>10.216269737601497</v>
      </c>
      <c r="S103" s="4">
        <f t="shared" si="99"/>
        <v>1.4727562593553625</v>
      </c>
      <c r="T103" s="4" t="str">
        <f t="shared" si="90"/>
        <v>1+0,000088963091014443i</v>
      </c>
      <c r="U103" s="4">
        <f t="shared" si="100"/>
        <v>1.0000000039572157</v>
      </c>
      <c r="V103" s="4">
        <f t="shared" si="101"/>
        <v>8.8963090779745559E-5</v>
      </c>
      <c r="W103" t="str">
        <f t="shared" si="91"/>
        <v>1-0,000772249053944818i</v>
      </c>
      <c r="X103" s="4">
        <f t="shared" si="102"/>
        <v>1.0000002981842562</v>
      </c>
      <c r="Y103" s="4">
        <f t="shared" si="103"/>
        <v>-7.7224890042984354E-4</v>
      </c>
      <c r="Z103" t="str">
        <f t="shared" si="92"/>
        <v>0,999999979952511+0,000662126338852286i</v>
      </c>
      <c r="AA103" s="4">
        <f t="shared" si="104"/>
        <v>1.0000001991581355</v>
      </c>
      <c r="AB103" s="4">
        <f t="shared" si="105"/>
        <v>6.62126255365056E-4</v>
      </c>
      <c r="AC103" s="48" t="str">
        <f t="shared" si="106"/>
        <v>3,06720973856302-31,6216489871499i</v>
      </c>
      <c r="AD103" s="20">
        <f t="shared" si="107"/>
        <v>30.040359615501004</v>
      </c>
      <c r="AE103" s="44">
        <f t="shared" si="108"/>
        <v>-84.459804345568074</v>
      </c>
      <c r="AF103" t="str">
        <f t="shared" si="93"/>
        <v>-0,0000125211169631323</v>
      </c>
      <c r="AG103" t="str">
        <f t="shared" si="94"/>
        <v>2,14979309436401E-06i</v>
      </c>
      <c r="AH103">
        <f t="shared" si="109"/>
        <v>2.1497930943640102E-6</v>
      </c>
      <c r="AI103">
        <f t="shared" si="110"/>
        <v>1.5707963267948966</v>
      </c>
      <c r="AJ103" t="str">
        <f t="shared" si="95"/>
        <v>1+0,00344056885323641i</v>
      </c>
      <c r="AK103">
        <f t="shared" si="111"/>
        <v>1.0000059187395012</v>
      </c>
      <c r="AL103">
        <f t="shared" si="112"/>
        <v>3.4405552774054711E-3</v>
      </c>
      <c r="AM103" t="str">
        <f t="shared" si="96"/>
        <v>1+0,503886947505805i</v>
      </c>
      <c r="AN103">
        <f t="shared" si="113"/>
        <v>1.1197776814469549</v>
      </c>
      <c r="AO103">
        <f t="shared" si="114"/>
        <v>0.46675232985933263</v>
      </c>
      <c r="AP103" s="42" t="str">
        <f t="shared" si="115"/>
        <v>-2,91473327483451+5,83436417821532i</v>
      </c>
      <c r="AQ103">
        <f t="shared" si="116"/>
        <v>16.287512913638594</v>
      </c>
      <c r="AR103" s="44">
        <f t="shared" si="117"/>
        <v>116.54580928226102</v>
      </c>
      <c r="AS103" s="42" t="str">
        <f t="shared" si="118"/>
        <v>175,55211782084+110,063891133728i</v>
      </c>
      <c r="AT103" s="20">
        <f t="shared" si="119"/>
        <v>46.327872529139597</v>
      </c>
      <c r="AU103" s="44">
        <f t="shared" si="120"/>
        <v>32.086004936692945</v>
      </c>
    </row>
    <row r="104" spans="14:47" x14ac:dyDescent="0.3">
      <c r="N104" s="8">
        <v>86</v>
      </c>
      <c r="O104" s="35">
        <f t="shared" si="97"/>
        <v>72.443596007499011</v>
      </c>
      <c r="P104" s="34" t="str">
        <f t="shared" si="88"/>
        <v>324,571428571429</v>
      </c>
      <c r="Q104" s="4" t="str">
        <f t="shared" si="89"/>
        <v>1+10,4040351550531i</v>
      </c>
      <c r="R104" s="4">
        <f t="shared" si="98"/>
        <v>10.451982946196418</v>
      </c>
      <c r="S104" s="4">
        <f t="shared" si="99"/>
        <v>1.4749741309890896</v>
      </c>
      <c r="T104" s="4" t="str">
        <f t="shared" si="90"/>
        <v>1+0,0000910353076067142i</v>
      </c>
      <c r="U104" s="4">
        <f t="shared" si="100"/>
        <v>1.0000000041437136</v>
      </c>
      <c r="V104" s="4">
        <f t="shared" si="101"/>
        <v>9.1035307355231379E-5</v>
      </c>
      <c r="W104" t="str">
        <f t="shared" si="91"/>
        <v>1-0,000790237045197172i</v>
      </c>
      <c r="X104" s="4">
        <f t="shared" si="102"/>
        <v>1.0000003122372449</v>
      </c>
      <c r="Y104" s="4">
        <f t="shared" si="103"/>
        <v>-7.9023688070291602E-4</v>
      </c>
      <c r="Z104" t="str">
        <f t="shared" si="92"/>
        <v>0,999999979007702+0,000677549242552055i</v>
      </c>
      <c r="AA104" s="4">
        <f t="shared" si="104"/>
        <v>1.0000002085441686</v>
      </c>
      <c r="AB104" s="4">
        <f t="shared" si="105"/>
        <v>6.7754915309387715E-4</v>
      </c>
      <c r="AC104" s="48" t="str">
        <f t="shared" si="106"/>
        <v>2,9285107324448-30,9151824693967i</v>
      </c>
      <c r="AD104" s="20">
        <f t="shared" si="107"/>
        <v>29.842232828222329</v>
      </c>
      <c r="AE104" s="44">
        <f t="shared" si="108"/>
        <v>-84.588674602717731</v>
      </c>
      <c r="AF104" t="str">
        <f t="shared" si="93"/>
        <v>-0,0000125211169631323</v>
      </c>
      <c r="AG104" t="str">
        <f t="shared" si="94"/>
        <v>2,19986820831625E-06i</v>
      </c>
      <c r="AH104">
        <f t="shared" si="109"/>
        <v>2.1998682083162501E-6</v>
      </c>
      <c r="AI104">
        <f t="shared" si="110"/>
        <v>1.5707963267948966</v>
      </c>
      <c r="AJ104" t="str">
        <f t="shared" si="95"/>
        <v>1+0,00352070999697624i</v>
      </c>
      <c r="AK104">
        <f t="shared" si="111"/>
        <v>1.0000061976802359</v>
      </c>
      <c r="AL104">
        <f t="shared" si="112"/>
        <v>3.5206954502161733E-3</v>
      </c>
      <c r="AM104" t="str">
        <f t="shared" si="96"/>
        <v>1+0,515623982284429i</v>
      </c>
      <c r="AN104">
        <f t="shared" si="113"/>
        <v>1.1251080353045448</v>
      </c>
      <c r="AO104">
        <f t="shared" si="114"/>
        <v>0.47606852635656893</v>
      </c>
      <c r="AP104" s="42" t="str">
        <f t="shared" si="115"/>
        <v>-2,91473164876912+5,70201969279615i</v>
      </c>
      <c r="AQ104">
        <f t="shared" si="116"/>
        <v>16.128758873298747</v>
      </c>
      <c r="AR104" s="44">
        <f t="shared" si="117"/>
        <v>117.07499632899574</v>
      </c>
      <c r="AS104" s="42" t="str">
        <f t="shared" si="118"/>
        <v>167,743156331269+106,807886637988i</v>
      </c>
      <c r="AT104" s="20">
        <f t="shared" si="119"/>
        <v>45.970991701521058</v>
      </c>
      <c r="AU104" s="44">
        <f t="shared" si="120"/>
        <v>32.486321726278085</v>
      </c>
    </row>
    <row r="105" spans="14:47" x14ac:dyDescent="0.3">
      <c r="N105" s="8">
        <v>87</v>
      </c>
      <c r="O105" s="35">
        <f t="shared" si="97"/>
        <v>74.131024130091816</v>
      </c>
      <c r="P105" s="34" t="str">
        <f t="shared" si="88"/>
        <v>324,571428571429</v>
      </c>
      <c r="Q105" s="4" t="str">
        <f t="shared" si="89"/>
        <v>1+10,6463762656084i</v>
      </c>
      <c r="R105" s="4">
        <f t="shared" si="98"/>
        <v>10.693237469957817</v>
      </c>
      <c r="S105" s="4">
        <f t="shared" si="99"/>
        <v>1.477142431789386</v>
      </c>
      <c r="T105" s="4" t="str">
        <f t="shared" si="90"/>
        <v>1+0,0000931557923240736i</v>
      </c>
      <c r="U105" s="4">
        <f t="shared" si="100"/>
        <v>1.0000000043390007</v>
      </c>
      <c r="V105" s="4">
        <f t="shared" si="101"/>
        <v>9.3155792054604899E-5</v>
      </c>
      <c r="W105" t="str">
        <f t="shared" si="91"/>
        <v>1-0,000808644030590917i</v>
      </c>
      <c r="X105" s="4">
        <f t="shared" si="102"/>
        <v>1.0000003269525306</v>
      </c>
      <c r="Y105" s="4">
        <f t="shared" si="103"/>
        <v>-8.0864385433214924E-4</v>
      </c>
      <c r="Z105" t="str">
        <f t="shared" si="92"/>
        <v>0,999999978018365+0,000693331391828651i</v>
      </c>
      <c r="AA105" s="4">
        <f t="shared" si="104"/>
        <v>1.0000002183725507</v>
      </c>
      <c r="AB105" s="4">
        <f t="shared" si="105"/>
        <v>6.9333129597248788E-4</v>
      </c>
      <c r="AC105" s="48" t="str">
        <f t="shared" si="106"/>
        <v>2,79594245057251-30,2239177578618i</v>
      </c>
      <c r="AD105" s="20">
        <f t="shared" si="107"/>
        <v>29.644022490881188</v>
      </c>
      <c r="AE105" s="44">
        <f t="shared" si="108"/>
        <v>-84.714746484546964</v>
      </c>
      <c r="AF105" t="str">
        <f t="shared" si="93"/>
        <v>-0,0000125211169631323</v>
      </c>
      <c r="AG105" t="str">
        <f t="shared" si="94"/>
        <v>2,25110972151124E-06i</v>
      </c>
      <c r="AH105">
        <f t="shared" si="109"/>
        <v>2.2511097215112398E-6</v>
      </c>
      <c r="AI105">
        <f t="shared" si="110"/>
        <v>1.5707963267948966</v>
      </c>
      <c r="AJ105" t="str">
        <f t="shared" si="95"/>
        <v>1+0,00360271786775859i</v>
      </c>
      <c r="AK105">
        <f t="shared" si="111"/>
        <v>1.0000064897669587</v>
      </c>
      <c r="AL105">
        <f t="shared" si="112"/>
        <v>3.602702280629813E-3</v>
      </c>
      <c r="AM105" t="str">
        <f t="shared" si="96"/>
        <v>1+0,527634407723553i</v>
      </c>
      <c r="AN105">
        <f t="shared" si="113"/>
        <v>1.1306626677368385</v>
      </c>
      <c r="AO105">
        <f t="shared" si="114"/>
        <v>0.48550995172434075</v>
      </c>
      <c r="AP105" s="42" t="str">
        <f t="shared" si="115"/>
        <v>-2,91472994607158+5,57269849315352i</v>
      </c>
      <c r="AQ105">
        <f t="shared" si="116"/>
        <v>15.97153286648205</v>
      </c>
      <c r="AR105" s="44">
        <f t="shared" si="117"/>
        <v>117.61125150988276</v>
      </c>
      <c r="AS105" s="42" t="str">
        <f t="shared" si="118"/>
        <v>160,279363758256+103,675502457694i</v>
      </c>
      <c r="AT105" s="20">
        <f t="shared" si="119"/>
        <v>45.615555357363249</v>
      </c>
      <c r="AU105" s="44">
        <f t="shared" si="120"/>
        <v>32.896505025335848</v>
      </c>
    </row>
    <row r="106" spans="14:47" x14ac:dyDescent="0.3">
      <c r="N106" s="8">
        <v>88</v>
      </c>
      <c r="O106" s="35">
        <f t="shared" si="97"/>
        <v>75.857757502918361</v>
      </c>
      <c r="P106" s="34" t="str">
        <f t="shared" si="88"/>
        <v>324,571428571429</v>
      </c>
      <c r="Q106" s="4" t="str">
        <f t="shared" si="89"/>
        <v>1+10,8943622257812i</v>
      </c>
      <c r="R106" s="4">
        <f t="shared" si="98"/>
        <v>10.940161255965483</v>
      </c>
      <c r="S106" s="4">
        <f t="shared" si="99"/>
        <v>1.4792622298184814</v>
      </c>
      <c r="T106" s="4" t="str">
        <f t="shared" si="90"/>
        <v>1+0,0000953256694755858i</v>
      </c>
      <c r="U106" s="4">
        <f t="shared" si="100"/>
        <v>1.0000000045434916</v>
      </c>
      <c r="V106" s="4">
        <f t="shared" si="101"/>
        <v>9.532566918684488E-5</v>
      </c>
      <c r="W106" t="str">
        <f t="shared" si="91"/>
        <v>1-0,000827479769753349i</v>
      </c>
      <c r="X106" s="4">
        <f t="shared" si="102"/>
        <v>1.0000003423613262</v>
      </c>
      <c r="Y106" s="4">
        <f t="shared" si="103"/>
        <v>-8.2747958088868004E-4</v>
      </c>
      <c r="Z106" t="str">
        <f t="shared" si="92"/>
        <v>0,999999976982403+0,000709481154586521i</v>
      </c>
      <c r="AA106" s="4">
        <f t="shared" si="104"/>
        <v>1.0000002286641314</v>
      </c>
      <c r="AB106" s="4">
        <f t="shared" si="105"/>
        <v>7.0948105187479263E-4</v>
      </c>
      <c r="AC106" s="48" t="str">
        <f t="shared" si="106"/>
        <v>2,66923867235421-29,5475663765446i</v>
      </c>
      <c r="AD106" s="20">
        <f t="shared" si="107"/>
        <v>29.445732298211706</v>
      </c>
      <c r="AE106" s="44">
        <f t="shared" si="108"/>
        <v>-84.83808216072164</v>
      </c>
      <c r="AF106" t="str">
        <f t="shared" si="93"/>
        <v>-0,0000125211169631323</v>
      </c>
      <c r="AG106" t="str">
        <f t="shared" si="94"/>
        <v>2,30354480287753E-06i</v>
      </c>
      <c r="AH106">
        <f t="shared" si="109"/>
        <v>2.3035448028775301E-6</v>
      </c>
      <c r="AI106">
        <f t="shared" si="110"/>
        <v>1.5707963267948966</v>
      </c>
      <c r="AJ106" t="str">
        <f t="shared" si="95"/>
        <v>1+0,00368663594724202i</v>
      </c>
      <c r="AK106">
        <f t="shared" si="111"/>
        <v>1.0000067956192136</v>
      </c>
      <c r="AL106">
        <f t="shared" si="112"/>
        <v>3.6866192453387518E-3</v>
      </c>
      <c r="AM106" t="str">
        <f t="shared" si="96"/>
        <v>1+0,539924591909718i</v>
      </c>
      <c r="AN106">
        <f t="shared" si="113"/>
        <v>1.1364499834787607</v>
      </c>
      <c r="AO106">
        <f t="shared" si="114"/>
        <v>0.49507487815741952</v>
      </c>
      <c r="AP106" s="42" t="str">
        <f t="shared" si="115"/>
        <v>-2,91472816313053+5,446332011437i</v>
      </c>
      <c r="AQ106">
        <f t="shared" si="116"/>
        <v>15.815875686070498</v>
      </c>
      <c r="AR106" s="44">
        <f t="shared" si="117"/>
        <v>118.15447333794401</v>
      </c>
      <c r="AS106" s="42" t="str">
        <f t="shared" si="118"/>
        <v>153,145751484206+100,660683897092i</v>
      </c>
      <c r="AT106" s="20">
        <f t="shared" si="119"/>
        <v>45.261607984282193</v>
      </c>
      <c r="AU106" s="44">
        <f t="shared" si="120"/>
        <v>33.31639117722257</v>
      </c>
    </row>
    <row r="107" spans="14:47" x14ac:dyDescent="0.3">
      <c r="N107" s="8">
        <v>89</v>
      </c>
      <c r="O107" s="35">
        <f t="shared" si="97"/>
        <v>77.624711662869217</v>
      </c>
      <c r="P107" s="34" t="str">
        <f t="shared" si="88"/>
        <v>324,571428571429</v>
      </c>
      <c r="Q107" s="4" t="str">
        <f t="shared" si="89"/>
        <v>1+11,1481245210101i</v>
      </c>
      <c r="R107" s="4">
        <f t="shared" si="98"/>
        <v>11.192885255194332</v>
      </c>
      <c r="S107" s="4">
        <f t="shared" si="99"/>
        <v>1.4813345727760445</v>
      </c>
      <c r="T107" s="4" t="str">
        <f t="shared" si="90"/>
        <v>1+0,0000975460895588384i</v>
      </c>
      <c r="U107" s="4">
        <f t="shared" si="100"/>
        <v>1.0000000047576196</v>
      </c>
      <c r="V107" s="4">
        <f t="shared" si="101"/>
        <v>9.7546089249446935E-5</v>
      </c>
      <c r="W107" t="str">
        <f t="shared" si="91"/>
        <v>1-0,000846754249642694i</v>
      </c>
      <c r="X107" s="4">
        <f t="shared" si="102"/>
        <v>1.0000003584963155</v>
      </c>
      <c r="Y107" s="4">
        <f t="shared" si="103"/>
        <v>-8.4675404727055912E-4</v>
      </c>
      <c r="Z107" t="str">
        <f t="shared" si="92"/>
        <v>0,999999975897617+0,000726007093643646i</v>
      </c>
      <c r="AA107" s="4">
        <f t="shared" si="104"/>
        <v>1.0000002394407386</v>
      </c>
      <c r="AB107" s="4">
        <f t="shared" si="105"/>
        <v>7.2600698358604764E-4</v>
      </c>
      <c r="AC107" s="48" t="str">
        <f t="shared" si="106"/>
        <v>2,54814432105085-28,8858426952403i</v>
      </c>
      <c r="AD107" s="20">
        <f t="shared" si="107"/>
        <v>29.247365784384698</v>
      </c>
      <c r="AE107" s="44">
        <f t="shared" si="108"/>
        <v>-84.958742656910999</v>
      </c>
      <c r="AF107" t="str">
        <f t="shared" si="93"/>
        <v>-0,0000125211169631323</v>
      </c>
      <c r="AG107" t="str">
        <f t="shared" si="94"/>
        <v>2,35720125418933E-06i</v>
      </c>
      <c r="AH107">
        <f t="shared" si="109"/>
        <v>2.3572012541893298E-6</v>
      </c>
      <c r="AI107">
        <f t="shared" si="110"/>
        <v>1.5707963267948966</v>
      </c>
      <c r="AJ107" t="str">
        <f t="shared" si="95"/>
        <v>1+0,00377250872990308i</v>
      </c>
      <c r="AK107">
        <f t="shared" si="111"/>
        <v>1.0000071158857406</v>
      </c>
      <c r="AL107">
        <f t="shared" si="112"/>
        <v>3.7724908334981727E-3</v>
      </c>
      <c r="AM107" t="str">
        <f t="shared" si="96"/>
        <v>1+0,552501051261261i</v>
      </c>
      <c r="AN107">
        <f t="shared" si="113"/>
        <v>1.1424786263404663</v>
      </c>
      <c r="AO107">
        <f t="shared" si="114"/>
        <v>0.50476137569424573</v>
      </c>
      <c r="AP107" s="42" t="str">
        <f t="shared" si="115"/>
        <v>-2,91472629616438+5,32285324642395i</v>
      </c>
      <c r="AQ107">
        <f t="shared" si="116"/>
        <v>15.661828050483017</v>
      </c>
      <c r="AR107" s="44">
        <f t="shared" si="117"/>
        <v>118.70454868548639</v>
      </c>
      <c r="AS107" s="42" t="str">
        <f t="shared" si="118"/>
        <v>146,327958307063+97,7577235623469i</v>
      </c>
      <c r="AT107" s="20">
        <f t="shared" si="119"/>
        <v>44.909193834867736</v>
      </c>
      <c r="AU107" s="44">
        <f t="shared" si="120"/>
        <v>33.745806028575295</v>
      </c>
    </row>
    <row r="108" spans="14:47" x14ac:dyDescent="0.3">
      <c r="N108" s="8">
        <v>90</v>
      </c>
      <c r="O108" s="35">
        <f t="shared" si="97"/>
        <v>79.432823472428197</v>
      </c>
      <c r="P108" s="34" t="str">
        <f t="shared" si="88"/>
        <v>324,571428571429</v>
      </c>
      <c r="Q108" s="4" t="str">
        <f t="shared" si="89"/>
        <v>1+11,4077976994229i</v>
      </c>
      <c r="R108" s="4">
        <f t="shared" si="98"/>
        <v>11.451543492078192</v>
      </c>
      <c r="S108" s="4">
        <f t="shared" si="99"/>
        <v>1.4833604882072069</v>
      </c>
      <c r="T108" s="4" t="str">
        <f t="shared" si="90"/>
        <v>1+0,0000998182298699502i</v>
      </c>
      <c r="U108" s="4">
        <f t="shared" si="100"/>
        <v>1.0000000049818394</v>
      </c>
      <c r="V108" s="4">
        <f t="shared" si="101"/>
        <v>9.9818229538431257E-5</v>
      </c>
      <c r="W108" t="str">
        <f t="shared" si="91"/>
        <v>1-0,000866477689843318i</v>
      </c>
      <c r="X108" s="4">
        <f t="shared" si="102"/>
        <v>1.000000375391723</v>
      </c>
      <c r="Y108" s="4">
        <f t="shared" si="103"/>
        <v>-8.6647747299767308E-4</v>
      </c>
      <c r="Z108" t="str">
        <f t="shared" si="92"/>
        <v>0,999999974761706+0,00074291797127166i</v>
      </c>
      <c r="AA108" s="4">
        <f t="shared" si="104"/>
        <v>1.000000250725231</v>
      </c>
      <c r="AB108" s="4">
        <f t="shared" si="105"/>
        <v>7.4291785334282083E-4</v>
      </c>
      <c r="AC108" s="48" t="str">
        <f t="shared" si="106"/>
        <v>2,43241503391161-28,2384641001786i</v>
      </c>
      <c r="AD108" s="20">
        <f t="shared" si="107"/>
        <v>29.048926329741633</v>
      </c>
      <c r="AE108" s="44">
        <f t="shared" si="108"/>
        <v>-85.076787867234628</v>
      </c>
      <c r="AF108" t="str">
        <f t="shared" si="93"/>
        <v>-0,0000125211169631323</v>
      </c>
      <c r="AG108" t="str">
        <f t="shared" si="94"/>
        <v>2,41210752480734E-06i</v>
      </c>
      <c r="AH108">
        <f t="shared" si="109"/>
        <v>2.4121075248073401E-6</v>
      </c>
      <c r="AI108">
        <f t="shared" si="110"/>
        <v>1.5707963267948966</v>
      </c>
      <c r="AJ108" t="str">
        <f t="shared" si="95"/>
        <v>1+0,0038603817466278i</v>
      </c>
      <c r="AK108">
        <f t="shared" si="111"/>
        <v>1.0000074512458543</v>
      </c>
      <c r="AL108">
        <f t="shared" si="112"/>
        <v>3.8603625702921642E-3</v>
      </c>
      <c r="AM108" t="str">
        <f t="shared" si="96"/>
        <v>1+0,565370453983398i</v>
      </c>
      <c r="AN108">
        <f t="shared" si="113"/>
        <v>1.14875748103653</v>
      </c>
      <c r="AO108">
        <f t="shared" si="114"/>
        <v>0.51456730854360522</v>
      </c>
      <c r="AP108" s="42" t="str">
        <f t="shared" si="115"/>
        <v>-2,9147243412134+5,20219672799443i</v>
      </c>
      <c r="AQ108">
        <f t="shared" si="116"/>
        <v>15.509430511216255</v>
      </c>
      <c r="AR108" s="44">
        <f t="shared" si="117"/>
        <v>119.26135257228661</v>
      </c>
      <c r="AS108" s="42" t="str">
        <f t="shared" si="118"/>
        <v>139,812226238262+94,9612402018108i</v>
      </c>
      <c r="AT108" s="20">
        <f t="shared" si="119"/>
        <v>44.558356840957892</v>
      </c>
      <c r="AU108" s="44">
        <f t="shared" si="120"/>
        <v>34.184564705051947</v>
      </c>
    </row>
    <row r="109" spans="14:47" x14ac:dyDescent="0.3">
      <c r="N109" s="8">
        <v>91</v>
      </c>
      <c r="O109" s="35">
        <f t="shared" si="97"/>
        <v>81.283051616409963</v>
      </c>
      <c r="P109" s="34" t="str">
        <f t="shared" si="88"/>
        <v>324,571428571429</v>
      </c>
      <c r="Q109" s="4" t="str">
        <f t="shared" si="89"/>
        <v>1+11,6735194431759i</v>
      </c>
      <c r="R109" s="4">
        <f t="shared" si="98"/>
        <v>11.716273135694889</v>
      </c>
      <c r="S109" s="4">
        <f t="shared" si="99"/>
        <v>1.4853409837220377</v>
      </c>
      <c r="T109" s="4" t="str">
        <f t="shared" si="90"/>
        <v>1+0,000102143295127789i</v>
      </c>
      <c r="U109" s="4">
        <f t="shared" si="100"/>
        <v>1.0000000052166262</v>
      </c>
      <c r="V109" s="4">
        <f t="shared" si="101"/>
        <v>1.0214329477256007E-4</v>
      </c>
      <c r="W109" t="str">
        <f t="shared" si="91"/>
        <v>1-0,000886660547984283i</v>
      </c>
      <c r="X109" s="4">
        <f t="shared" si="102"/>
        <v>1.0000003930833865</v>
      </c>
      <c r="Y109" s="4">
        <f t="shared" si="103"/>
        <v>-8.8666031562999311E-4</v>
      </c>
      <c r="Z109" t="str">
        <f t="shared" si="92"/>
        <v>0,999999973572262+0,000760222753841723i</v>
      </c>
      <c r="AA109" s="4">
        <f t="shared" si="104"/>
        <v>1.0000002625415456</v>
      </c>
      <c r="AB109" s="4">
        <f t="shared" si="105"/>
        <v>7.6022262747869689E-4</v>
      </c>
      <c r="AC109" s="48" t="str">
        <f t="shared" si="106"/>
        <v>2,32181674560668-27,6051511464287i</v>
      </c>
      <c r="AD109" s="20">
        <f t="shared" si="107"/>
        <v>28.850417167266109</v>
      </c>
      <c r="AE109" s="44">
        <f t="shared" si="108"/>
        <v>-85.19227656737884</v>
      </c>
      <c r="AF109" t="str">
        <f t="shared" si="93"/>
        <v>-0,0000125211169631323</v>
      </c>
      <c r="AG109" t="str">
        <f t="shared" si="94"/>
        <v>2,46829272676303E-06i</v>
      </c>
      <c r="AH109">
        <f t="shared" si="109"/>
        <v>2.46829272676303E-6</v>
      </c>
      <c r="AI109">
        <f t="shared" si="110"/>
        <v>1.5707963267948966</v>
      </c>
      <c r="AJ109" t="str">
        <f t="shared" si="95"/>
        <v>1+0,00395030158885276i</v>
      </c>
      <c r="AK109">
        <f t="shared" si="111"/>
        <v>1.0000078024108827</v>
      </c>
      <c r="AL109">
        <f t="shared" si="112"/>
        <v>3.9502810410475811E-3</v>
      </c>
      <c r="AM109" t="str">
        <f t="shared" si="96"/>
        <v>1+0,578539623603799i</v>
      </c>
      <c r="AN109">
        <f t="shared" si="113"/>
        <v>1.1552956747428882</v>
      </c>
      <c r="AO109">
        <f t="shared" si="114"/>
        <v>0.52449033201606265</v>
      </c>
      <c r="AP109" s="42" t="str">
        <f t="shared" si="115"/>
        <v>-2,9147222941312+5,08429848241776i</v>
      </c>
      <c r="AQ109">
        <f t="shared" si="116"/>
        <v>15.358723356214576</v>
      </c>
      <c r="AR109" s="44">
        <f t="shared" si="117"/>
        <v>119.82474798839303</v>
      </c>
      <c r="AS109" s="42" t="str">
        <f t="shared" si="118"/>
        <v>133,585377049393+92,2661588354974i</v>
      </c>
      <c r="AT109" s="20">
        <f t="shared" si="119"/>
        <v>44.20914052348067</v>
      </c>
      <c r="AU109" s="44">
        <f t="shared" si="120"/>
        <v>34.632471421014287</v>
      </c>
    </row>
    <row r="110" spans="14:47" x14ac:dyDescent="0.3">
      <c r="N110" s="8">
        <v>92</v>
      </c>
      <c r="O110" s="35">
        <f t="shared" si="97"/>
        <v>83.176377110267126</v>
      </c>
      <c r="P110" s="34" t="str">
        <f t="shared" si="88"/>
        <v>324,571428571429</v>
      </c>
      <c r="Q110" s="4" t="str">
        <f t="shared" si="89"/>
        <v>1+11,9454306414551i</v>
      </c>
      <c r="R110" s="4">
        <f t="shared" si="98"/>
        <v>11.987214572610871</v>
      </c>
      <c r="S110" s="4">
        <f t="shared" si="99"/>
        <v>1.4872770472252224</v>
      </c>
      <c r="T110" s="4" t="str">
        <f t="shared" si="90"/>
        <v>1+0,000104522518112732i</v>
      </c>
      <c r="U110" s="4">
        <f t="shared" si="100"/>
        <v>1.0000000054624782</v>
      </c>
      <c r="V110" s="4">
        <f t="shared" si="101"/>
        <v>1.0452251773209733E-4</v>
      </c>
      <c r="W110" t="str">
        <f t="shared" si="91"/>
        <v>1-0,00090731352528413i</v>
      </c>
      <c r="X110" s="4">
        <f t="shared" si="102"/>
        <v>1.0000004116088319</v>
      </c>
      <c r="Y110" s="4">
        <f t="shared" si="103"/>
        <v>-9.0731327631202814E-4</v>
      </c>
      <c r="Z110" t="str">
        <f t="shared" si="92"/>
        <v>0,999999972326761+0,000777930616578613i</v>
      </c>
      <c r="AA110" s="4">
        <f t="shared" si="104"/>
        <v>1.0000002749147456</v>
      </c>
      <c r="AB110" s="4">
        <f t="shared" si="105"/>
        <v>7.7793048117819302E-4</v>
      </c>
      <c r="AC110" s="48" t="str">
        <f t="shared" si="106"/>
        <v>2,2161252848602-26,9856276933074i</v>
      </c>
      <c r="AD110" s="20">
        <f t="shared" si="107"/>
        <v>28.651841388803561</v>
      </c>
      <c r="AE110" s="44">
        <f t="shared" si="108"/>
        <v>-85.305266428309281</v>
      </c>
      <c r="AF110" t="str">
        <f t="shared" si="93"/>
        <v>-0,0000125211169631323</v>
      </c>
      <c r="AG110" t="str">
        <f t="shared" si="94"/>
        <v>2,52578665019416E-06i</v>
      </c>
      <c r="AH110">
        <f t="shared" si="109"/>
        <v>2.5257866501941599E-6</v>
      </c>
      <c r="AI110">
        <f t="shared" si="110"/>
        <v>1.5707963267948966</v>
      </c>
      <c r="AJ110" t="str">
        <f t="shared" si="95"/>
        <v>1+0,00404231593326856i</v>
      </c>
      <c r="AK110">
        <f t="shared" si="111"/>
        <v>1.0000081701256767</v>
      </c>
      <c r="AL110">
        <f t="shared" si="112"/>
        <v>4.0422939159083463E-3</v>
      </c>
      <c r="AM110" t="str">
        <f t="shared" si="96"/>
        <v>1+0,592015542590513i</v>
      </c>
      <c r="AN110">
        <f t="shared" si="113"/>
        <v>1.1621025783762549</v>
      </c>
      <c r="AO110">
        <f t="shared" si="114"/>
        <v>0.53452789011435475</v>
      </c>
      <c r="AP110" s="42" t="str">
        <f t="shared" si="115"/>
        <v>-2,9147201505761+4,96909599843273i</v>
      </c>
      <c r="AQ110">
        <f t="shared" si="116"/>
        <v>15.209746509372708</v>
      </c>
      <c r="AR110" s="44">
        <f t="shared" si="117"/>
        <v>120.39458575465213</v>
      </c>
      <c r="AS110" s="42" t="str">
        <f t="shared" si="118"/>
        <v>127,634789562026+89,6676920986519i</v>
      </c>
      <c r="AT110" s="20">
        <f t="shared" si="119"/>
        <v>43.861587898176268</v>
      </c>
      <c r="AU110" s="44">
        <f t="shared" si="120"/>
        <v>35.089319326342867</v>
      </c>
    </row>
    <row r="111" spans="14:47" x14ac:dyDescent="0.3">
      <c r="N111" s="8">
        <v>93</v>
      </c>
      <c r="O111" s="35">
        <f t="shared" si="97"/>
        <v>85.113803820237734</v>
      </c>
      <c r="P111" s="34" t="str">
        <f t="shared" si="88"/>
        <v>324,571428571429</v>
      </c>
      <c r="Q111" s="4" t="str">
        <f t="shared" si="89"/>
        <v>1+12,2236754651768i</v>
      </c>
      <c r="R111" s="4">
        <f t="shared" si="98"/>
        <v>12.264511481423353</v>
      </c>
      <c r="S111" s="4">
        <f t="shared" si="99"/>
        <v>1.4891696471547677</v>
      </c>
      <c r="T111" s="4" t="str">
        <f t="shared" si="90"/>
        <v>1+0,000106957160320297i</v>
      </c>
      <c r="U111" s="4">
        <f t="shared" si="100"/>
        <v>1.000000005719917</v>
      </c>
      <c r="V111" s="4">
        <f t="shared" si="101"/>
        <v>1.0695715991243961E-4</v>
      </c>
      <c r="W111" t="str">
        <f t="shared" si="91"/>
        <v>1-0,000928447572224799i</v>
      </c>
      <c r="X111" s="4">
        <f t="shared" si="102"/>
        <v>1.0000004310073543</v>
      </c>
      <c r="Y111" s="4">
        <f t="shared" si="103"/>
        <v>-9.284473054463917E-4</v>
      </c>
      <c r="Z111" t="str">
        <f t="shared" si="92"/>
        <v>0,999999971022562+0,000796050948425542i</v>
      </c>
      <c r="AA111" s="4">
        <f t="shared" si="104"/>
        <v>1.0000002878710772</v>
      </c>
      <c r="AB111" s="4">
        <f t="shared" si="105"/>
        <v>7.9605080334137972E-4</v>
      </c>
      <c r="AC111" s="48" t="str">
        <f t="shared" si="106"/>
        <v>2,11512598414846-26,3796210239515i</v>
      </c>
      <c r="AD111" s="20">
        <f t="shared" si="107"/>
        <v>28.45320195103713</v>
      </c>
      <c r="AE111" s="44">
        <f t="shared" si="108"/>
        <v>-85.415814030514298</v>
      </c>
      <c r="AF111" t="str">
        <f t="shared" si="93"/>
        <v>-0,0000125211169631323</v>
      </c>
      <c r="AG111" t="str">
        <f t="shared" si="94"/>
        <v>2,58461977913997E-06i</v>
      </c>
      <c r="AH111">
        <f t="shared" si="109"/>
        <v>2.5846197791399701E-6</v>
      </c>
      <c r="AI111">
        <f t="shared" si="110"/>
        <v>1.5707963267948966</v>
      </c>
      <c r="AJ111" t="str">
        <f t="shared" si="95"/>
        <v>1+0,00413647356709856i</v>
      </c>
      <c r="AK111">
        <f t="shared" si="111"/>
        <v>1.0000085551701903</v>
      </c>
      <c r="AL111">
        <f t="shared" si="112"/>
        <v>4.136449975082941E-3</v>
      </c>
      <c r="AM111" t="str">
        <f t="shared" si="96"/>
        <v>1+0,605805356054161i</v>
      </c>
      <c r="AN111">
        <f t="shared" si="113"/>
        <v>1.169187807592907</v>
      </c>
      <c r="AO111">
        <f t="shared" si="114"/>
        <v>0.54467721383537349</v>
      </c>
      <c r="AP111" s="42" t="str">
        <f t="shared" si="115"/>
        <v>-2,91471790600174+4,85652819410287i</v>
      </c>
      <c r="AQ111">
        <f t="shared" si="116"/>
        <v>15.06253942652515</v>
      </c>
      <c r="AR111" s="44">
        <f t="shared" si="117"/>
        <v>120.97070442397236</v>
      </c>
      <c r="AS111" s="42" t="str">
        <f t="shared" si="118"/>
        <v>121,948377673122+87,161322728148i</v>
      </c>
      <c r="AT111" s="20">
        <f t="shared" si="119"/>
        <v>43.515741377562271</v>
      </c>
      <c r="AU111" s="44">
        <f t="shared" si="120"/>
        <v>35.554890393458123</v>
      </c>
    </row>
    <row r="112" spans="14:47" x14ac:dyDescent="0.3">
      <c r="N112" s="8">
        <v>94</v>
      </c>
      <c r="O112" s="35">
        <f t="shared" si="97"/>
        <v>87.096358995608071</v>
      </c>
      <c r="P112" s="34" t="str">
        <f t="shared" si="88"/>
        <v>324,571428571429</v>
      </c>
      <c r="Q112" s="4" t="str">
        <f t="shared" si="89"/>
        <v>1+12,5084014434296i</v>
      </c>
      <c r="R112" s="4">
        <f t="shared" si="98"/>
        <v>12.548310909042367</v>
      </c>
      <c r="S112" s="4">
        <f t="shared" si="99"/>
        <v>1.4910197327286716</v>
      </c>
      <c r="T112" s="4" t="str">
        <f t="shared" si="90"/>
        <v>1+0,000109448512630009i</v>
      </c>
      <c r="U112" s="4">
        <f t="shared" si="100"/>
        <v>1.0000000059894885</v>
      </c>
      <c r="V112" s="4">
        <f t="shared" si="101"/>
        <v>1.0944851219298193E-4</v>
      </c>
      <c r="W112" t="str">
        <f t="shared" si="91"/>
        <v>1-0,000950073894357713i</v>
      </c>
      <c r="X112" s="4">
        <f t="shared" si="102"/>
        <v>1.0000004513201004</v>
      </c>
      <c r="Y112" s="4">
        <f t="shared" si="103"/>
        <v>-9.5007360849950627E-4</v>
      </c>
      <c r="Z112" t="str">
        <f t="shared" si="92"/>
        <v>0,999999969656897+0,000814593357022303i</v>
      </c>
      <c r="AA112" s="4">
        <f t="shared" si="104"/>
        <v>1.0000003014380205</v>
      </c>
      <c r="AB112" s="4">
        <f t="shared" si="105"/>
        <v>8.1459320156182524E-4</v>
      </c>
      <c r="AC112" s="48" t="str">
        <f t="shared" si="106"/>
        <v>2,01861330229744-25,7868619501446i</v>
      </c>
      <c r="AD112" s="20">
        <f t="shared" si="107"/>
        <v>28.254501681225719</v>
      </c>
      <c r="AE112" s="44">
        <f t="shared" si="108"/>
        <v>-85.523974878717596</v>
      </c>
      <c r="AF112" t="str">
        <f t="shared" si="93"/>
        <v>-0,0000125211169631323</v>
      </c>
      <c r="AG112" t="str">
        <f t="shared" si="94"/>
        <v>2,64482330770416E-06i</v>
      </c>
      <c r="AH112">
        <f t="shared" si="109"/>
        <v>2.6448233077041601E-6</v>
      </c>
      <c r="AI112">
        <f t="shared" si="110"/>
        <v>1.5707963267948966</v>
      </c>
      <c r="AJ112" t="str">
        <f t="shared" si="95"/>
        <v>1+0,00423282441396652i</v>
      </c>
      <c r="AK112">
        <f t="shared" si="111"/>
        <v>1.0000089583611336</v>
      </c>
      <c r="AL112">
        <f t="shared" si="112"/>
        <v>4.2327991346785658E-3</v>
      </c>
      <c r="AM112" t="str">
        <f t="shared" si="96"/>
        <v>1+0,619916375536369i</v>
      </c>
      <c r="AN112">
        <f t="shared" si="113"/>
        <v>1.1765612235060905</v>
      </c>
      <c r="AO112">
        <f t="shared" si="114"/>
        <v>0.55493532023408909</v>
      </c>
      <c r="AP112" s="42" t="str">
        <f t="shared" si="115"/>
        <v>-2,91471555564753+4,74653538442993i</v>
      </c>
      <c r="AQ112">
        <f t="shared" si="116"/>
        <v>14.917140988332092</v>
      </c>
      <c r="AR112" s="44">
        <f t="shared" si="117"/>
        <v>121.55293022621036</v>
      </c>
      <c r="AS112" s="42" t="str">
        <f t="shared" si="118"/>
        <v>116,514569106728+84,7427871242576i</v>
      </c>
      <c r="AT112" s="20">
        <f t="shared" si="119"/>
        <v>43.171642669557826</v>
      </c>
      <c r="AU112" s="44">
        <f t="shared" si="120"/>
        <v>36.028955347492726</v>
      </c>
    </row>
    <row r="113" spans="14:47" x14ac:dyDescent="0.3">
      <c r="N113" s="8">
        <v>95</v>
      </c>
      <c r="O113" s="35">
        <f t="shared" si="97"/>
        <v>89.125093813374562</v>
      </c>
      <c r="P113" s="34" t="str">
        <f t="shared" si="88"/>
        <v>324,571428571429</v>
      </c>
      <c r="Q113" s="4" t="str">
        <f t="shared" si="89"/>
        <v>1+12,7997595416959i</v>
      </c>
      <c r="R113" s="4">
        <f t="shared" si="98"/>
        <v>12.838763348751126</v>
      </c>
      <c r="S113" s="4">
        <f t="shared" si="99"/>
        <v>1.4928282341985279</v>
      </c>
      <c r="T113" s="4" t="str">
        <f t="shared" si="90"/>
        <v>1+0,000111997895989839i</v>
      </c>
      <c r="U113" s="4">
        <f t="shared" si="100"/>
        <v>1.0000000062717642</v>
      </c>
      <c r="V113" s="4">
        <f t="shared" si="101"/>
        <v>1.1199789552155606E-4</v>
      </c>
      <c r="W113" t="str">
        <f t="shared" si="91"/>
        <v>1-0,000972203958245134i</v>
      </c>
      <c r="X113" s="4">
        <f t="shared" si="102"/>
        <v>1.0000004725901566</v>
      </c>
      <c r="Y113" s="4">
        <f t="shared" si="103"/>
        <v>-9.7220365194255478E-4</v>
      </c>
      <c r="Z113" t="str">
        <f t="shared" si="92"/>
        <v>0,999999968226871+0,000833567673799377i</v>
      </c>
      <c r="AA113" s="4">
        <f t="shared" si="104"/>
        <v>1.0000003156443551</v>
      </c>
      <c r="AB113" s="4">
        <f t="shared" si="105"/>
        <v>8.3356750722047635E-4</v>
      </c>
      <c r="AC113" s="48" t="str">
        <f t="shared" si="106"/>
        <v>1,92639045978892-25,2070849034401i</v>
      </c>
      <c r="AD113" s="20">
        <f t="shared" si="107"/>
        <v>28.055743282714513</v>
      </c>
      <c r="AE113" s="44">
        <f t="shared" si="108"/>
        <v>-85.629803417001639</v>
      </c>
      <c r="AF113" t="str">
        <f t="shared" si="93"/>
        <v>-0,0000125211169631323</v>
      </c>
      <c r="AG113" t="str">
        <f t="shared" si="94"/>
        <v>2,70642915659447E-06i</v>
      </c>
      <c r="AH113">
        <f t="shared" si="109"/>
        <v>2.7064291565944701E-6</v>
      </c>
      <c r="AI113">
        <f t="shared" si="110"/>
        <v>1.5707963267948966</v>
      </c>
      <c r="AJ113" t="str">
        <f t="shared" si="95"/>
        <v>1+0,00433141956036683i</v>
      </c>
      <c r="AK113">
        <f t="shared" si="111"/>
        <v>1.0000093805537065</v>
      </c>
      <c r="AL113">
        <f t="shared" si="112"/>
        <v>4.3313924731354873E-3</v>
      </c>
      <c r="AM113" t="str">
        <f t="shared" si="96"/>
        <v>1+0,63435608288645i</v>
      </c>
      <c r="AN113">
        <f t="shared" si="113"/>
        <v>1.1842329331238177</v>
      </c>
      <c r="AO113">
        <f t="shared" si="114"/>
        <v>0.56529901229673341</v>
      </c>
      <c r="AP113" s="42" t="str">
        <f t="shared" si="115"/>
        <v>-2,91471309452861+4,63905924970768i</v>
      </c>
      <c r="AQ113">
        <f t="shared" si="116"/>
        <v>14.773589390521725</v>
      </c>
      <c r="AR113" s="44">
        <f t="shared" si="117"/>
        <v>122.14107705939138</v>
      </c>
      <c r="AS113" s="42" t="str">
        <f t="shared" si="118"/>
        <v>111,322284881149+82,4080599239837i</v>
      </c>
      <c r="AT113" s="20">
        <f t="shared" si="119"/>
        <v>42.829332673236244</v>
      </c>
      <c r="AU113" s="44">
        <f t="shared" si="120"/>
        <v>36.51127364238971</v>
      </c>
    </row>
    <row r="114" spans="14:47" x14ac:dyDescent="0.3">
      <c r="N114" s="8">
        <v>96</v>
      </c>
      <c r="O114" s="35">
        <f t="shared" si="97"/>
        <v>91.201083935590972</v>
      </c>
      <c r="P114" s="34" t="str">
        <f t="shared" si="88"/>
        <v>324,571428571429</v>
      </c>
      <c r="Q114" s="4" t="str">
        <f t="shared" si="89"/>
        <v>1+13,0979042418962i</v>
      </c>
      <c r="R114" s="4">
        <f t="shared" si="98"/>
        <v>13.136022820088373</v>
      </c>
      <c r="S114" s="4">
        <f t="shared" si="99"/>
        <v>1.4945960631091428</v>
      </c>
      <c r="T114" s="4" t="str">
        <f t="shared" si="90"/>
        <v>1+0,000114606662116591i</v>
      </c>
      <c r="U114" s="4">
        <f t="shared" si="100"/>
        <v>1.0000000065673433</v>
      </c>
      <c r="V114" s="4">
        <f t="shared" si="101"/>
        <v>1.1460666161481679E-4</v>
      </c>
      <c r="W114" t="str">
        <f t="shared" si="91"/>
        <v>1-0,000994849497539856i</v>
      </c>
      <c r="X114" s="4">
        <f t="shared" si="102"/>
        <v>1.0000004948626389</v>
      </c>
      <c r="Y114" s="4">
        <f t="shared" si="103"/>
        <v>-9.9484916933073792E-4</v>
      </c>
      <c r="Z114" t="str">
        <f t="shared" si="92"/>
        <v>0,999999966729449+0,000852983959190672i</v>
      </c>
      <c r="AA114" s="4">
        <f t="shared" si="104"/>
        <v>1.0000003305202121</v>
      </c>
      <c r="AB114" s="4">
        <f t="shared" si="105"/>
        <v>8.5298378069816765E-4</v>
      </c>
      <c r="AC114" s="48" t="str">
        <f t="shared" si="106"/>
        <v>1,83826908655964-24,6400280135507i</v>
      </c>
      <c r="AD114" s="20">
        <f t="shared" si="107"/>
        <v>27.856929340224092</v>
      </c>
      <c r="AE114" s="44">
        <f t="shared" si="108"/>
        <v>-85.733353044289572</v>
      </c>
      <c r="AF114" t="str">
        <f t="shared" si="93"/>
        <v>-0,0000125211169631323</v>
      </c>
      <c r="AG114" t="str">
        <f t="shared" si="94"/>
        <v>2,76946999004743E-06i</v>
      </c>
      <c r="AH114">
        <f t="shared" si="109"/>
        <v>2.7694699900474301E-6</v>
      </c>
      <c r="AI114">
        <f t="shared" si="110"/>
        <v>1.5707963267948966</v>
      </c>
      <c r="AJ114" t="str">
        <f t="shared" si="95"/>
        <v>1+0,00443231128275116i</v>
      </c>
      <c r="AK114">
        <f t="shared" si="111"/>
        <v>1.0000098226434115</v>
      </c>
      <c r="AL114">
        <f t="shared" si="112"/>
        <v>4.4322822582752485E-3</v>
      </c>
      <c r="AM114" t="str">
        <f t="shared" si="96"/>
        <v>1+0,649132134228374i</v>
      </c>
      <c r="AN114">
        <f t="shared" si="113"/>
        <v>1.1922132895115218</v>
      </c>
      <c r="AO114">
        <f t="shared" si="114"/>
        <v>0.57576487966678325</v>
      </c>
      <c r="AP114" s="42" t="str">
        <f t="shared" si="115"/>
        <v>-2,91471051742521+4,5340428045998i</v>
      </c>
      <c r="AQ114">
        <f t="shared" si="116"/>
        <v>14.631922032001983</v>
      </c>
      <c r="AR114" s="44">
        <f t="shared" si="117"/>
        <v>122.73494652975452</v>
      </c>
      <c r="AS114" s="42" t="str">
        <f t="shared" si="118"/>
        <v>106,360919479524+80,153339525582i</v>
      </c>
      <c r="AT114" s="20">
        <f t="shared" si="119"/>
        <v>42.488851372226073</v>
      </c>
      <c r="AU114" s="44">
        <f t="shared" si="120"/>
        <v>37.001593485464973</v>
      </c>
    </row>
    <row r="115" spans="14:47" x14ac:dyDescent="0.3">
      <c r="N115" s="8">
        <v>97</v>
      </c>
      <c r="O115" s="35">
        <f t="shared" si="97"/>
        <v>93.325430079699174</v>
      </c>
      <c r="P115" s="34" t="str">
        <f t="shared" si="88"/>
        <v>324,571428571429</v>
      </c>
      <c r="Q115" s="4" t="str">
        <f t="shared" si="89"/>
        <v>1+13,4029936242967i</v>
      </c>
      <c r="R115" s="4">
        <f t="shared" si="98"/>
        <v>13.440246950593504</v>
      </c>
      <c r="S115" s="4">
        <f t="shared" si="99"/>
        <v>1.4963241125632818</v>
      </c>
      <c r="T115" s="4" t="str">
        <f t="shared" si="90"/>
        <v>1+0,000117276194212596i</v>
      </c>
      <c r="U115" s="4">
        <f t="shared" si="100"/>
        <v>1.0000000068768529</v>
      </c>
      <c r="V115" s="4">
        <f t="shared" si="101"/>
        <v>1.1727619367493525E-4</v>
      </c>
      <c r="W115" t="str">
        <f t="shared" si="91"/>
        <v>1-0,00101802251920657i</v>
      </c>
      <c r="X115" s="4">
        <f t="shared" si="102"/>
        <v>1.0000005181847906</v>
      </c>
      <c r="Y115" s="4">
        <f t="shared" si="103"/>
        <v>-1.0180221675241737E-3</v>
      </c>
      <c r="Z115" t="str">
        <f t="shared" si="92"/>
        <v>0,999999965161456+0,000872852507967709i</v>
      </c>
      <c r="AA115" s="4">
        <f t="shared" si="104"/>
        <v>1.0000003460971469</v>
      </c>
      <c r="AB115" s="4">
        <f t="shared" si="105"/>
        <v>8.728523167095488E-4</v>
      </c>
      <c r="AC115" s="48" t="str">
        <f t="shared" si="106"/>
        <v>1,75406888206007-24,0854331749256i</v>
      </c>
      <c r="AD115" s="20">
        <f t="shared" si="107"/>
        <v>27.658062324926863</v>
      </c>
      <c r="AE115" s="44">
        <f t="shared" si="108"/>
        <v>-85.834676130135009</v>
      </c>
      <c r="AF115" t="str">
        <f t="shared" si="93"/>
        <v>-0,0000125211169631323</v>
      </c>
      <c r="AG115" t="str">
        <f t="shared" si="94"/>
        <v>2,83397923314739E-06i</v>
      </c>
      <c r="AH115">
        <f t="shared" si="109"/>
        <v>2.8339792331473899E-6</v>
      </c>
      <c r="AI115">
        <f t="shared" si="110"/>
        <v>1.5707963267948966</v>
      </c>
      <c r="AJ115" t="str">
        <f t="shared" si="95"/>
        <v>1+0,00453555307524619i</v>
      </c>
      <c r="AK115">
        <f t="shared" si="111"/>
        <v>1.0000102855679527</v>
      </c>
      <c r="AL115">
        <f t="shared" si="112"/>
        <v>4.535521974977203E-3</v>
      </c>
      <c r="AM115" t="str">
        <f t="shared" si="96"/>
        <v>1+0,664252364020146i</v>
      </c>
      <c r="AN115">
        <f t="shared" si="113"/>
        <v>1.2005128916868626</v>
      </c>
      <c r="AO115">
        <f t="shared" si="114"/>
        <v>0.58632930026277985</v>
      </c>
      <c r="AP115" s="42" t="str">
        <f t="shared" si="115"/>
        <v>-2,91470781887152+4,43143036792513i</v>
      </c>
      <c r="AQ115">
        <f t="shared" si="116"/>
        <v>14.492175401403053</v>
      </c>
      <c r="AR115" s="44">
        <f t="shared" si="117"/>
        <v>123.33432804286097</v>
      </c>
      <c r="AS115" s="42" t="str">
        <f t="shared" si="118"/>
        <v>101,620321710617+77,9750345072566i</v>
      </c>
      <c r="AT115" s="20">
        <f t="shared" si="119"/>
        <v>42.150237726329919</v>
      </c>
      <c r="AU115" s="44">
        <f t="shared" si="120"/>
        <v>37.499651912725966</v>
      </c>
    </row>
    <row r="116" spans="14:47" x14ac:dyDescent="0.3">
      <c r="N116" s="8">
        <v>98</v>
      </c>
      <c r="O116" s="35">
        <f t="shared" si="97"/>
        <v>95.499258602143655</v>
      </c>
      <c r="P116" s="34" t="str">
        <f t="shared" si="88"/>
        <v>324,571428571429</v>
      </c>
      <c r="Q116" s="4" t="str">
        <f t="shared" si="89"/>
        <v>1+13,7151894513265i</v>
      </c>
      <c r="R116" s="4">
        <f t="shared" si="98"/>
        <v>13.751597059461048</v>
      </c>
      <c r="S116" s="4">
        <f t="shared" si="99"/>
        <v>1.498013257490753</v>
      </c>
      <c r="T116" s="4" t="str">
        <f t="shared" si="90"/>
        <v>1+0,000120007907699107i</v>
      </c>
      <c r="U116" s="4">
        <f t="shared" si="100"/>
        <v>1.0000000072009489</v>
      </c>
      <c r="V116" s="4">
        <f t="shared" si="101"/>
        <v>1.2000790712299313E-4</v>
      </c>
      <c r="W116" t="str">
        <f t="shared" si="91"/>
        <v>1-0,00104173530988808i</v>
      </c>
      <c r="X116" s="4">
        <f t="shared" si="102"/>
        <v>1.0000005426060807</v>
      </c>
      <c r="Y116" s="4">
        <f t="shared" si="103"/>
        <v>-1.0417349330536141E-3</v>
      </c>
      <c r="Z116" t="str">
        <f t="shared" si="92"/>
        <v>0,999999963519566+0,000893183854698037i</v>
      </c>
      <c r="AA116" s="4">
        <f t="shared" si="104"/>
        <v>1.0000003624082001</v>
      </c>
      <c r="AB116" s="4">
        <f t="shared" si="105"/>
        <v>8.9318364976122993E-4</v>
      </c>
      <c r="AC116" s="48" t="str">
        <f t="shared" si="106"/>
        <v>1,67361728732192-23,5430461023761i</v>
      </c>
      <c r="AD116" s="20">
        <f t="shared" si="107"/>
        <v>27.459144599317131</v>
      </c>
      <c r="AE116" s="44">
        <f t="shared" si="108"/>
        <v>-85.933824030774787</v>
      </c>
      <c r="AF116" t="str">
        <f t="shared" si="93"/>
        <v>-0,0000125211169631323</v>
      </c>
      <c r="AG116" t="str">
        <f t="shared" si="94"/>
        <v>2,89999108954891E-06i</v>
      </c>
      <c r="AH116">
        <f t="shared" si="109"/>
        <v>2.8999910895489099E-6</v>
      </c>
      <c r="AI116">
        <f t="shared" si="110"/>
        <v>1.5707963267948966</v>
      </c>
      <c r="AJ116" t="str">
        <f t="shared" si="95"/>
        <v>1+0,00464119967801685i</v>
      </c>
      <c r="AK116">
        <f t="shared" si="111"/>
        <v>1.0000107703092258</v>
      </c>
      <c r="AL116">
        <f t="shared" si="112"/>
        <v>4.6411663534976161E-3</v>
      </c>
      <c r="AM116" t="str">
        <f t="shared" si="96"/>
        <v>1+0,67972478920774i</v>
      </c>
      <c r="AN116">
        <f t="shared" si="113"/>
        <v>1.2091425842569217</v>
      </c>
      <c r="AO116">
        <f t="shared" si="114"/>
        <v>0.5969884428217227</v>
      </c>
      <c r="AP116" s="42" t="str">
        <f t="shared" si="115"/>
        <v>-2,91470499314429+4,33116753313453i</v>
      </c>
      <c r="AQ116">
        <f t="shared" si="116"/>
        <v>14.354384962659294</v>
      </c>
      <c r="AR116" s="44">
        <f t="shared" si="117"/>
        <v>123.93899894769825</v>
      </c>
      <c r="AS116" s="42" t="str">
        <f t="shared" si="118"/>
        <v>97,090776245731+75,8697508861632i</v>
      </c>
      <c r="AT116" s="20">
        <f t="shared" si="119"/>
        <v>41.813529561976424</v>
      </c>
      <c r="AU116" s="44">
        <f t="shared" si="120"/>
        <v>38.005174916923472</v>
      </c>
    </row>
    <row r="117" spans="14:47" x14ac:dyDescent="0.3">
      <c r="N117" s="8">
        <v>99</v>
      </c>
      <c r="O117" s="35">
        <f t="shared" si="97"/>
        <v>97.723722095581124</v>
      </c>
      <c r="P117" s="34" t="str">
        <f t="shared" si="88"/>
        <v>324,571428571429</v>
      </c>
      <c r="Q117" s="4" t="str">
        <f t="shared" si="89"/>
        <v>1+14,0346572533453i</v>
      </c>
      <c r="R117" s="4">
        <f t="shared" si="98"/>
        <v>14.070238243145631</v>
      </c>
      <c r="S117" s="4">
        <f t="shared" si="99"/>
        <v>1.4996643549210653</v>
      </c>
      <c r="T117" s="4" t="str">
        <f t="shared" si="90"/>
        <v>1+0,000122803250966771i</v>
      </c>
      <c r="U117" s="4">
        <f t="shared" si="100"/>
        <v>1.0000000075403193</v>
      </c>
      <c r="V117" s="4">
        <f t="shared" si="101"/>
        <v>1.2280325034945386E-4</v>
      </c>
      <c r="W117" t="str">
        <f t="shared" si="91"/>
        <v>1-0,00106600044241989i</v>
      </c>
      <c r="X117" s="4">
        <f t="shared" si="102"/>
        <v>1.0000005681783102</v>
      </c>
      <c r="Y117" s="4">
        <f t="shared" si="103"/>
        <v>-1.0660000386344972E-3</v>
      </c>
      <c r="Z117" t="str">
        <f t="shared" si="92"/>
        <v>0,999999961800297+0,000913988779330812i</v>
      </c>
      <c r="AA117" s="4">
        <f t="shared" si="104"/>
        <v>1.0000003794879702</v>
      </c>
      <c r="AB117" s="4">
        <f t="shared" si="105"/>
        <v>9.1398855973707062E-4</v>
      </c>
      <c r="AC117" s="48" t="str">
        <f t="shared" si="106"/>
        <v>1,5967491687712-23,0126163765658i</v>
      </c>
      <c r="AD117" s="20">
        <f t="shared" si="107"/>
        <v>27.260178421883403</v>
      </c>
      <c r="AE117" s="44">
        <f t="shared" si="108"/>
        <v>-86.030847105401392</v>
      </c>
      <c r="AF117" t="str">
        <f t="shared" si="93"/>
        <v>-0,0000125211169631323</v>
      </c>
      <c r="AG117" t="str">
        <f t="shared" si="94"/>
        <v>2,96754055961203E-06i</v>
      </c>
      <c r="AH117">
        <f t="shared" si="109"/>
        <v>2.9675405596120298E-6</v>
      </c>
      <c r="AI117">
        <f t="shared" si="110"/>
        <v>1.5707963267948966</v>
      </c>
      <c r="AJ117" t="str">
        <f t="shared" si="95"/>
        <v>1+0,00474930710629033i</v>
      </c>
      <c r="AK117">
        <f t="shared" si="111"/>
        <v>1.0000112778953993</v>
      </c>
      <c r="AL117">
        <f t="shared" si="112"/>
        <v>4.7492713984463837E-3</v>
      </c>
      <c r="AM117" t="str">
        <f t="shared" si="96"/>
        <v>1+0,695557613475792i</v>
      </c>
      <c r="AN117">
        <f t="shared" si="113"/>
        <v>1.2181134568110392</v>
      </c>
      <c r="AO117">
        <f t="shared" si="114"/>
        <v>0.60773827039576778</v>
      </c>
      <c r="AP117" s="42" t="str">
        <f t="shared" si="115"/>
        <v>-2,91470203425049+4,23320113946331i</v>
      </c>
      <c r="AQ117">
        <f t="shared" si="116"/>
        <v>14.21858504027999</v>
      </c>
      <c r="AR117" s="44">
        <f t="shared" si="117"/>
        <v>124.54872473536473</v>
      </c>
      <c r="AS117" s="42" t="str">
        <f t="shared" si="118"/>
        <v>92,7629858169052+73,8342801668818i</v>
      </c>
      <c r="AT117" s="20">
        <f t="shared" si="119"/>
        <v>41.478763462163393</v>
      </c>
      <c r="AU117" s="44">
        <f t="shared" si="120"/>
        <v>38.517877629963337</v>
      </c>
    </row>
    <row r="118" spans="14:47" x14ac:dyDescent="0.3">
      <c r="N118" s="8">
        <v>100</v>
      </c>
      <c r="O118" s="35">
        <f t="shared" si="97"/>
        <v>100</v>
      </c>
      <c r="P118" s="34" t="str">
        <f t="shared" si="88"/>
        <v>324,571428571429</v>
      </c>
      <c r="Q118" s="4" t="str">
        <f t="shared" si="89"/>
        <v>1+14,3615664164105i</v>
      </c>
      <c r="R118" s="4">
        <f t="shared" si="98"/>
        <v>14.396339462966617</v>
      </c>
      <c r="S118" s="4">
        <f t="shared" si="99"/>
        <v>1.5012782442589818</v>
      </c>
      <c r="T118" s="4" t="str">
        <f t="shared" si="90"/>
        <v>1+0,000125663706143592i</v>
      </c>
      <c r="U118" s="4">
        <f t="shared" si="100"/>
        <v>1.0000000078956834</v>
      </c>
      <c r="V118" s="4">
        <f t="shared" si="101"/>
        <v>1.2566370548212479E-4</v>
      </c>
      <c r="W118" t="str">
        <f t="shared" si="91"/>
        <v>1-0,00109083078249646i</v>
      </c>
      <c r="X118" s="4">
        <f t="shared" si="102"/>
        <v>1.0000005949557209</v>
      </c>
      <c r="Y118" s="4">
        <f t="shared" si="103"/>
        <v>-1.0908303498326304E-3</v>
      </c>
      <c r="Z118" t="str">
        <f t="shared" si="92"/>
        <v>0,99999996+0,000935278312912461i</v>
      </c>
      <c r="AA118" s="4">
        <f t="shared" si="104"/>
        <v>1.0000003973726832</v>
      </c>
      <c r="AB118" s="4">
        <f t="shared" si="105"/>
        <v>9.3527807761353322E-4</v>
      </c>
      <c r="AC118" s="48" t="str">
        <f t="shared" si="106"/>
        <v>1,52330651351186-22,4938974801258i</v>
      </c>
      <c r="AD118" s="20">
        <f t="shared" si="107"/>
        <v>27.061165951589075</v>
      </c>
      <c r="AE118" s="44">
        <f t="shared" si="108"/>
        <v>-86.125794732616427</v>
      </c>
      <c r="AF118" t="str">
        <f t="shared" si="93"/>
        <v>-0,0000125211169631323</v>
      </c>
      <c r="AG118" t="str">
        <f t="shared" si="94"/>
        <v>3,03666345895989E-06i</v>
      </c>
      <c r="AH118">
        <f t="shared" si="109"/>
        <v>3.0366634589598898E-6</v>
      </c>
      <c r="AI118">
        <f t="shared" si="110"/>
        <v>1.5707963267948966</v>
      </c>
      <c r="AJ118" t="str">
        <f t="shared" si="95"/>
        <v>1+0,00485993268005608i</v>
      </c>
      <c r="AK118">
        <f t="shared" si="111"/>
        <v>1.0000118094030963</v>
      </c>
      <c r="AL118">
        <f t="shared" si="112"/>
        <v>4.8598944184363464E-3</v>
      </c>
      <c r="AM118" t="str">
        <f t="shared" si="96"/>
        <v>1+0,711759231597304i</v>
      </c>
      <c r="AN118">
        <f t="shared" si="113"/>
        <v>1.2274368430856166</v>
      </c>
      <c r="AO118">
        <f t="shared" si="114"/>
        <v>0.61857454482325192</v>
      </c>
      <c r="AP118" s="42" t="str">
        <f t="shared" si="115"/>
        <v>-2,91469893591478+4,13747924374441i</v>
      </c>
      <c r="AQ118">
        <f t="shared" si="116"/>
        <v>14.084808704998517</v>
      </c>
      <c r="AR118" s="44">
        <f t="shared" si="117"/>
        <v>125.16325929354264</v>
      </c>
      <c r="AS118" s="42" t="str">
        <f t="shared" si="118"/>
        <v>88,6280540609301+71,8655881314148i</v>
      </c>
      <c r="AT118" s="20">
        <f t="shared" si="119"/>
        <v>41.145974656587597</v>
      </c>
      <c r="AU118" s="44">
        <f t="shared" si="120"/>
        <v>39.037464560926217</v>
      </c>
    </row>
    <row r="119" spans="14:47" x14ac:dyDescent="0.3">
      <c r="N119" s="8">
        <v>1</v>
      </c>
      <c r="O119" s="35">
        <f>10^(2+(N119/100))</f>
        <v>102.32929922807544</v>
      </c>
      <c r="P119" s="34" t="str">
        <f t="shared" si="88"/>
        <v>324,571428571429</v>
      </c>
      <c r="Q119" s="4" t="str">
        <f t="shared" si="89"/>
        <v>1+14,6960902720875i</v>
      </c>
      <c r="R119" s="4">
        <f t="shared" si="98"/>
        <v>14.730073634756375</v>
      </c>
      <c r="S119" s="4">
        <f t="shared" si="99"/>
        <v>1.5028557475623205</v>
      </c>
      <c r="T119" s="4" t="str">
        <f t="shared" si="90"/>
        <v>1+0,000128590789880765i</v>
      </c>
      <c r="U119" s="4">
        <f t="shared" si="100"/>
        <v>1.0000000082677956</v>
      </c>
      <c r="V119" s="4">
        <f t="shared" si="101"/>
        <v>1.2859078917199009E-4</v>
      </c>
      <c r="W119" t="str">
        <f t="shared" si="91"/>
        <v>1-0,00111623949549276i</v>
      </c>
      <c r="X119" s="4">
        <f t="shared" si="102"/>
        <v>1.0000006229951117</v>
      </c>
      <c r="Y119" s="4">
        <f t="shared" si="103"/>
        <v>-1.1162390318851295E-3</v>
      </c>
      <c r="Z119" t="str">
        <f t="shared" si="92"/>
        <v>0,999999958114858+0,000957063743435487i</v>
      </c>
      <c r="AA119" s="4">
        <f t="shared" si="104"/>
        <v>1.0000004161002769</v>
      </c>
      <c r="AB119" s="4">
        <f t="shared" si="105"/>
        <v>9.5706349130814908E-4</v>
      </c>
      <c r="AC119" s="48" t="str">
        <f t="shared" si="106"/>
        <v>1,45313813579706-21,9866468251126i</v>
      </c>
      <c r="AD119" s="20">
        <f t="shared" si="107"/>
        <v>26.862109252168924</v>
      </c>
      <c r="AE119" s="44">
        <f t="shared" si="108"/>
        <v>-86.218715327028193</v>
      </c>
      <c r="AF119" t="str">
        <f t="shared" si="93"/>
        <v>-0,0000125211169631323</v>
      </c>
      <c r="AG119" t="str">
        <f t="shared" si="94"/>
        <v>0,0000031073964374687i</v>
      </c>
      <c r="AH119">
        <f t="shared" si="109"/>
        <v>3.1073964374686999E-6</v>
      </c>
      <c r="AI119">
        <f t="shared" si="110"/>
        <v>1.5707963267948966</v>
      </c>
      <c r="AJ119" t="str">
        <f t="shared" si="95"/>
        <v>1+0,00497313505445761i</v>
      </c>
      <c r="AK119">
        <f t="shared" si="111"/>
        <v>1.0000123659596765</v>
      </c>
      <c r="AL119">
        <f t="shared" si="112"/>
        <v>4.9730940564207968E-3</v>
      </c>
      <c r="AM119" t="str">
        <f t="shared" si="96"/>
        <v>1+0,728338233884655i</v>
      </c>
      <c r="AN119">
        <f t="shared" si="113"/>
        <v>1.2371243199202813</v>
      </c>
      <c r="AO119">
        <f t="shared" si="114"/>
        <v>0.62949283218770069</v>
      </c>
      <c r="AP119" s="42" t="str">
        <f t="shared" si="115"/>
        <v>-2,91469569156605+4,04395109286688i</v>
      </c>
      <c r="AQ119">
        <f t="shared" si="116"/>
        <v>13.953087660518825</v>
      </c>
      <c r="AR119" s="44">
        <f t="shared" si="117"/>
        <v>125.78234521753775</v>
      </c>
      <c r="AS119" s="42" t="str">
        <f t="shared" si="118"/>
        <v>84,6774689932342+69,9608043254831i</v>
      </c>
      <c r="AT119" s="20">
        <f t="shared" si="119"/>
        <v>40.815196912687746</v>
      </c>
      <c r="AU119" s="44">
        <f t="shared" si="120"/>
        <v>39.563629890509553</v>
      </c>
    </row>
    <row r="120" spans="14:47" x14ac:dyDescent="0.3">
      <c r="N120" s="8">
        <v>2</v>
      </c>
      <c r="O120" s="35">
        <f t="shared" ref="O120:O183" si="121">10^(2+(N120/100))</f>
        <v>104.71285480508998</v>
      </c>
      <c r="P120" s="34" t="str">
        <f t="shared" si="88"/>
        <v>324,571428571429</v>
      </c>
      <c r="Q120" s="4" t="str">
        <f t="shared" si="89"/>
        <v>1+15,0384061893525i</v>
      </c>
      <c r="R120" s="4">
        <f t="shared" si="98"/>
        <v>15.071617720601711</v>
      </c>
      <c r="S120" s="4">
        <f t="shared" si="99"/>
        <v>1.5043976698214154</v>
      </c>
      <c r="T120" s="4" t="str">
        <f t="shared" si="90"/>
        <v>1+0,000131586054156834i</v>
      </c>
      <c r="U120" s="4">
        <f t="shared" si="100"/>
        <v>1.0000000086574448</v>
      </c>
      <c r="V120" s="4">
        <f t="shared" si="101"/>
        <v>1.3158605339736799E-4</v>
      </c>
      <c r="W120" t="str">
        <f t="shared" si="91"/>
        <v>1-0,00114224005344474i</v>
      </c>
      <c r="X120" s="4">
        <f t="shared" si="102"/>
        <v>1.000000652355957</v>
      </c>
      <c r="Y120" s="4">
        <f t="shared" si="103"/>
        <v>-1.1422395566802314E-3</v>
      </c>
      <c r="Z120" t="str">
        <f t="shared" si="92"/>
        <v>0,999999956140872+0,00097935662182352i</v>
      </c>
      <c r="AA120" s="4">
        <f t="shared" si="104"/>
        <v>1.0000004357104746</v>
      </c>
      <c r="AB120" s="4">
        <f t="shared" si="105"/>
        <v>9.7935635166421643E-4</v>
      </c>
      <c r="AC120" s="48" t="str">
        <f t="shared" si="106"/>
        <v>1,38609939439822-21,4906257724812i</v>
      </c>
      <c r="AD120" s="20">
        <f t="shared" si="107"/>
        <v>26.663010296248117</v>
      </c>
      <c r="AE120" s="44">
        <f t="shared" si="108"/>
        <v>-86.309656355960527</v>
      </c>
      <c r="AF120" t="str">
        <f t="shared" si="93"/>
        <v>-0,0000125211169631323</v>
      </c>
      <c r="AG120" t="str">
        <f t="shared" si="94"/>
        <v>0,0000031797769986999i</v>
      </c>
      <c r="AH120">
        <f t="shared" si="109"/>
        <v>3.1797769986999002E-6</v>
      </c>
      <c r="AI120">
        <f t="shared" si="110"/>
        <v>1.5707963267948966</v>
      </c>
      <c r="AJ120" t="str">
        <f t="shared" si="95"/>
        <v>1+0,00508897425089224i</v>
      </c>
      <c r="AK120">
        <f t="shared" si="111"/>
        <v>1.0000129487456282</v>
      </c>
      <c r="AL120">
        <f t="shared" si="112"/>
        <v>5.0889303207350394E-3</v>
      </c>
      <c r="AM120" t="str">
        <f t="shared" si="96"/>
        <v>1+0,745303410744309i</v>
      </c>
      <c r="AN120">
        <f t="shared" si="113"/>
        <v>1.2471877060278858</v>
      </c>
      <c r="AO120">
        <f t="shared" si="114"/>
        <v>0.64048850927057777</v>
      </c>
      <c r="AP120" s="42" t="str">
        <f t="shared" si="115"/>
        <v>-2,91469229432363+3,95256709686568i</v>
      </c>
      <c r="AQ120">
        <f t="shared" si="116"/>
        <v>13.823452132106501</v>
      </c>
      <c r="AR120" s="44">
        <f t="shared" si="117"/>
        <v>126.4057141782155</v>
      </c>
      <c r="AS120" s="42" t="str">
        <f t="shared" si="118"/>
        <v>80,9030870953436+68,1172121985276i</v>
      </c>
      <c r="AT120" s="20">
        <f t="shared" si="119"/>
        <v>40.486462428354614</v>
      </c>
      <c r="AU120" s="44">
        <f t="shared" si="120"/>
        <v>40.096057822254998</v>
      </c>
    </row>
    <row r="121" spans="14:47" x14ac:dyDescent="0.3">
      <c r="N121" s="8">
        <v>3</v>
      </c>
      <c r="O121" s="35">
        <f t="shared" si="121"/>
        <v>107.15193052376065</v>
      </c>
      <c r="P121" s="34" t="str">
        <f t="shared" si="88"/>
        <v>324,571428571429</v>
      </c>
      <c r="Q121" s="4" t="str">
        <f t="shared" si="89"/>
        <v>1+15,3886956686359i</v>
      </c>
      <c r="R121" s="4">
        <f t="shared" si="98"/>
        <v>15.421152822726754</v>
      </c>
      <c r="S121" s="4">
        <f t="shared" si="99"/>
        <v>1.5059047992396981</v>
      </c>
      <c r="T121" s="4" t="str">
        <f t="shared" si="90"/>
        <v>1+0,000134651087100564i</v>
      </c>
      <c r="U121" s="4">
        <f t="shared" si="100"/>
        <v>1.0000000090654575</v>
      </c>
      <c r="V121" s="4">
        <f t="shared" si="101"/>
        <v>1.3465108628678152E-4</v>
      </c>
      <c r="W121" t="str">
        <f t="shared" si="91"/>
        <v>1-0,0011688462421924i</v>
      </c>
      <c r="X121" s="4">
        <f t="shared" si="102"/>
        <v>1.0000006831005357</v>
      </c>
      <c r="Y121" s="4">
        <f t="shared" si="103"/>
        <v>-1.1688457098996583E-3</v>
      </c>
      <c r="Z121" t="str">
        <f t="shared" si="92"/>
        <v>0,999999954073855+0,00100216876805576i</v>
      </c>
      <c r="AA121" s="4">
        <f t="shared" si="104"/>
        <v>1.0000004562448719</v>
      </c>
      <c r="AB121" s="4">
        <f t="shared" si="105"/>
        <v>1.0021684785748578E-3</v>
      </c>
      <c r="AC121" s="48" t="str">
        <f t="shared" si="106"/>
        <v>1,32205192057758-21,0055996442036i</v>
      </c>
      <c r="AD121" s="20">
        <f t="shared" si="107"/>
        <v>26.463870969290511</v>
      </c>
      <c r="AE121" s="44">
        <f t="shared" si="108"/>
        <v>-86.398664356241781</v>
      </c>
      <c r="AF121" t="str">
        <f t="shared" si="93"/>
        <v>-0,0000125211169631323</v>
      </c>
      <c r="AG121" t="str">
        <f t="shared" si="94"/>
        <v>3,25384351978513E-06i</v>
      </c>
      <c r="AH121">
        <f t="shared" si="109"/>
        <v>3.2538435197851302E-6</v>
      </c>
      <c r="AI121">
        <f t="shared" si="110"/>
        <v>1.5707963267948966</v>
      </c>
      <c r="AJ121" t="str">
        <f t="shared" si="95"/>
        <v>1+0,00520751168883523i</v>
      </c>
      <c r="AK121">
        <f t="shared" si="111"/>
        <v>1.0000135589970716</v>
      </c>
      <c r="AL121">
        <f t="shared" si="112"/>
        <v>5.2074646168581784E-3</v>
      </c>
      <c r="AM121" t="str">
        <f t="shared" si="96"/>
        <v>1+0,762663757337596i</v>
      </c>
      <c r="AN121">
        <f t="shared" si="113"/>
        <v>1.2576390606037566</v>
      </c>
      <c r="AO121">
        <f t="shared" si="114"/>
        <v>0.65155677099505127</v>
      </c>
      <c r="AP121" s="42" t="str">
        <f t="shared" si="115"/>
        <v>-2,91468873698259+3,8632788026277i</v>
      </c>
      <c r="AQ121">
        <f t="shared" si="116"/>
        <v>13.69593075778678</v>
      </c>
      <c r="AR121" s="44">
        <f t="shared" si="117"/>
        <v>127.03308734667853</v>
      </c>
      <c r="AS121" s="42" t="str">
        <f t="shared" si="118"/>
        <v>77,2971179993221+66,3322398572663i</v>
      </c>
      <c r="AT121" s="20">
        <f t="shared" si="119"/>
        <v>40.159801727077294</v>
      </c>
      <c r="AU121" s="44">
        <f t="shared" si="120"/>
        <v>40.634422990436732</v>
      </c>
    </row>
    <row r="122" spans="14:47" x14ac:dyDescent="0.3">
      <c r="N122" s="8">
        <v>4</v>
      </c>
      <c r="O122" s="35">
        <f t="shared" si="121"/>
        <v>109.64781961431861</v>
      </c>
      <c r="P122" s="34" t="str">
        <f t="shared" si="88"/>
        <v>324,571428571429</v>
      </c>
      <c r="Q122" s="4" t="str">
        <f t="shared" si="89"/>
        <v>1+15,7471444380563i</v>
      </c>
      <c r="R122" s="4">
        <f t="shared" si="98"/>
        <v>15.778864279567381</v>
      </c>
      <c r="S122" s="4">
        <f t="shared" si="99"/>
        <v>1.5073779075148916</v>
      </c>
      <c r="T122" s="4" t="str">
        <f t="shared" si="90"/>
        <v>1+0,000137787513832993i</v>
      </c>
      <c r="U122" s="4">
        <f t="shared" si="100"/>
        <v>1.0000000094926995</v>
      </c>
      <c r="V122" s="4">
        <f t="shared" si="101"/>
        <v>1.3778751296100936E-4</v>
      </c>
      <c r="W122" t="str">
        <f t="shared" si="91"/>
        <v>1-0,00119607216868917i</v>
      </c>
      <c r="X122" s="4">
        <f t="shared" si="102"/>
        <v>1.0000007152940604</v>
      </c>
      <c r="Y122" s="4">
        <f t="shared" si="103"/>
        <v>-1.1960715983272434E-3</v>
      </c>
      <c r="Z122" t="str">
        <f t="shared" si="92"/>
        <v>0,999999951909423+0,0010255122774341i</v>
      </c>
      <c r="AA122" s="4">
        <f t="shared" si="104"/>
        <v>1.0000004777470257</v>
      </c>
      <c r="AB122" s="4">
        <f t="shared" si="105"/>
        <v>1.0255119672497323E-3</v>
      </c>
      <c r="AC122" s="48" t="str">
        <f t="shared" si="106"/>
        <v>1,26086335636675-20,5313377286233i</v>
      </c>
      <c r="AD122" s="20">
        <f t="shared" si="107"/>
        <v>26.264693073382553</v>
      </c>
      <c r="AE122" s="44">
        <f t="shared" si="108"/>
        <v>-86.485784951045559</v>
      </c>
      <c r="AF122" t="str">
        <f t="shared" si="93"/>
        <v>-0,0000125211169631323</v>
      </c>
      <c r="AG122" t="str">
        <f t="shared" si="94"/>
        <v>3,32963527177427E-06i</v>
      </c>
      <c r="AH122">
        <f t="shared" si="109"/>
        <v>3.3296352717742699E-6</v>
      </c>
      <c r="AI122">
        <f t="shared" si="110"/>
        <v>1.5707963267948966</v>
      </c>
      <c r="AJ122" t="str">
        <f t="shared" si="95"/>
        <v>1+0,00532881021840521i</v>
      </c>
      <c r="AK122">
        <f t="shared" si="111"/>
        <v>1.0000141980083801</v>
      </c>
      <c r="AL122">
        <f t="shared" si="112"/>
        <v>5.32875977991174E-3</v>
      </c>
      <c r="AM122" t="str">
        <f t="shared" si="96"/>
        <v>1+0,780428478350071i</v>
      </c>
      <c r="AN122">
        <f t="shared" si="113"/>
        <v>1.2684906818025141</v>
      </c>
      <c r="AO122">
        <f t="shared" si="114"/>
        <v>0.6626926388492802</v>
      </c>
      <c r="AP122" s="42" t="str">
        <f t="shared" si="115"/>
        <v>-2,91468501199854+3,77603886820088i</v>
      </c>
      <c r="AQ122">
        <f t="shared" si="116"/>
        <v>13.57055048292526</v>
      </c>
      <c r="AR122" s="44">
        <f t="shared" si="117"/>
        <v>127.66417587502302</v>
      </c>
      <c r="AS122" s="42" t="str">
        <f t="shared" si="118"/>
        <v>73,8521097524604+64,6034513950295i</v>
      </c>
      <c r="AT122" s="20">
        <f t="shared" si="119"/>
        <v>39.835243556307809</v>
      </c>
      <c r="AU122" s="44">
        <f t="shared" si="120"/>
        <v>41.178390923977446</v>
      </c>
    </row>
    <row r="123" spans="14:47" x14ac:dyDescent="0.3">
      <c r="N123" s="8">
        <v>5</v>
      </c>
      <c r="O123" s="35">
        <f t="shared" si="121"/>
        <v>112.20184543019634</v>
      </c>
      <c r="P123" s="34" t="str">
        <f t="shared" si="88"/>
        <v>324,571428571429</v>
      </c>
      <c r="Q123" s="4" t="str">
        <f t="shared" si="89"/>
        <v>1+16,1139425518959i</v>
      </c>
      <c r="R123" s="4">
        <f t="shared" si="98"/>
        <v>16.144941764088262</v>
      </c>
      <c r="S123" s="4">
        <f t="shared" si="99"/>
        <v>1.5088177501203628</v>
      </c>
      <c r="T123" s="4" t="str">
        <f t="shared" si="90"/>
        <v>1+0,000140996997329089i</v>
      </c>
      <c r="U123" s="4">
        <f t="shared" si="100"/>
        <v>1.0000000099400765</v>
      </c>
      <c r="V123" s="4">
        <f t="shared" si="101"/>
        <v>1.409969963947417E-4</v>
      </c>
      <c r="W123" t="str">
        <f t="shared" si="91"/>
        <v>1-0,00122393226848168i</v>
      </c>
      <c r="X123" s="4">
        <f t="shared" si="102"/>
        <v>1.0000007490048184</v>
      </c>
      <c r="Y123" s="4">
        <f t="shared" si="103"/>
        <v>-1.2239316573278895E-3</v>
      </c>
      <c r="Z123" t="str">
        <f t="shared" si="92"/>
        <v>0,999999949642984+0,00104939952699619i</v>
      </c>
      <c r="AA123" s="4">
        <f t="shared" si="104"/>
        <v>1.0000005002625438</v>
      </c>
      <c r="AB123" s="4">
        <f t="shared" si="105"/>
        <v>1.0493991946276609E-3</v>
      </c>
      <c r="AC123" s="48" t="str">
        <f t="shared" si="106"/>
        <v>1,20240710285206-20,067613279598i</v>
      </c>
      <c r="AD123" s="20">
        <f t="shared" si="107"/>
        <v>26.065478330858799</v>
      </c>
      <c r="AE123" s="44">
        <f t="shared" si="108"/>
        <v>-86.571062866757742</v>
      </c>
      <c r="AF123" t="str">
        <f t="shared" si="93"/>
        <v>-0,0000125211169631323</v>
      </c>
      <c r="AG123" t="str">
        <f t="shared" si="94"/>
        <v>3,40719244045743E-06i</v>
      </c>
      <c r="AH123">
        <f t="shared" si="109"/>
        <v>3.4071924404574298E-6</v>
      </c>
      <c r="AI123">
        <f t="shared" si="110"/>
        <v>1.5707963267948966</v>
      </c>
      <c r="AJ123" t="str">
        <f t="shared" si="95"/>
        <v>1+0,00545293415368812i</v>
      </c>
      <c r="AK123">
        <f t="shared" si="111"/>
        <v>1.0000148671349263</v>
      </c>
      <c r="AL123">
        <f t="shared" si="112"/>
        <v>5.4528801079120354E-3</v>
      </c>
      <c r="AM123" t="str">
        <f t="shared" si="96"/>
        <v>1+0,79860699287196i</v>
      </c>
      <c r="AN123">
        <f t="shared" si="113"/>
        <v>1.2797551051134723</v>
      </c>
      <c r="AO123">
        <f t="shared" si="114"/>
        <v>0.67389097026856903</v>
      </c>
      <c r="AP123" s="42" t="str">
        <f t="shared" si="115"/>
        <v>-2,91468111147161+3,69080103769235i</v>
      </c>
      <c r="AQ123">
        <f t="shared" si="116"/>
        <v>13.447336458966282</v>
      </c>
      <c r="AR123" s="44">
        <f t="shared" si="117"/>
        <v>128.29868143199087</v>
      </c>
      <c r="AS123" s="42" t="str">
        <f t="shared" si="118"/>
        <v>70,5609346453669+62,9285387612962i</v>
      </c>
      <c r="AT123" s="20">
        <f t="shared" si="119"/>
        <v>39.512814789825079</v>
      </c>
      <c r="AU123" s="44">
        <f t="shared" si="120"/>
        <v>41.727618565233151</v>
      </c>
    </row>
    <row r="124" spans="14:47" x14ac:dyDescent="0.3">
      <c r="N124" s="8">
        <v>6</v>
      </c>
      <c r="O124" s="35">
        <f t="shared" si="121"/>
        <v>114.81536214968835</v>
      </c>
      <c r="P124" s="34" t="str">
        <f t="shared" si="88"/>
        <v>324,571428571429</v>
      </c>
      <c r="Q124" s="4" t="str">
        <f t="shared" si="89"/>
        <v>1+16,4892844913697i</v>
      </c>
      <c r="R124" s="4">
        <f t="shared" si="98"/>
        <v>16.519579384394909</v>
      </c>
      <c r="S124" s="4">
        <f t="shared" si="99"/>
        <v>1.5102250665862078</v>
      </c>
      <c r="T124" s="4" t="str">
        <f t="shared" si="90"/>
        <v>1+0,000144281239299485i</v>
      </c>
      <c r="U124" s="4">
        <f t="shared" si="100"/>
        <v>1.000000010408538</v>
      </c>
      <c r="V124" s="4">
        <f t="shared" si="101"/>
        <v>1.4428123829831384E-4</v>
      </c>
      <c r="W124" t="str">
        <f t="shared" si="91"/>
        <v>1-0,00125244131336359i</v>
      </c>
      <c r="X124" s="4">
        <f t="shared" si="102"/>
        <v>1.0000007843043142</v>
      </c>
      <c r="Y124" s="4">
        <f t="shared" si="103"/>
        <v>-1.2524406585005328E-3</v>
      </c>
      <c r="Z124" t="str">
        <f t="shared" si="92"/>
        <v>0,99999994726973+0,00107384318207794i</v>
      </c>
      <c r="AA124" s="4">
        <f t="shared" si="104"/>
        <v>1.000000523839184</v>
      </c>
      <c r="AB124" s="4">
        <f t="shared" si="105"/>
        <v>1.0738428259386556E-3</v>
      </c>
      <c r="AC124" s="48" t="str">
        <f t="shared" si="106"/>
        <v>1,14656207816755-19,6142035099488i</v>
      </c>
      <c r="AD124" s="20">
        <f t="shared" si="107"/>
        <v>25.866228387775585</v>
      </c>
      <c r="AE124" s="44">
        <f t="shared" si="108"/>
        <v>-86.654541949845381</v>
      </c>
      <c r="AF124" t="str">
        <f t="shared" si="93"/>
        <v>-0,0000125211169631323</v>
      </c>
      <c r="AG124" t="str">
        <f t="shared" si="94"/>
        <v>3,48655614767206E-06i</v>
      </c>
      <c r="AH124">
        <f t="shared" si="109"/>
        <v>3.4865561476720601E-6</v>
      </c>
      <c r="AI124">
        <f t="shared" si="110"/>
        <v>1.5707963267948966</v>
      </c>
      <c r="AJ124" t="str">
        <f t="shared" si="95"/>
        <v>1+0,00557994930683744i</v>
      </c>
      <c r="AK124">
        <f t="shared" si="111"/>
        <v>1.0000155677959552</v>
      </c>
      <c r="AL124">
        <f t="shared" si="112"/>
        <v>5.5798913957936895E-3</v>
      </c>
      <c r="AM124" t="str">
        <f t="shared" si="96"/>
        <v>1+0,817208939392283i</v>
      </c>
      <c r="AN124">
        <f t="shared" si="113"/>
        <v>1.2914451016681507</v>
      </c>
      <c r="AO124">
        <f t="shared" si="114"/>
        <v>0.68514646894647824</v>
      </c>
      <c r="AP124" s="42" t="str">
        <f t="shared" si="115"/>
        <v>-2,91467702712968+3,60752011674227i</v>
      </c>
      <c r="AQ124">
        <f t="shared" si="116"/>
        <v>13.326311947097372</v>
      </c>
      <c r="AR124" s="44">
        <f t="shared" si="117"/>
        <v>128.93629679180395</v>
      </c>
      <c r="AS124" s="42" t="str">
        <f t="shared" si="118"/>
        <v>67,4167755866041+61,3053141379774i</v>
      </c>
      <c r="AT124" s="20">
        <f t="shared" si="119"/>
        <v>39.192540334872959</v>
      </c>
      <c r="AU124" s="44">
        <f t="shared" si="120"/>
        <v>42.281754841958609</v>
      </c>
    </row>
    <row r="125" spans="14:47" x14ac:dyDescent="0.3">
      <c r="N125" s="8">
        <v>7</v>
      </c>
      <c r="O125" s="35">
        <f t="shared" si="121"/>
        <v>117.48975549395293</v>
      </c>
      <c r="P125" s="34" t="str">
        <f t="shared" si="88"/>
        <v>324,571428571429</v>
      </c>
      <c r="Q125" s="4" t="str">
        <f t="shared" si="89"/>
        <v>1+16,8733692677423i</v>
      </c>
      <c r="R125" s="4">
        <f t="shared" si="98"/>
        <v>16.902975786694793</v>
      </c>
      <c r="S125" s="4">
        <f t="shared" si="99"/>
        <v>1.5116005807796877</v>
      </c>
      <c r="T125" s="4" t="str">
        <f t="shared" si="90"/>
        <v>1+0,000147641981092745i</v>
      </c>
      <c r="U125" s="4">
        <f t="shared" si="100"/>
        <v>1.0000000108990772</v>
      </c>
      <c r="V125" s="4">
        <f t="shared" si="101"/>
        <v>1.4764198001997078E-4</v>
      </c>
      <c r="W125" t="str">
        <f t="shared" si="91"/>
        <v>1-0,00128161441920786i</v>
      </c>
      <c r="X125" s="4">
        <f t="shared" si="102"/>
        <v>1.0000008212674225</v>
      </c>
      <c r="Y125" s="4">
        <f t="shared" si="103"/>
        <v>-1.2816137175094828E-3</v>
      </c>
      <c r="Z125" t="str">
        <f t="shared" si="92"/>
        <v>0,999999944784629+0,00109885620302882i</v>
      </c>
      <c r="AA125" s="4">
        <f t="shared" si="104"/>
        <v>1.0000005485269574</v>
      </c>
      <c r="AB125" s="4">
        <f t="shared" si="105"/>
        <v>1.0988558214187125E-3</v>
      </c>
      <c r="AC125" s="48" t="str">
        <f t="shared" si="106"/>
        <v>1,09321248489692-19,1708895796997i</v>
      </c>
      <c r="AD125" s="20">
        <f t="shared" si="107"/>
        <v>25.666944817238765</v>
      </c>
      <c r="AE125" s="44">
        <f t="shared" si="108"/>
        <v>-86.736265183706124</v>
      </c>
      <c r="AF125" t="str">
        <f t="shared" si="93"/>
        <v>-0,0000125211169631323</v>
      </c>
      <c r="AG125" t="str">
        <f t="shared" si="94"/>
        <v>3,56776847310619E-06i</v>
      </c>
      <c r="AH125">
        <f t="shared" si="109"/>
        <v>3.5677684731061898E-6</v>
      </c>
      <c r="AI125">
        <f t="shared" si="110"/>
        <v>1.5707963267948966</v>
      </c>
      <c r="AJ125" t="str">
        <f t="shared" si="95"/>
        <v>1+0,0057099230229686i</v>
      </c>
      <c r="AK125">
        <f t="shared" si="111"/>
        <v>1.0000163014775949</v>
      </c>
      <c r="AL125">
        <f t="shared" si="112"/>
        <v>5.7098609702218662E-3</v>
      </c>
      <c r="AM125" t="str">
        <f t="shared" si="96"/>
        <v>1+0,83624418090931i</v>
      </c>
      <c r="AN125">
        <f t="shared" si="113"/>
        <v>1.3035736765157091</v>
      </c>
      <c r="AO125">
        <f t="shared" si="114"/>
        <v>0.69645369603566942</v>
      </c>
      <c r="AP125" s="42" t="str">
        <f t="shared" si="115"/>
        <v>-2,91467275031093+3,52615194856063i</v>
      </c>
      <c r="AQ125">
        <f t="shared" si="116"/>
        <v>13.207498227591653</v>
      </c>
      <c r="AR125" s="44">
        <f t="shared" si="117"/>
        <v>129.57670647393067</v>
      </c>
      <c r="AS125" s="42" t="str">
        <f t="shared" si="118"/>
        <v>64,41311300707+59,7317027909806i</v>
      </c>
      <c r="AT125" s="20">
        <f t="shared" si="119"/>
        <v>38.874443044830414</v>
      </c>
      <c r="AU125" s="44">
        <f t="shared" si="120"/>
        <v>42.840441290224597</v>
      </c>
    </row>
    <row r="126" spans="14:47" x14ac:dyDescent="0.3">
      <c r="N126" s="8">
        <v>8</v>
      </c>
      <c r="O126" s="35">
        <f t="shared" si="121"/>
        <v>120.22644346174135</v>
      </c>
      <c r="P126" s="34" t="str">
        <f t="shared" si="88"/>
        <v>324,571428571429</v>
      </c>
      <c r="Q126" s="4" t="str">
        <f t="shared" si="89"/>
        <v>1+17,2664005278462i</v>
      </c>
      <c r="R126" s="4">
        <f t="shared" si="98"/>
        <v>17.295334260661388</v>
      </c>
      <c r="S126" s="4">
        <f t="shared" si="99"/>
        <v>1.5129450011846557</v>
      </c>
      <c r="T126" s="4" t="str">
        <f t="shared" si="90"/>
        <v>1+0,000151081004618654i</v>
      </c>
      <c r="U126" s="4">
        <f t="shared" si="100"/>
        <v>1.000000011412735</v>
      </c>
      <c r="V126" s="4">
        <f t="shared" si="101"/>
        <v>1.5108100346915569E-4</v>
      </c>
      <c r="W126" t="str">
        <f t="shared" si="91"/>
        <v>1-0,00131146705398137i</v>
      </c>
      <c r="X126" s="4">
        <f t="shared" si="102"/>
        <v>1.0000008599725472</v>
      </c>
      <c r="Y126" s="4">
        <f t="shared" si="103"/>
        <v>-1.3114663020980474E-3</v>
      </c>
      <c r="Z126" t="str">
        <f t="shared" si="92"/>
        <v>0,999999942182409+0,00112445185208363i</v>
      </c>
      <c r="AA126" s="4">
        <f t="shared" si="104"/>
        <v>1.0000005743782296</v>
      </c>
      <c r="AB126" s="4">
        <f t="shared" si="105"/>
        <v>1.1244514431810451E-3</v>
      </c>
      <c r="AC126" s="48" t="str">
        <f t="shared" si="106"/>
        <v>1,04224758658756-18,7374565795569i</v>
      </c>
      <c r="AD126" s="20">
        <f t="shared" si="107"/>
        <v>25.467629122590147</v>
      </c>
      <c r="AE126" s="44">
        <f t="shared" si="108"/>
        <v>-86.816274705478236</v>
      </c>
      <c r="AF126" t="str">
        <f t="shared" si="93"/>
        <v>-0,0000125211169631323</v>
      </c>
      <c r="AG126" t="str">
        <f t="shared" si="94"/>
        <v>3,65087247660978E-06i</v>
      </c>
      <c r="AH126">
        <f t="shared" si="109"/>
        <v>3.65087247660978E-6</v>
      </c>
      <c r="AI126">
        <f t="shared" si="110"/>
        <v>1.5707963267948966</v>
      </c>
      <c r="AJ126" t="str">
        <f t="shared" si="95"/>
        <v>1+0,00584292421586632i</v>
      </c>
      <c r="AK126">
        <f t="shared" si="111"/>
        <v>1.0000170697360082</v>
      </c>
      <c r="AL126">
        <f t="shared" si="112"/>
        <v>5.8428577252115496E-3</v>
      </c>
      <c r="AM126" t="str">
        <f t="shared" si="96"/>
        <v>1+0,855722810160057i</v>
      </c>
      <c r="AN126">
        <f t="shared" si="113"/>
        <v>1.3161540669041087</v>
      </c>
      <c r="AO126">
        <f t="shared" si="114"/>
        <v>0.7078070821900625</v>
      </c>
      <c r="AP126" s="42" t="str">
        <f t="shared" si="115"/>
        <v>-2,91466827194537+3,4466533905139i</v>
      </c>
      <c r="AQ126">
        <f t="shared" si="116"/>
        <v>13.09091451555221</v>
      </c>
      <c r="AR126" s="44">
        <f t="shared" si="117"/>
        <v>130.21958743100993</v>
      </c>
      <c r="AS126" s="42" t="str">
        <f t="shared" si="118"/>
        <v>61,5437122773984+58,2057363674555i</v>
      </c>
      <c r="AT126" s="20">
        <f t="shared" si="119"/>
        <v>38.558543638142368</v>
      </c>
      <c r="AU126" s="44">
        <f t="shared" si="120"/>
        <v>43.403312725531705</v>
      </c>
    </row>
    <row r="127" spans="14:47" x14ac:dyDescent="0.3">
      <c r="N127" s="8">
        <v>9</v>
      </c>
      <c r="O127" s="35">
        <f t="shared" si="121"/>
        <v>123.02687708123821</v>
      </c>
      <c r="P127" s="34" t="str">
        <f t="shared" si="88"/>
        <v>324,571428571429</v>
      </c>
      <c r="Q127" s="4" t="str">
        <f t="shared" si="89"/>
        <v>1+17,6685866620577i</v>
      </c>
      <c r="R127" s="4">
        <f t="shared" si="98"/>
        <v>17.69686284725751</v>
      </c>
      <c r="S127" s="4">
        <f t="shared" si="99"/>
        <v>1.5142590211796574</v>
      </c>
      <c r="T127" s="4" t="str">
        <f t="shared" si="90"/>
        <v>1+0,000154600133293005i</v>
      </c>
      <c r="U127" s="4">
        <f t="shared" si="100"/>
        <v>1.0000000119506005</v>
      </c>
      <c r="V127" s="4">
        <f t="shared" si="101"/>
        <v>1.5460013206129537E-4</v>
      </c>
      <c r="W127" t="str">
        <f t="shared" si="91"/>
        <v>1-0,00134201504594622i</v>
      </c>
      <c r="X127" s="4">
        <f t="shared" si="102"/>
        <v>1.0000009005017865</v>
      </c>
      <c r="Y127" s="4">
        <f t="shared" si="103"/>
        <v>-1.3420142402887636E-3</v>
      </c>
      <c r="Z127" t="str">
        <f t="shared" si="92"/>
        <v>0,99999993945755+0,00115064370039429i</v>
      </c>
      <c r="AA127" s="4">
        <f t="shared" si="104"/>
        <v>1.0000006014478335</v>
      </c>
      <c r="AB127" s="4">
        <f t="shared" si="105"/>
        <v>1.1506432622472903E-3</v>
      </c>
      <c r="AC127" s="48" t="str">
        <f t="shared" si="106"/>
        <v>0,993561493082916-18,3136935100544i</v>
      </c>
      <c r="AD127" s="20">
        <f t="shared" si="107"/>
        <v>25.268282740460211</v>
      </c>
      <c r="AE127" s="44">
        <f t="shared" si="108"/>
        <v>-86.894611822793166</v>
      </c>
      <c r="AF127" t="str">
        <f t="shared" si="93"/>
        <v>-0,0000125211169631323</v>
      </c>
      <c r="AG127" t="str">
        <f t="shared" si="94"/>
        <v>3,73591222102547E-06i</v>
      </c>
      <c r="AH127">
        <f t="shared" si="109"/>
        <v>3.7359122210254701E-6</v>
      </c>
      <c r="AI127">
        <f t="shared" si="110"/>
        <v>1.5707963267948966</v>
      </c>
      <c r="AJ127" t="str">
        <f t="shared" si="95"/>
        <v>1+0,00597902340452352i</v>
      </c>
      <c r="AK127">
        <f t="shared" si="111"/>
        <v>1.0000178742006924</v>
      </c>
      <c r="AL127">
        <f t="shared" si="112"/>
        <v>5.978952158572093E-3</v>
      </c>
      <c r="AM127" t="str">
        <f t="shared" si="96"/>
        <v>1+0,87565515497158i</v>
      </c>
      <c r="AN127">
        <f t="shared" si="113"/>
        <v>1.3291997406064679</v>
      </c>
      <c r="AO127">
        <f t="shared" si="114"/>
        <v>0.71920094039092874</v>
      </c>
      <c r="AP127" s="42" t="str">
        <f t="shared" si="115"/>
        <v>-2,91466358253569+3,36898229124972i</v>
      </c>
      <c r="AQ127">
        <f t="shared" si="116"/>
        <v>12.976577883748615</v>
      </c>
      <c r="AR127" s="44">
        <f t="shared" si="117"/>
        <v>130.86460978164331</v>
      </c>
      <c r="AS127" s="42" t="str">
        <f t="shared" si="118"/>
        <v>58,8026116218496+56,7255466109397i</v>
      </c>
      <c r="AT127" s="20">
        <f t="shared" si="119"/>
        <v>38.244860624208819</v>
      </c>
      <c r="AU127" s="44">
        <f t="shared" si="120"/>
        <v>43.969997958850151</v>
      </c>
    </row>
    <row r="128" spans="14:47" x14ac:dyDescent="0.3">
      <c r="N128" s="8">
        <v>10</v>
      </c>
      <c r="O128" s="35">
        <f t="shared" si="121"/>
        <v>125.89254117941677</v>
      </c>
      <c r="P128" s="34" t="str">
        <f t="shared" si="88"/>
        <v>324,571428571429</v>
      </c>
      <c r="Q128" s="4" t="str">
        <f t="shared" si="89"/>
        <v>1+18,0801409147888i</v>
      </c>
      <c r="R128" s="4">
        <f t="shared" si="98"/>
        <v>18.107774449076285</v>
      </c>
      <c r="S128" s="4">
        <f t="shared" si="99"/>
        <v>1.5155433193144108</v>
      </c>
      <c r="T128" s="4" t="str">
        <f t="shared" si="90"/>
        <v>1+0,000158201233004402i</v>
      </c>
      <c r="U128" s="4">
        <f t="shared" si="100"/>
        <v>1.0000000125138151</v>
      </c>
      <c r="V128" s="4">
        <f t="shared" si="101"/>
        <v>1.5820123168460137E-4</v>
      </c>
      <c r="W128" t="str">
        <f t="shared" si="91"/>
        <v>1-0,0013732745920521i</v>
      </c>
      <c r="X128" s="4">
        <f t="shared" si="102"/>
        <v>1.0000009429411081</v>
      </c>
      <c r="Y128" s="4">
        <f t="shared" si="103"/>
        <v>-1.3732737287746261E-3</v>
      </c>
      <c r="Z128" t="str">
        <f t="shared" si="92"/>
        <v>0,999999936604272+0,00117744563522547i</v>
      </c>
      <c r="AA128" s="4">
        <f t="shared" si="104"/>
        <v>1.0000006297931876</v>
      </c>
      <c r="AB128" s="4">
        <f t="shared" si="105"/>
        <v>1.1774451657425176E-3</v>
      </c>
      <c r="AC128" s="48" t="str">
        <f t="shared" si="106"/>
        <v>0,947052954382181-17,8993932567548i</v>
      </c>
      <c r="AD128" s="20">
        <f t="shared" si="107"/>
        <v>25.068907043690231</v>
      </c>
      <c r="AE128" s="44">
        <f t="shared" si="108"/>
        <v>-86.971317030454202</v>
      </c>
      <c r="AF128" t="str">
        <f t="shared" si="93"/>
        <v>-0,0000125211169631323</v>
      </c>
      <c r="AG128" t="str">
        <f t="shared" si="94"/>
        <v>3,82293279555139E-06i</v>
      </c>
      <c r="AH128">
        <f t="shared" si="109"/>
        <v>3.8229327955513904E-6</v>
      </c>
      <c r="AI128">
        <f t="shared" si="110"/>
        <v>1.5707963267948966</v>
      </c>
      <c r="AJ128" t="str">
        <f t="shared" si="95"/>
        <v>1+0,00611829275053153i</v>
      </c>
      <c r="AK128">
        <f t="shared" si="111"/>
        <v>1.0000187165779355</v>
      </c>
      <c r="AL128">
        <f t="shared" si="112"/>
        <v>6.1182164091963254E-3</v>
      </c>
      <c r="AM128" t="str">
        <f t="shared" si="96"/>
        <v>1+0,896051783736935i</v>
      </c>
      <c r="AN128">
        <f t="shared" si="113"/>
        <v>1.3427243943334546</v>
      </c>
      <c r="AO128">
        <f t="shared" si="114"/>
        <v>0.73062947949103585</v>
      </c>
      <c r="AP128" s="42" t="str">
        <f t="shared" si="115"/>
        <v>-2,91465867213712+3,29309746834673i</v>
      </c>
      <c r="AQ128">
        <f t="shared" si="116"/>
        <v>12.864503193187494</v>
      </c>
      <c r="AR128" s="44">
        <f t="shared" si="117"/>
        <v>131.51143758428185</v>
      </c>
      <c r="AS128" s="42" t="str">
        <f t="shared" si="118"/>
        <v>56,1841105122986+55,2893594682593i</v>
      </c>
      <c r="AT128" s="20">
        <f t="shared" si="119"/>
        <v>37.93341023687772</v>
      </c>
      <c r="AU128" s="44">
        <f t="shared" si="120"/>
        <v>44.540120553827677</v>
      </c>
    </row>
    <row r="129" spans="14:47" x14ac:dyDescent="0.3">
      <c r="N129" s="8">
        <v>11</v>
      </c>
      <c r="O129" s="35">
        <f t="shared" si="121"/>
        <v>128.82495516931343</v>
      </c>
      <c r="P129" s="34" t="str">
        <f t="shared" si="88"/>
        <v>324,571428571429</v>
      </c>
      <c r="Q129" s="4" t="str">
        <f t="shared" si="89"/>
        <v>1+18,501281497552i</v>
      </c>
      <c r="R129" s="4">
        <f t="shared" si="98"/>
        <v>18.528286943256788</v>
      </c>
      <c r="S129" s="4">
        <f t="shared" si="99"/>
        <v>1.5167985595843974</v>
      </c>
      <c r="T129" s="4" t="str">
        <f t="shared" si="90"/>
        <v>1+0,00016188621310358i</v>
      </c>
      <c r="U129" s="4">
        <f t="shared" si="100"/>
        <v>1.0000000131035729</v>
      </c>
      <c r="V129" s="4">
        <f t="shared" si="101"/>
        <v>1.6188621168938816E-4</v>
      </c>
      <c r="W129" t="str">
        <f t="shared" si="91"/>
        <v>1-0,00140526226652413i</v>
      </c>
      <c r="X129" s="4">
        <f t="shared" si="102"/>
        <v>1.0000009873805313</v>
      </c>
      <c r="Y129" s="4">
        <f t="shared" si="103"/>
        <v>-1.4052613415057003E-3</v>
      </c>
      <c r="Z129" t="str">
        <f t="shared" si="92"/>
        <v>0,999999933616524+0,00120487186731779i</v>
      </c>
      <c r="AA129" s="4">
        <f t="shared" si="104"/>
        <v>1.0000006594744171</v>
      </c>
      <c r="AB129" s="4">
        <f t="shared" si="105"/>
        <v>1.2048713642577602E-3</v>
      </c>
      <c r="AC129" s="48" t="str">
        <f t="shared" si="106"/>
        <v>0,902625162741056-17,4943525618747i</v>
      </c>
      <c r="AD129" s="20">
        <f t="shared" si="107"/>
        <v>24.869503344130006</v>
      </c>
      <c r="AE129" s="44">
        <f t="shared" si="108"/>
        <v>-87.046430027026616</v>
      </c>
      <c r="AF129" t="str">
        <f t="shared" si="93"/>
        <v>-0,0000125211169631323</v>
      </c>
      <c r="AG129" t="str">
        <f t="shared" si="94"/>
        <v>3,91198033964801E-06i</v>
      </c>
      <c r="AH129">
        <f t="shared" si="109"/>
        <v>3.9119803396480098E-6</v>
      </c>
      <c r="AI129">
        <f t="shared" si="110"/>
        <v>1.5707963267948966</v>
      </c>
      <c r="AJ129" t="str">
        <f t="shared" si="95"/>
        <v>1+0,00626080609634106i</v>
      </c>
      <c r="AK129">
        <f t="shared" si="111"/>
        <v>1.0000195986544342</v>
      </c>
      <c r="AL129">
        <f t="shared" si="112"/>
        <v>6.2607242952131851E-3</v>
      </c>
      <c r="AM129" t="str">
        <f t="shared" si="96"/>
        <v>1+0,916923511018676i</v>
      </c>
      <c r="AN129">
        <f t="shared" si="113"/>
        <v>1.3567419522734661</v>
      </c>
      <c r="AO129">
        <f t="shared" si="114"/>
        <v>0.74208681840293156</v>
      </c>
      <c r="AP129" s="42" t="str">
        <f t="shared" si="115"/>
        <v>-2,91465353033633+3,21895868647832i</v>
      </c>
      <c r="AQ129">
        <f t="shared" si="116"/>
        <v>12.754703032007171</v>
      </c>
      <c r="AR129" s="44">
        <f t="shared" si="117"/>
        <v>132.15972964796839</v>
      </c>
      <c r="AS129" s="42" t="str">
        <f t="shared" si="118"/>
        <v>53,6827585262072+53,8954895636557i</v>
      </c>
      <c r="AT129" s="20">
        <f t="shared" si="119"/>
        <v>37.624206376137181</v>
      </c>
      <c r="AU129" s="44">
        <f t="shared" si="120"/>
        <v>45.113299620941781</v>
      </c>
    </row>
    <row r="130" spans="14:47" x14ac:dyDescent="0.3">
      <c r="N130" s="8">
        <v>12</v>
      </c>
      <c r="O130" s="35">
        <f t="shared" si="121"/>
        <v>131.82567385564084</v>
      </c>
      <c r="P130" s="34" t="str">
        <f t="shared" si="88"/>
        <v>324,571428571429</v>
      </c>
      <c r="Q130" s="4" t="str">
        <f t="shared" si="89"/>
        <v>1+18,9322317046585i</v>
      </c>
      <c r="R130" s="4">
        <f t="shared" si="98"/>
        <v>18.958623297034951</v>
      </c>
      <c r="S130" s="4">
        <f t="shared" si="99"/>
        <v>1.518025391703322</v>
      </c>
      <c r="T130" s="4" t="str">
        <f t="shared" si="90"/>
        <v>1+0,000165657027415762i</v>
      </c>
      <c r="U130" s="4">
        <f t="shared" si="100"/>
        <v>1.0000000137211253</v>
      </c>
      <c r="V130" s="4">
        <f t="shared" si="101"/>
        <v>1.6565702590042814E-4</v>
      </c>
      <c r="W130" t="str">
        <f t="shared" si="91"/>
        <v>1-0,00143799502965071i</v>
      </c>
      <c r="X130" s="4">
        <f t="shared" si="102"/>
        <v>1.0000010339143182</v>
      </c>
      <c r="Y130" s="4">
        <f t="shared" si="103"/>
        <v>-1.4379940384756601E-3</v>
      </c>
      <c r="Z130" t="str">
        <f t="shared" si="92"/>
        <v>0,999999930487967+0,00123293693842252i</v>
      </c>
      <c r="AA130" s="4">
        <f t="shared" si="104"/>
        <v>1.000000690554478</v>
      </c>
      <c r="AB130" s="4">
        <f t="shared" si="105"/>
        <v>1.2329363993840066E-3</v>
      </c>
      <c r="AC130" s="48" t="str">
        <f t="shared" si="106"/>
        <v>0,860185562731722-17,0983719926792i</v>
      </c>
      <c r="AD130" s="20">
        <f t="shared" si="107"/>
        <v>24.670072895317297</v>
      </c>
      <c r="AE130" s="44">
        <f t="shared" si="108"/>
        <v>-87.119989731325575</v>
      </c>
      <c r="AF130" t="str">
        <f t="shared" si="93"/>
        <v>-0,0000125211169631323</v>
      </c>
      <c r="AG130" t="str">
        <f t="shared" si="94"/>
        <v>4,00310206750189E-06i</v>
      </c>
      <c r="AH130">
        <f t="shared" si="109"/>
        <v>4.0031020675018897E-6</v>
      </c>
      <c r="AI130">
        <f t="shared" si="110"/>
        <v>1.5707963267948966</v>
      </c>
      <c r="AJ130" t="str">
        <f t="shared" si="95"/>
        <v>1+0,00640663900441443i</v>
      </c>
      <c r="AK130">
        <f t="shared" si="111"/>
        <v>1.0000205223010841</v>
      </c>
      <c r="AL130">
        <f t="shared" si="112"/>
        <v>6.4065513530238713E-3</v>
      </c>
      <c r="AM130" t="str">
        <f t="shared" si="96"/>
        <v>1+0,938281403282877i</v>
      </c>
      <c r="AN130">
        <f t="shared" si="113"/>
        <v>1.3712665648029505</v>
      </c>
      <c r="AO130">
        <f t="shared" si="114"/>
        <v>0.75356700085017836</v>
      </c>
      <c r="AP130" s="42" t="str">
        <f t="shared" si="115"/>
        <v>-2,91464814622938+3,14652663607845i</v>
      </c>
      <c r="AQ130">
        <f t="shared" si="116"/>
        <v>12.64718766322205</v>
      </c>
      <c r="AR130" s="44">
        <f t="shared" si="117"/>
        <v>132.80914037528447</v>
      </c>
      <c r="AS130" s="42" t="str">
        <f t="shared" si="118"/>
        <v>51,2933446527136+52,5423350171083i</v>
      </c>
      <c r="AT130" s="20">
        <f t="shared" si="119"/>
        <v>37.317260558539353</v>
      </c>
      <c r="AU130" s="44">
        <f t="shared" si="120"/>
        <v>45.689150643958918</v>
      </c>
    </row>
    <row r="131" spans="14:47" x14ac:dyDescent="0.3">
      <c r="N131" s="8">
        <v>13</v>
      </c>
      <c r="O131" s="35">
        <f t="shared" si="121"/>
        <v>134.89628825916537</v>
      </c>
      <c r="P131" s="34" t="str">
        <f t="shared" si="88"/>
        <v>324,571428571429</v>
      </c>
      <c r="Q131" s="4" t="str">
        <f t="shared" si="89"/>
        <v>1+19,3732200316126i</v>
      </c>
      <c r="R131" s="4">
        <f t="shared" si="98"/>
        <v>19.399011685992559</v>
      </c>
      <c r="S131" s="4">
        <f t="shared" si="99"/>
        <v>1.5192244513732314</v>
      </c>
      <c r="T131" s="4" t="str">
        <f t="shared" si="90"/>
        <v>1+0,00016951567527661i</v>
      </c>
      <c r="U131" s="4">
        <f t="shared" si="100"/>
        <v>1.0000000143677821</v>
      </c>
      <c r="V131" s="4">
        <f t="shared" si="101"/>
        <v>1.6951567365290052E-4</v>
      </c>
      <c r="W131" t="str">
        <f t="shared" si="91"/>
        <v>1-0,00147149023677613i</v>
      </c>
      <c r="X131" s="4">
        <f t="shared" si="102"/>
        <v>1.0000010826411725</v>
      </c>
      <c r="Y131" s="4">
        <f t="shared" si="103"/>
        <v>-1.4714891747129913E-3</v>
      </c>
      <c r="Z131" t="str">
        <f t="shared" si="92"/>
        <v>0,999999927211966+0,00126165572901185i</v>
      </c>
      <c r="AA131" s="4">
        <f t="shared" si="104"/>
        <v>1.0000007230992964</v>
      </c>
      <c r="AB131" s="4">
        <f t="shared" si="105"/>
        <v>1.2616551514216989E-3</v>
      </c>
      <c r="AC131" s="48" t="str">
        <f t="shared" si="106"/>
        <v>0,819645668985019-16,7112559069582i</v>
      </c>
      <c r="AD131" s="20">
        <f t="shared" si="107"/>
        <v>24.47061689504093</v>
      </c>
      <c r="AE131" s="44">
        <f t="shared" si="108"/>
        <v>-87.192034298790119</v>
      </c>
      <c r="AF131" t="str">
        <f t="shared" si="93"/>
        <v>-0,0000125211169631323</v>
      </c>
      <c r="AG131" t="str">
        <f t="shared" si="94"/>
        <v>4,09634629305928E-06i</v>
      </c>
      <c r="AH131">
        <f t="shared" si="109"/>
        <v>4.0963462930592798E-6</v>
      </c>
      <c r="AI131">
        <f t="shared" si="110"/>
        <v>1.5707963267948966</v>
      </c>
      <c r="AJ131" t="str">
        <f t="shared" si="95"/>
        <v>1+0,00655586879728983i</v>
      </c>
      <c r="AK131">
        <f t="shared" si="111"/>
        <v>1.0000214894769448</v>
      </c>
      <c r="AL131">
        <f t="shared" si="112"/>
        <v>6.5557748772417188E-3</v>
      </c>
      <c r="AM131" t="str">
        <f t="shared" si="96"/>
        <v>1+0,960136784766719i</v>
      </c>
      <c r="AN131">
        <f t="shared" si="113"/>
        <v>1.3863126074093726</v>
      </c>
      <c r="AO131">
        <f t="shared" si="114"/>
        <v>0.76506401059386187</v>
      </c>
      <c r="AP131" s="42" t="str">
        <f t="shared" si="115"/>
        <v>-2,91464250839859+3,0757629124982i</v>
      </c>
      <c r="AQ131">
        <f t="shared" si="116"/>
        <v>12.541964981772189</v>
      </c>
      <c r="AR131" s="44">
        <f t="shared" si="117"/>
        <v>133.45932063247653</v>
      </c>
      <c r="AS131" s="42" t="str">
        <f t="shared" si="118"/>
        <v>49,01088703124+51,2283725852013i</v>
      </c>
      <c r="AT131" s="20">
        <f t="shared" si="119"/>
        <v>37.012581876813123</v>
      </c>
      <c r="AU131" s="44">
        <f t="shared" si="120"/>
        <v>46.2672863336864</v>
      </c>
    </row>
    <row r="132" spans="14:47" x14ac:dyDescent="0.3">
      <c r="N132" s="8">
        <v>14</v>
      </c>
      <c r="O132" s="35">
        <f t="shared" si="121"/>
        <v>138.0384264602886</v>
      </c>
      <c r="P132" s="34" t="str">
        <f t="shared" si="88"/>
        <v>324,571428571429</v>
      </c>
      <c r="Q132" s="4" t="str">
        <f t="shared" si="89"/>
        <v>1+19,8244802962623i</v>
      </c>
      <c r="R132" s="4">
        <f t="shared" si="98"/>
        <v>19.849685615064338</v>
      </c>
      <c r="S132" s="4">
        <f t="shared" si="99"/>
        <v>1.5203963605520814</v>
      </c>
      <c r="T132" s="4" t="str">
        <f t="shared" si="90"/>
        <v>1+0,000173464202592295i</v>
      </c>
      <c r="U132" s="4">
        <f t="shared" si="100"/>
        <v>1.0000000150449146</v>
      </c>
      <c r="V132" s="4">
        <f t="shared" si="101"/>
        <v>1.7346420085245895E-4</v>
      </c>
      <c r="W132" t="str">
        <f t="shared" si="91"/>
        <v>1-0,00150576564750256i</v>
      </c>
      <c r="X132" s="4">
        <f t="shared" si="102"/>
        <v>1.0000011336644499</v>
      </c>
      <c r="Y132" s="4">
        <f t="shared" si="103"/>
        <v>-1.5057645094814734E-3</v>
      </c>
      <c r="Z132" t="str">
        <f t="shared" si="92"/>
        <v>0,999999923781571+0,00129104346616869i</v>
      </c>
      <c r="AA132" s="4">
        <f t="shared" si="104"/>
        <v>1.000000757177903</v>
      </c>
      <c r="AB132" s="4">
        <f t="shared" si="105"/>
        <v>1.2910428472697186E-3</v>
      </c>
      <c r="AC132" s="48" t="str">
        <f t="shared" si="106"/>
        <v>0,780920891343941-16,3328124158875i</v>
      </c>
      <c r="AD132" s="20">
        <f t="shared" si="107"/>
        <v>24.271136487795467</v>
      </c>
      <c r="AE132" s="44">
        <f t="shared" si="108"/>
        <v>-87.262601137732389</v>
      </c>
      <c r="AF132" t="str">
        <f t="shared" si="93"/>
        <v>-0,0000125211169631323</v>
      </c>
      <c r="AG132" t="str">
        <f t="shared" si="94"/>
        <v>4,19176245564281E-06i</v>
      </c>
      <c r="AH132">
        <f t="shared" si="109"/>
        <v>4.19176245564281E-6</v>
      </c>
      <c r="AI132">
        <f t="shared" si="110"/>
        <v>1.5707963267948966</v>
      </c>
      <c r="AJ132" t="str">
        <f t="shared" si="95"/>
        <v>1+0,00670857459857874i</v>
      </c>
      <c r="AK132">
        <f t="shared" si="111"/>
        <v>1.0000225022333971</v>
      </c>
      <c r="AL132">
        <f t="shared" si="112"/>
        <v>6.7084739615563427E-3</v>
      </c>
      <c r="AM132" t="str">
        <f t="shared" si="96"/>
        <v>1+0,982501243482759i</v>
      </c>
      <c r="AN132">
        <f t="shared" si="113"/>
        <v>1.4018946798690577</v>
      </c>
      <c r="AO132">
        <f t="shared" si="114"/>
        <v>0.77657178704115026</v>
      </c>
      <c r="AP132" s="42" t="str">
        <f t="shared" si="115"/>
        <v>-2,91463660488841+3,0066299956421i</v>
      </c>
      <c r="AQ132">
        <f t="shared" si="116"/>
        <v>12.439040481256589</v>
      </c>
      <c r="AR132" s="44">
        <f t="shared" si="117"/>
        <v>134.10991864141948</v>
      </c>
      <c r="AS132" s="42" t="str">
        <f t="shared" si="118"/>
        <v>46,8306231073699+49,9521531042599i</v>
      </c>
      <c r="AT132" s="20">
        <f t="shared" si="119"/>
        <v>36.710176969052057</v>
      </c>
      <c r="AU132" s="44">
        <f t="shared" si="120"/>
        <v>46.847317503687144</v>
      </c>
    </row>
    <row r="133" spans="14:47" x14ac:dyDescent="0.3">
      <c r="N133" s="8">
        <v>15</v>
      </c>
      <c r="O133" s="35">
        <f t="shared" si="121"/>
        <v>141.25375446227542</v>
      </c>
      <c r="P133" s="34" t="str">
        <f t="shared" si="88"/>
        <v>324,571428571429</v>
      </c>
      <c r="Q133" s="4" t="str">
        <f t="shared" si="89"/>
        <v>1+20,2862517627731i</v>
      </c>
      <c r="R133" s="4">
        <f t="shared" si="98"/>
        <v>20.310884042370354</v>
      </c>
      <c r="S133" s="4">
        <f t="shared" si="99"/>
        <v>1.5215417277185925</v>
      </c>
      <c r="T133" s="4" t="str">
        <f t="shared" si="90"/>
        <v>1+0,000177504702924264i</v>
      </c>
      <c r="U133" s="4">
        <f t="shared" si="100"/>
        <v>1.0000000157539597</v>
      </c>
      <c r="V133" s="4">
        <f t="shared" si="101"/>
        <v>1.7750470105999607E-4</v>
      </c>
      <c r="W133" t="str">
        <f t="shared" si="91"/>
        <v>1-0,00154083943510646i</v>
      </c>
      <c r="X133" s="4">
        <f t="shared" si="102"/>
        <v>1.0000011870923777</v>
      </c>
      <c r="Y133" s="4">
        <f t="shared" si="103"/>
        <v>-1.5408382156949741E-3</v>
      </c>
      <c r="Z133" t="str">
        <f t="shared" si="92"/>
        <v>0,999999920189507+0,00132111573166028i</v>
      </c>
      <c r="AA133" s="4">
        <f t="shared" si="104"/>
        <v>1.0000007928625843</v>
      </c>
      <c r="AB133" s="4">
        <f t="shared" si="105"/>
        <v>1.3211150684981127E-3</v>
      </c>
      <c r="AC133" s="48" t="str">
        <f t="shared" si="106"/>
        <v>0,743930367162891-15,9628533445453i</v>
      </c>
      <c r="AD133" s="20">
        <f t="shared" si="107"/>
        <v>24.071632767129284</v>
      </c>
      <c r="AE133" s="44">
        <f t="shared" si="108"/>
        <v>-87.331726925452216</v>
      </c>
      <c r="AF133" t="str">
        <f t="shared" si="93"/>
        <v>-0,0000125211169631323</v>
      </c>
      <c r="AG133" t="str">
        <f t="shared" si="94"/>
        <v>4,28940114616485E-06i</v>
      </c>
      <c r="AH133">
        <f t="shared" si="109"/>
        <v>4.2894011461648501E-6</v>
      </c>
      <c r="AI133">
        <f t="shared" si="110"/>
        <v>1.5707963267948966</v>
      </c>
      <c r="AJ133" t="str">
        <f t="shared" si="95"/>
        <v>1+0,00686483737491829i</v>
      </c>
      <c r="AK133">
        <f t="shared" si="111"/>
        <v>1.0000235627184912</v>
      </c>
      <c r="AL133">
        <f t="shared" si="112"/>
        <v>6.864729540543197E-3</v>
      </c>
      <c r="AM133" t="str">
        <f t="shared" si="96"/>
        <v>1+1,00538663736303i</v>
      </c>
      <c r="AN133">
        <f t="shared" si="113"/>
        <v>1.4180276057214616</v>
      </c>
      <c r="AO133">
        <f t="shared" si="114"/>
        <v>0.78808424113815745</v>
      </c>
      <c r="AP133" s="42" t="str">
        <f t="shared" si="115"/>
        <v>-2,91463042317999+2,93909123007337i</v>
      </c>
      <c r="AQ133">
        <f t="shared" si="116"/>
        <v>12.338417230645003</v>
      </c>
      <c r="AR133" s="44">
        <f t="shared" si="117"/>
        <v>134.76058088781474</v>
      </c>
      <c r="AS133" s="42" t="str">
        <f t="shared" si="118"/>
        <v>44,74800019104+48,7122972166859i</v>
      </c>
      <c r="AT133" s="20">
        <f t="shared" si="119"/>
        <v>36.41004999777428</v>
      </c>
      <c r="AU133" s="44">
        <f t="shared" si="120"/>
        <v>47.428853962362531</v>
      </c>
    </row>
    <row r="134" spans="14:47" x14ac:dyDescent="0.3">
      <c r="N134" s="8">
        <v>16</v>
      </c>
      <c r="O134" s="35">
        <f t="shared" si="121"/>
        <v>144.54397707459285</v>
      </c>
      <c r="P134" s="34" t="str">
        <f t="shared" si="88"/>
        <v>324,571428571429</v>
      </c>
      <c r="Q134" s="4" t="str">
        <f t="shared" si="89"/>
        <v>1+20,7587792684888i</v>
      </c>
      <c r="R134" s="4">
        <f t="shared" si="98"/>
        <v>20.782851505937302</v>
      </c>
      <c r="S134" s="4">
        <f t="shared" si="99"/>
        <v>1.5226611481342252</v>
      </c>
      <c r="T134" s="4" t="str">
        <f t="shared" si="90"/>
        <v>1+0,000181639318599277i</v>
      </c>
      <c r="U134" s="4">
        <f t="shared" si="100"/>
        <v>1.0000000164964209</v>
      </c>
      <c r="V134" s="4">
        <f t="shared" si="101"/>
        <v>1.8163931660167791E-4</v>
      </c>
      <c r="W134" t="str">
        <f t="shared" si="91"/>
        <v>1-0,00157673019617428i</v>
      </c>
      <c r="X134" s="4">
        <f t="shared" si="102"/>
        <v>1.0000012430382832</v>
      </c>
      <c r="Y134" s="4">
        <f t="shared" si="103"/>
        <v>-1.5767288895514196E-3</v>
      </c>
      <c r="Z134" t="str">
        <f t="shared" si="92"/>
        <v>0,999999916428155+0,00135188847019983i</v>
      </c>
      <c r="AA134" s="4">
        <f t="shared" si="104"/>
        <v>1.0000008302290317</v>
      </c>
      <c r="AB134" s="4">
        <f t="shared" si="105"/>
        <v>1.351887759608796E-3</v>
      </c>
      <c r="AC134" s="48" t="str">
        <f t="shared" si="106"/>
        <v>0,708596800493587-15,6011941903437i</v>
      </c>
      <c r="AD134" s="20">
        <f t="shared" si="107"/>
        <v>23.872106777892203</v>
      </c>
      <c r="AE134" s="44">
        <f t="shared" si="108"/>
        <v>-87.399447624209046</v>
      </c>
      <c r="AF134" t="str">
        <f t="shared" si="93"/>
        <v>-0,0000125211169631323</v>
      </c>
      <c r="AG134" t="str">
        <f t="shared" si="94"/>
        <v>4,38931413395153E-06i</v>
      </c>
      <c r="AH134">
        <f t="shared" si="109"/>
        <v>4.3893141339515297E-6</v>
      </c>
      <c r="AI134">
        <f t="shared" si="110"/>
        <v>1.5707963267948966</v>
      </c>
      <c r="AJ134" t="str">
        <f t="shared" si="95"/>
        <v>1+0,00702473997890091i</v>
      </c>
      <c r="AK134">
        <f t="shared" si="111"/>
        <v>1.0000246731815026</v>
      </c>
      <c r="AL134">
        <f t="shared" si="112"/>
        <v>7.0246244324401992E-3</v>
      </c>
      <c r="AM134" t="str">
        <f t="shared" si="96"/>
        <v>1+1,0288051005463i</v>
      </c>
      <c r="AN134">
        <f t="shared" si="113"/>
        <v>1.434726432080375</v>
      </c>
      <c r="AO134">
        <f t="shared" si="114"/>
        <v>0.79959527144604048</v>
      </c>
      <c r="AP134" s="42" t="str">
        <f t="shared" si="115"/>
        <v>-2,91462395016473+2,87311080557748i</v>
      </c>
      <c r="AQ134">
        <f t="shared" si="116"/>
        <v>12.24009586117646</v>
      </c>
      <c r="AR134" s="44">
        <f t="shared" si="117"/>
        <v>135.41095303983224</v>
      </c>
      <c r="AS134" s="42" t="str">
        <f t="shared" si="118"/>
        <v>42,7586664024604+47,5074913626423i</v>
      </c>
      <c r="AT134" s="20">
        <f t="shared" si="119"/>
        <v>36.112202639068663</v>
      </c>
      <c r="AU134" s="44">
        <f t="shared" si="120"/>
        <v>48.011505415623141</v>
      </c>
    </row>
    <row r="135" spans="14:47" x14ac:dyDescent="0.3">
      <c r="N135" s="8">
        <v>17</v>
      </c>
      <c r="O135" s="35">
        <f t="shared" si="121"/>
        <v>147.91083881682084</v>
      </c>
      <c r="P135" s="34" t="str">
        <f t="shared" si="88"/>
        <v>324,571428571429</v>
      </c>
      <c r="Q135" s="4" t="str">
        <f t="shared" si="89"/>
        <v>1+21,2423133537476i</v>
      </c>
      <c r="R135" s="4">
        <f t="shared" si="98"/>
        <v>21.265838253377261</v>
      </c>
      <c r="S135" s="4">
        <f t="shared" si="99"/>
        <v>1.5237552041021396</v>
      </c>
      <c r="T135" s="4" t="str">
        <f t="shared" si="90"/>
        <v>1+0,000185870241845291i</v>
      </c>
      <c r="U135" s="4">
        <f t="shared" si="100"/>
        <v>1.0000000172738732</v>
      </c>
      <c r="V135" s="4">
        <f t="shared" si="101"/>
        <v>1.8587023970482503E-4</v>
      </c>
      <c r="W135" t="str">
        <f t="shared" si="91"/>
        <v>1-0,0016134569604626i</v>
      </c>
      <c r="X135" s="4">
        <f t="shared" si="102"/>
        <v>1.0000013016208344</v>
      </c>
      <c r="Y135" s="4">
        <f t="shared" si="103"/>
        <v>-1.6134555603910788E-3</v>
      </c>
      <c r="Z135" t="str">
        <f t="shared" si="92"/>
        <v>0,999999912489535+0,00138337799790063i</v>
      </c>
      <c r="AA135" s="4">
        <f t="shared" si="104"/>
        <v>1.0000008693565035</v>
      </c>
      <c r="AB135" s="4">
        <f t="shared" si="105"/>
        <v>1.3833772364886549E-3</v>
      </c>
      <c r="AC135" s="48" t="str">
        <f t="shared" si="106"/>
        <v>0,674846307904649-15,2476540796115i</v>
      </c>
      <c r="AD135" s="20">
        <f t="shared" si="107"/>
        <v>23.672559518385988</v>
      </c>
      <c r="AE135" s="44">
        <f t="shared" si="108"/>
        <v>-87.46579849704338</v>
      </c>
      <c r="AF135" t="str">
        <f t="shared" si="93"/>
        <v>-0,0000125211169631323</v>
      </c>
      <c r="AG135" t="str">
        <f t="shared" si="94"/>
        <v>4,49155439419147E-06i</v>
      </c>
      <c r="AH135">
        <f t="shared" si="109"/>
        <v>4.49155439419147E-6</v>
      </c>
      <c r="AI135">
        <f t="shared" si="110"/>
        <v>1.5707963267948966</v>
      </c>
      <c r="AJ135" t="str">
        <f t="shared" si="95"/>
        <v>1+0,00718836719300375i</v>
      </c>
      <c r="AK135">
        <f t="shared" si="111"/>
        <v>1.0000258359777019</v>
      </c>
      <c r="AL135">
        <f t="shared" si="112"/>
        <v>7.1882433829132024E-3</v>
      </c>
      <c r="AM135" t="str">
        <f t="shared" si="96"/>
        <v>1+1,05276904981173i</v>
      </c>
      <c r="AN135">
        <f t="shared" si="113"/>
        <v>1.4520064298209883</v>
      </c>
      <c r="AO135">
        <f t="shared" si="114"/>
        <v>0.81109878029698168</v>
      </c>
      <c r="AP135" s="42" t="str">
        <f t="shared" si="115"/>
        <v>-2,9146171721165+2,80865373817394i</v>
      </c>
      <c r="AQ135">
        <f t="shared" si="116"/>
        <v>12.144074563561627</v>
      </c>
      <c r="AR135" s="44">
        <f t="shared" si="117"/>
        <v>136.06068087127201</v>
      </c>
      <c r="AS135" s="42" t="str">
        <f t="shared" si="118"/>
        <v>40,8584619915257+46,3364840203172i</v>
      </c>
      <c r="AT135" s="20">
        <f t="shared" si="119"/>
        <v>35.816634081947626</v>
      </c>
      <c r="AU135" s="44">
        <f t="shared" si="120"/>
        <v>48.594882374228639</v>
      </c>
    </row>
    <row r="136" spans="14:47" x14ac:dyDescent="0.3">
      <c r="N136" s="8">
        <v>18</v>
      </c>
      <c r="O136" s="35">
        <f t="shared" si="121"/>
        <v>151.3561248436209</v>
      </c>
      <c r="P136" s="34" t="str">
        <f t="shared" si="88"/>
        <v>324,571428571429</v>
      </c>
      <c r="Q136" s="4" t="str">
        <f t="shared" si="89"/>
        <v>1+21,7371103947218i</v>
      </c>
      <c r="R136" s="4">
        <f t="shared" si="98"/>
        <v>21.760100374592085</v>
      </c>
      <c r="S136" s="4">
        <f t="shared" si="99"/>
        <v>1.5248244652230192</v>
      </c>
      <c r="T136" s="4" t="str">
        <f t="shared" si="90"/>
        <v>1+0,000190199715953816i</v>
      </c>
      <c r="U136" s="4">
        <f t="shared" si="100"/>
        <v>1.0000000180879658</v>
      </c>
      <c r="V136" s="4">
        <f t="shared" si="101"/>
        <v>1.901997136602654E-4</v>
      </c>
      <c r="W136" t="str">
        <f t="shared" si="91"/>
        <v>1-0,00165103920098798i</v>
      </c>
      <c r="X136" s="4">
        <f t="shared" si="102"/>
        <v>1.0000013629642928</v>
      </c>
      <c r="Y136" s="4">
        <f t="shared" si="103"/>
        <v>-1.6510377007844265E-3</v>
      </c>
      <c r="Z136" t="str">
        <f t="shared" si="92"/>
        <v>0,999999908365294+0,0014156010109271i</v>
      </c>
      <c r="AA136" s="4">
        <f t="shared" si="104"/>
        <v>1.000000910327995</v>
      </c>
      <c r="AB136" s="4">
        <f t="shared" si="105"/>
        <v>1.4156001950595093E-3</v>
      </c>
      <c r="AC136" s="48" t="str">
        <f t="shared" si="106"/>
        <v>0,642608270688578-14,9020557225483i</v>
      </c>
      <c r="AD136" s="20">
        <f t="shared" si="107"/>
        <v>23.472991942421309</v>
      </c>
      <c r="AE136" s="44">
        <f t="shared" si="108"/>
        <v>-87.530814123441189</v>
      </c>
      <c r="AF136" t="str">
        <f t="shared" si="93"/>
        <v>-0,0000125211169631323</v>
      </c>
      <c r="AG136" t="str">
        <f t="shared" si="94"/>
        <v>4,59617613602395E-06i</v>
      </c>
      <c r="AH136">
        <f t="shared" si="109"/>
        <v>4.5961761360239498E-6</v>
      </c>
      <c r="AI136">
        <f t="shared" si="110"/>
        <v>1.5707963267948966</v>
      </c>
      <c r="AJ136" t="str">
        <f t="shared" si="95"/>
        <v>1+0,00735580577454161i</v>
      </c>
      <c r="AK136">
        <f t="shared" si="111"/>
        <v>1.0000270535733484</v>
      </c>
      <c r="AL136">
        <f t="shared" si="112"/>
        <v>7.3556731098332398E-3</v>
      </c>
      <c r="AM136" t="str">
        <f t="shared" si="96"/>
        <v>1+1,07729119116241i</v>
      </c>
      <c r="AN136">
        <f t="shared" si="113"/>
        <v>1.4698830941799841</v>
      </c>
      <c r="AO136">
        <f t="shared" si="114"/>
        <v>0.82258868992583856</v>
      </c>
      <c r="AP136" s="42" t="str">
        <f t="shared" si="115"/>
        <v>-2,91461007466248+2,74568585156583i</v>
      </c>
      <c r="AQ136">
        <f t="shared" si="116"/>
        <v>12.050349095513024</v>
      </c>
      <c r="AR136" s="44">
        <f t="shared" si="117"/>
        <v>136.70941118327485</v>
      </c>
      <c r="AS136" s="42" t="str">
        <f t="shared" si="118"/>
        <v>39,0434110168361+45,1980821790497i</v>
      </c>
      <c r="AT136" s="20">
        <f t="shared" si="119"/>
        <v>35.52334103793433</v>
      </c>
      <c r="AU136" s="44">
        <f t="shared" si="120"/>
        <v>49.178597059833628</v>
      </c>
    </row>
    <row r="137" spans="14:47" x14ac:dyDescent="0.3">
      <c r="N137" s="8">
        <v>19</v>
      </c>
      <c r="O137" s="35">
        <f t="shared" si="121"/>
        <v>154.8816618912482</v>
      </c>
      <c r="P137" s="34" t="str">
        <f t="shared" si="88"/>
        <v>324,571428571429</v>
      </c>
      <c r="Q137" s="4" t="str">
        <f t="shared" si="89"/>
        <v>1+22,2434327393519i</v>
      </c>
      <c r="R137" s="4">
        <f t="shared" si="98"/>
        <v>22.265899937574314</v>
      </c>
      <c r="S137" s="4">
        <f t="shared" si="99"/>
        <v>1.5258694886476458</v>
      </c>
      <c r="T137" s="4" t="str">
        <f t="shared" si="90"/>
        <v>1+0,000194630036469329i</v>
      </c>
      <c r="U137" s="4">
        <f t="shared" si="100"/>
        <v>1.0000000189404255</v>
      </c>
      <c r="V137" s="4">
        <f t="shared" si="101"/>
        <v>1.9463003401174524E-4</v>
      </c>
      <c r="W137" t="str">
        <f t="shared" si="91"/>
        <v>1-0,00168949684435182i</v>
      </c>
      <c r="X137" s="4">
        <f t="shared" si="102"/>
        <v>1.0000014271987752</v>
      </c>
      <c r="Y137" s="4">
        <f t="shared" si="103"/>
        <v>-1.6894952368548747E-3</v>
      </c>
      <c r="Z137" t="str">
        <f t="shared" si="92"/>
        <v>0,999999904046683+0,00144857459434725i</v>
      </c>
      <c r="AA137" s="4">
        <f t="shared" si="104"/>
        <v>1.000000953230411</v>
      </c>
      <c r="AB137" s="4">
        <f t="shared" si="105"/>
        <v>1.4485737201294215E-3</v>
      </c>
      <c r="AC137" s="48" t="str">
        <f t="shared" si="106"/>
        <v>0,611815193216278-14,5642253667571i</v>
      </c>
      <c r="AD137" s="20">
        <f t="shared" si="107"/>
        <v>23.273404961286523</v>
      </c>
      <c r="AE137" s="44">
        <f t="shared" si="108"/>
        <v>-87.594528414836049</v>
      </c>
      <c r="AF137" t="str">
        <f t="shared" si="93"/>
        <v>-0,0000125211169631323</v>
      </c>
      <c r="AG137" t="str">
        <f t="shared" si="94"/>
        <v>4,70323483128135E-06i</v>
      </c>
      <c r="AH137">
        <f t="shared" si="109"/>
        <v>4.7032348312813504E-6</v>
      </c>
      <c r="AI137">
        <f t="shared" si="110"/>
        <v>1.5707963267948966</v>
      </c>
      <c r="AJ137" t="str">
        <f t="shared" si="95"/>
        <v>1+0,00752714450166673i</v>
      </c>
      <c r="AK137">
        <f t="shared" si="111"/>
        <v>1.0000283285509211</v>
      </c>
      <c r="AL137">
        <f t="shared" si="112"/>
        <v>7.5270023490880741E-3</v>
      </c>
      <c r="AM137" t="str">
        <f t="shared" si="96"/>
        <v>1+1,10238452656228i</v>
      </c>
      <c r="AN137">
        <f t="shared" si="113"/>
        <v>1.4883721458035764</v>
      </c>
      <c r="AO137">
        <f t="shared" si="114"/>
        <v>0.83405895847350031</v>
      </c>
      <c r="AP137" s="42" t="str">
        <f t="shared" si="115"/>
        <v>-2,91460264275279+2,68417375901772i</v>
      </c>
      <c r="AQ137">
        <f t="shared" si="116"/>
        <v>11.958912799536137</v>
      </c>
      <c r="AR137" s="44">
        <f t="shared" si="117"/>
        <v>137.35679271862094</v>
      </c>
      <c r="AS137" s="42" t="str">
        <f t="shared" si="118"/>
        <v>37,3097133708452+44,091148030597i</v>
      </c>
      <c r="AT137" s="20">
        <f t="shared" si="119"/>
        <v>35.232317760822667</v>
      </c>
      <c r="AU137" s="44">
        <f t="shared" si="120"/>
        <v>49.762264303784896</v>
      </c>
    </row>
    <row r="138" spans="14:47" x14ac:dyDescent="0.3">
      <c r="N138" s="8">
        <v>20</v>
      </c>
      <c r="O138" s="35">
        <f t="shared" si="121"/>
        <v>158.48931924611153</v>
      </c>
      <c r="P138" s="34" t="str">
        <f t="shared" si="88"/>
        <v>324,571428571429</v>
      </c>
      <c r="Q138" s="4" t="str">
        <f t="shared" si="89"/>
        <v>1+22,7615488464472i</v>
      </c>
      <c r="R138" s="4">
        <f t="shared" si="98"/>
        <v>22.783505127376735</v>
      </c>
      <c r="S138" s="4">
        <f t="shared" si="99"/>
        <v>1.5268908193261335</v>
      </c>
      <c r="T138" s="4" t="str">
        <f t="shared" si="90"/>
        <v>1+0,000199163552406413i</v>
      </c>
      <c r="U138" s="4">
        <f t="shared" si="100"/>
        <v>1.0000000198330601</v>
      </c>
      <c r="V138" s="4">
        <f t="shared" si="101"/>
        <v>1.9916354977306456E-4</v>
      </c>
      <c r="W138" t="str">
        <f t="shared" si="91"/>
        <v>1-0,00172885028130566i</v>
      </c>
      <c r="X138" s="4">
        <f t="shared" si="102"/>
        <v>1.0000014944605309</v>
      </c>
      <c r="Y138" s="4">
        <f t="shared" si="103"/>
        <v>-1.7288485588417891E-3</v>
      </c>
      <c r="Z138" t="str">
        <f t="shared" si="92"/>
        <v>0,999999899524543+0,00148231623119148i</v>
      </c>
      <c r="AA138" s="4">
        <f t="shared" si="104"/>
        <v>1.0000009981547544</v>
      </c>
      <c r="AB138" s="4">
        <f t="shared" si="105"/>
        <v>1.4823152944502494E-3</v>
      </c>
      <c r="AC138" s="48" t="str">
        <f t="shared" si="106"/>
        <v>0,582402567206127-14,2339927495418i</v>
      </c>
      <c r="AD138" s="20">
        <f t="shared" si="107"/>
        <v>23.073799445630172</v>
      </c>
      <c r="AE138" s="44">
        <f t="shared" si="108"/>
        <v>-87.656974629943505</v>
      </c>
      <c r="AF138" t="str">
        <f t="shared" si="93"/>
        <v>-0,0000125211169631323</v>
      </c>
      <c r="AG138" t="str">
        <f t="shared" si="94"/>
        <v>4,81278724390096E-06i</v>
      </c>
      <c r="AH138">
        <f t="shared" si="109"/>
        <v>4.8127872439009596E-6</v>
      </c>
      <c r="AI138">
        <f t="shared" si="110"/>
        <v>1.5707963267948966</v>
      </c>
      <c r="AJ138" t="str">
        <f t="shared" si="95"/>
        <v>1+0,00770247422044018i</v>
      </c>
      <c r="AK138">
        <f t="shared" si="111"/>
        <v>1.0000296636145933</v>
      </c>
      <c r="AL138">
        <f t="shared" si="112"/>
        <v>7.7023219014518826E-3</v>
      </c>
      <c r="AM138" t="str">
        <f t="shared" si="96"/>
        <v>1+1,12806236082992i</v>
      </c>
      <c r="AN138">
        <f t="shared" si="113"/>
        <v>1.5074895322758206</v>
      </c>
      <c r="AO138">
        <f t="shared" si="114"/>
        <v>0.84550359575948508</v>
      </c>
      <c r="AP138" s="42" t="str">
        <f t="shared" si="115"/>
        <v>-2,91459486062863+2,62408484565194i</v>
      </c>
      <c r="AQ138">
        <f t="shared" si="116"/>
        <v>11.869756630820447</v>
      </c>
      <c r="AR138" s="44">
        <f t="shared" si="117"/>
        <v>138.00247706274956</v>
      </c>
      <c r="AS138" s="42" t="str">
        <f t="shared" si="118"/>
        <v>35,6537371379963+43,0145958647141i</v>
      </c>
      <c r="AT138" s="20">
        <f t="shared" si="119"/>
        <v>34.943556076450619</v>
      </c>
      <c r="AU138" s="44">
        <f t="shared" si="120"/>
        <v>50.345502432806079</v>
      </c>
    </row>
    <row r="139" spans="14:47" x14ac:dyDescent="0.3">
      <c r="N139" s="8">
        <v>21</v>
      </c>
      <c r="O139" s="35">
        <f t="shared" si="121"/>
        <v>162.18100973589304</v>
      </c>
      <c r="P139" s="34" t="str">
        <f t="shared" si="88"/>
        <v>324,571428571429</v>
      </c>
      <c r="Q139" s="4" t="str">
        <f t="shared" si="89"/>
        <v>1+23,2917334280254i</v>
      </c>
      <c r="R139" s="4">
        <f t="shared" si="98"/>
        <v>23.313190388322997</v>
      </c>
      <c r="S139" s="4">
        <f t="shared" si="99"/>
        <v>1.5278889902537405</v>
      </c>
      <c r="T139" s="4" t="str">
        <f t="shared" si="90"/>
        <v>1+0,000203802667495222i</v>
      </c>
      <c r="U139" s="4">
        <f t="shared" si="100"/>
        <v>1.0000000207677635</v>
      </c>
      <c r="V139" s="4">
        <f t="shared" si="101"/>
        <v>2.0380266467353832E-4</v>
      </c>
      <c r="W139" t="str">
        <f t="shared" si="91"/>
        <v>1-0,00176912037756269i</v>
      </c>
      <c r="X139" s="4">
        <f t="shared" si="102"/>
        <v>1.0000015648922307</v>
      </c>
      <c r="Y139" s="4">
        <f t="shared" si="103"/>
        <v>-1.7691185319095558E-3</v>
      </c>
      <c r="Z139" t="str">
        <f t="shared" si="92"/>
        <v>0,99999989478928+0,00151684381172225i</v>
      </c>
      <c r="AA139" s="4">
        <f t="shared" si="104"/>
        <v>1.0000010451963137</v>
      </c>
      <c r="AB139" s="4">
        <f t="shared" si="105"/>
        <v>1.516842807985995E-3</v>
      </c>
      <c r="AC139" s="48" t="str">
        <f t="shared" si="106"/>
        <v>0,554308741681299-13,9111910491481i</v>
      </c>
      <c r="AD139" s="20">
        <f t="shared" si="107"/>
        <v>22.874176227262623</v>
      </c>
      <c r="AE139" s="44">
        <f t="shared" si="108"/>
        <v>-87.718185389924159</v>
      </c>
      <c r="AF139" t="str">
        <f t="shared" si="93"/>
        <v>-0,0000125211169631323</v>
      </c>
      <c r="AG139" t="str">
        <f t="shared" si="94"/>
        <v>4,92489146002205E-06i</v>
      </c>
      <c r="AH139">
        <f t="shared" si="109"/>
        <v>4.92489146002205E-6</v>
      </c>
      <c r="AI139">
        <f t="shared" si="110"/>
        <v>1.5707963267948966</v>
      </c>
      <c r="AJ139" t="str">
        <f t="shared" si="95"/>
        <v>1+0,00788188789299958i</v>
      </c>
      <c r="AK139">
        <f t="shared" si="111"/>
        <v>1.0000310615959676</v>
      </c>
      <c r="AL139">
        <f t="shared" si="112"/>
        <v>7.8817246805368609E-3</v>
      </c>
      <c r="AM139" t="str">
        <f t="shared" si="96"/>
        <v>1+1,15433830869294i</v>
      </c>
      <c r="AN139">
        <f t="shared" si="113"/>
        <v>1.5272514301568283</v>
      </c>
      <c r="AO139">
        <f t="shared" si="114"/>
        <v>0.85691667872413535</v>
      </c>
      <c r="AP139" s="42" t="str">
        <f t="shared" si="115"/>
        <v>-2,91458671178878+2,56538725115414i</v>
      </c>
      <c r="AQ139">
        <f t="shared" si="116"/>
        <v>11.782869194981568</v>
      </c>
      <c r="AR139" s="44">
        <f t="shared" si="117"/>
        <v>138.64611952578215</v>
      </c>
      <c r="AS139" s="42" t="str">
        <f t="shared" si="118"/>
        <v>34,0720112731214+41,9673891561146i</v>
      </c>
      <c r="AT139" s="20">
        <f t="shared" si="119"/>
        <v>34.657045422244188</v>
      </c>
      <c r="AU139" s="44">
        <f t="shared" si="120"/>
        <v>50.927934135858045</v>
      </c>
    </row>
    <row r="140" spans="14:47" x14ac:dyDescent="0.3">
      <c r="N140" s="8">
        <v>22</v>
      </c>
      <c r="O140" s="35">
        <f t="shared" si="121"/>
        <v>165.95869074375622</v>
      </c>
      <c r="P140" s="34" t="str">
        <f t="shared" si="88"/>
        <v>324,571428571429</v>
      </c>
      <c r="Q140" s="4" t="str">
        <f t="shared" si="89"/>
        <v>1+23,8342675949698i</v>
      </c>
      <c r="R140" s="4">
        <f t="shared" si="98"/>
        <v>23.855236569538093</v>
      </c>
      <c r="S140" s="4">
        <f t="shared" si="99"/>
        <v>1.5288645227131918</v>
      </c>
      <c r="T140" s="4" t="str">
        <f t="shared" si="90"/>
        <v>1+0,000208549841455986i</v>
      </c>
      <c r="U140" s="4">
        <f t="shared" si="100"/>
        <v>1.0000000217465179</v>
      </c>
      <c r="V140" s="4">
        <f t="shared" si="101"/>
        <v>2.0854983843249749E-4</v>
      </c>
      <c r="W140" t="str">
        <f t="shared" si="91"/>
        <v>1-0,00181032848486099i</v>
      </c>
      <c r="X140" s="4">
        <f t="shared" si="102"/>
        <v>1.0000016386432691</v>
      </c>
      <c r="Y140" s="4">
        <f t="shared" si="103"/>
        <v>-1.8103265072082009E-3</v>
      </c>
      <c r="Z140" t="str">
        <f t="shared" si="92"/>
        <v>0,999999889830852+0,00155217564291981i</v>
      </c>
      <c r="AA140" s="4">
        <f t="shared" si="104"/>
        <v>1.0000010944548723</v>
      </c>
      <c r="AB140" s="4">
        <f t="shared" si="105"/>
        <v>1.552174567397098E-3</v>
      </c>
      <c r="AC140" s="48" t="str">
        <f t="shared" si="106"/>
        <v>0,527474798395635-13,5956568351059i</v>
      </c>
      <c r="AD140" s="20">
        <f t="shared" si="107"/>
        <v>22.674536100877841</v>
      </c>
      <c r="AE140" s="44">
        <f t="shared" si="108"/>
        <v>-87.778192693371651</v>
      </c>
      <c r="AF140" t="str">
        <f t="shared" si="93"/>
        <v>-0,0000125211169631323</v>
      </c>
      <c r="AG140" t="str">
        <f t="shared" si="94"/>
        <v>0,0000050396069187839i</v>
      </c>
      <c r="AH140">
        <f t="shared" si="109"/>
        <v>5.0396069187839001E-6</v>
      </c>
      <c r="AI140">
        <f t="shared" si="110"/>
        <v>1.5707963267948966</v>
      </c>
      <c r="AJ140" t="str">
        <f t="shared" si="95"/>
        <v>1+0,00806548064684901i</v>
      </c>
      <c r="AK140">
        <f t="shared" si="111"/>
        <v>1.0000325254600795</v>
      </c>
      <c r="AL140">
        <f t="shared" si="112"/>
        <v>8.0653057618515541E-3</v>
      </c>
      <c r="AM140" t="str">
        <f t="shared" si="96"/>
        <v>1+1,1812263020067i</v>
      </c>
      <c r="AN140">
        <f t="shared" si="113"/>
        <v>1.5476742475574192</v>
      </c>
      <c r="AO140">
        <f t="shared" si="114"/>
        <v>0.86829236644464669</v>
      </c>
      <c r="AP140" s="42" t="str">
        <f t="shared" si="115"/>
        <v>-2,91457817895476+2,50804985287864i</v>
      </c>
      <c r="AQ140">
        <f t="shared" si="116"/>
        <v>11.698236795319762</v>
      </c>
      <c r="AR140" s="44">
        <f t="shared" si="117"/>
        <v>139.28738000006828</v>
      </c>
      <c r="AS140" s="42" t="str">
        <f t="shared" si="118"/>
        <v>32,5612185877234+40,9485378306702i</v>
      </c>
      <c r="AT140" s="20">
        <f t="shared" si="119"/>
        <v>34.37277289619761</v>
      </c>
      <c r="AU140" s="44">
        <f t="shared" si="120"/>
        <v>51.50918730669661</v>
      </c>
    </row>
    <row r="141" spans="14:47" x14ac:dyDescent="0.3">
      <c r="N141" s="8">
        <v>23</v>
      </c>
      <c r="O141" s="35">
        <f t="shared" si="121"/>
        <v>169.82436524617444</v>
      </c>
      <c r="P141" s="34" t="str">
        <f t="shared" si="88"/>
        <v>324,571428571429</v>
      </c>
      <c r="Q141" s="4" t="str">
        <f t="shared" si="89"/>
        <v>1+24,3894390060768i</v>
      </c>
      <c r="R141" s="4">
        <f t="shared" si="98"/>
        <v>24.409931073871153</v>
      </c>
      <c r="S141" s="4">
        <f t="shared" si="99"/>
        <v>1.5298179265134491</v>
      </c>
      <c r="T141" s="4" t="str">
        <f t="shared" si="90"/>
        <v>1+0,000213407591303172i</v>
      </c>
      <c r="U141" s="4">
        <f t="shared" si="100"/>
        <v>1.0000000227713997</v>
      </c>
      <c r="V141" s="4">
        <f t="shared" si="101"/>
        <v>2.1340758806344566E-4</v>
      </c>
      <c r="W141" t="str">
        <f t="shared" si="91"/>
        <v>1-0,00185249645228448i</v>
      </c>
      <c r="X141" s="4">
        <f t="shared" si="102"/>
        <v>1.0000017158700807</v>
      </c>
      <c r="Y141" s="4">
        <f t="shared" si="103"/>
        <v>-1.8524943331915337E-3</v>
      </c>
      <c r="Z141" t="str">
        <f t="shared" si="92"/>
        <v>0,99999988463874+0,00158833045818871i</v>
      </c>
      <c r="AA141" s="4">
        <f t="shared" si="104"/>
        <v>1.0000011460349121</v>
      </c>
      <c r="AB141" s="4">
        <f t="shared" si="105"/>
        <v>1.5883293057454319E-3</v>
      </c>
      <c r="AC141" s="48" t="str">
        <f t="shared" si="106"/>
        <v>0,501844432515498-13,2872300178286i</v>
      </c>
      <c r="AD141" s="20">
        <f t="shared" si="107"/>
        <v>22.474879825701976</v>
      </c>
      <c r="AE141" s="44">
        <f t="shared" si="108"/>
        <v>-87.837027931123174</v>
      </c>
      <c r="AF141" t="str">
        <f t="shared" si="93"/>
        <v>-0,0000125211169631323</v>
      </c>
      <c r="AG141" t="str">
        <f t="shared" si="94"/>
        <v>5,15699444384116E-06i</v>
      </c>
      <c r="AH141">
        <f t="shared" si="109"/>
        <v>5.1569944438411598E-6</v>
      </c>
      <c r="AI141">
        <f t="shared" si="110"/>
        <v>1.5707963267948966</v>
      </c>
      <c r="AJ141" t="str">
        <f t="shared" si="95"/>
        <v>1+0,00825334982529661i</v>
      </c>
      <c r="AK141">
        <f t="shared" si="111"/>
        <v>1.0000340583116851</v>
      </c>
      <c r="AL141">
        <f t="shared" si="112"/>
        <v>8.2531624329903273E-3</v>
      </c>
      <c r="AM141" t="str">
        <f t="shared" si="96"/>
        <v>1+1,20874059714117i</v>
      </c>
      <c r="AN141">
        <f t="shared" si="113"/>
        <v>1.5687746272735266</v>
      </c>
      <c r="AO141">
        <f t="shared" si="114"/>
        <v>0.8796249146341576</v>
      </c>
      <c r="AP141" s="42" t="str">
        <f t="shared" si="115"/>
        <v>-2,91456924403426+2,45204224934492i</v>
      </c>
      <c r="AQ141">
        <f t="shared" si="116"/>
        <v>11.615843489179596</v>
      </c>
      <c r="AR141" s="44">
        <f t="shared" si="117"/>
        <v>139.92592378804633</v>
      </c>
      <c r="AS141" s="42" t="str">
        <f t="shared" si="118"/>
        <v>31,1181890321803+39,9570956994986i</v>
      </c>
      <c r="AT141" s="20">
        <f t="shared" si="119"/>
        <v>34.090723314881586</v>
      </c>
      <c r="AU141" s="44">
        <f t="shared" si="120"/>
        <v>52.088895856923152</v>
      </c>
    </row>
    <row r="142" spans="14:47" x14ac:dyDescent="0.3">
      <c r="N142" s="8">
        <v>24</v>
      </c>
      <c r="O142" s="35">
        <f t="shared" si="121"/>
        <v>173.78008287493768</v>
      </c>
      <c r="P142" s="34" t="str">
        <f t="shared" si="88"/>
        <v>324,571428571429</v>
      </c>
      <c r="Q142" s="4" t="str">
        <f t="shared" si="89"/>
        <v>1+24,9575420205774i</v>
      </c>
      <c r="R142" s="4">
        <f t="shared" si="98"/>
        <v>24.97756801029449</v>
      </c>
      <c r="S142" s="4">
        <f t="shared" si="99"/>
        <v>1.5307497002248844</v>
      </c>
      <c r="T142" s="4" t="str">
        <f t="shared" si="90"/>
        <v>1+0,000218378492680052i</v>
      </c>
      <c r="U142" s="4">
        <f t="shared" si="100"/>
        <v>1.0000000238445828</v>
      </c>
      <c r="V142" s="4">
        <f t="shared" si="101"/>
        <v>2.183784892086227E-4</v>
      </c>
      <c r="W142" t="str">
        <f t="shared" si="91"/>
        <v>1-0,00189564663784767i</v>
      </c>
      <c r="X142" s="4">
        <f t="shared" si="102"/>
        <v>1.0000017967364736</v>
      </c>
      <c r="Y142" s="4">
        <f t="shared" si="103"/>
        <v>-1.8956443671988888E-3</v>
      </c>
      <c r="Z142" t="str">
        <f t="shared" si="92"/>
        <v>0,999999879201931+0,00162532742729059i</v>
      </c>
      <c r="AA142" s="4">
        <f t="shared" si="104"/>
        <v>1.0000012000458411</v>
      </c>
      <c r="AB142" s="4">
        <f t="shared" si="105"/>
        <v>1.6253261924254498E-3</v>
      </c>
      <c r="AC142" s="48" t="str">
        <f t="shared" si="106"/>
        <v>0,477363838351256-12,9857537976016i</v>
      </c>
      <c r="AD142" s="20">
        <f t="shared" si="107"/>
        <v>22.275208127068346</v>
      </c>
      <c r="AE142" s="44">
        <f t="shared" si="108"/>
        <v>-87.894721900890048</v>
      </c>
      <c r="AF142" t="str">
        <f t="shared" si="93"/>
        <v>-0,0000125211169631323</v>
      </c>
      <c r="AG142" t="str">
        <f t="shared" si="94"/>
        <v>5,27711627561345E-06i</v>
      </c>
      <c r="AH142">
        <f t="shared" si="109"/>
        <v>5.2771162756134498E-6</v>
      </c>
      <c r="AI142">
        <f t="shared" si="110"/>
        <v>1.5707963267948966</v>
      </c>
      <c r="AJ142" t="str">
        <f t="shared" si="95"/>
        <v>1+0,00844559503906764i</v>
      </c>
      <c r="AK142">
        <f t="shared" si="111"/>
        <v>1.0000356634018428</v>
      </c>
      <c r="AL142">
        <f t="shared" si="112"/>
        <v>8.4453942449805464E-3</v>
      </c>
      <c r="AM142" t="str">
        <f t="shared" si="96"/>
        <v>1+1,23689578253981i</v>
      </c>
      <c r="AN142">
        <f t="shared" si="113"/>
        <v>1.5905694505002819</v>
      </c>
      <c r="AO142">
        <f t="shared" si="114"/>
        <v>0.89090868953912572</v>
      </c>
      <c r="AP142" s="42" t="str">
        <f t="shared" si="115"/>
        <v>-2,9145598880826+2,39733474411626i</v>
      </c>
      <c r="AQ142">
        <f t="shared" si="116"/>
        <v>11.535671152920571</v>
      </c>
      <c r="AR142" s="44">
        <f t="shared" si="117"/>
        <v>140.56142239556135</v>
      </c>
      <c r="AS142" s="42" t="str">
        <f t="shared" si="118"/>
        <v>29,7398932622503+38,9921580502701i</v>
      </c>
      <c r="AT142" s="20">
        <f t="shared" si="119"/>
        <v>33.810879279988924</v>
      </c>
      <c r="AU142" s="44">
        <f t="shared" si="120"/>
        <v>52.666700494671289</v>
      </c>
    </row>
    <row r="143" spans="14:47" x14ac:dyDescent="0.3">
      <c r="N143" s="8">
        <v>25</v>
      </c>
      <c r="O143" s="35">
        <f t="shared" si="121"/>
        <v>177.82794100389242</v>
      </c>
      <c r="P143" s="34" t="str">
        <f t="shared" si="88"/>
        <v>324,571428571429</v>
      </c>
      <c r="Q143" s="4" t="str">
        <f t="shared" si="89"/>
        <v>1+25,5388778542094i</v>
      </c>
      <c r="R143" s="4">
        <f t="shared" si="98"/>
        <v>25.558448349855421</v>
      </c>
      <c r="S143" s="4">
        <f t="shared" si="99"/>
        <v>1.531660331410819</v>
      </c>
      <c r="T143" s="4" t="str">
        <f t="shared" si="90"/>
        <v>1+0,000223465181224332i</v>
      </c>
      <c r="U143" s="4">
        <f t="shared" si="100"/>
        <v>1.0000000249683434</v>
      </c>
      <c r="V143" s="4">
        <f t="shared" si="101"/>
        <v>2.2346517750462851E-4</v>
      </c>
      <c r="W143" t="str">
        <f t="shared" si="91"/>
        <v>1-0,0019398019203501i</v>
      </c>
      <c r="X143" s="4">
        <f t="shared" si="102"/>
        <v>1.0000018814139753</v>
      </c>
      <c r="Y143" s="4">
        <f t="shared" si="103"/>
        <v>-1.9397994873063429E-3</v>
      </c>
      <c r="Z143" t="str">
        <f t="shared" si="92"/>
        <v>0,999999873508894+0,00166318616650818i</v>
      </c>
      <c r="AA143" s="4">
        <f t="shared" si="104"/>
        <v>1.0000012566022247</v>
      </c>
      <c r="AB143" s="4">
        <f t="shared" si="105"/>
        <v>1.6631848433264315E-3</v>
      </c>
      <c r="AC143" s="48" t="str">
        <f t="shared" si="106"/>
        <v>0,453981599939156-12,691074613092i</v>
      </c>
      <c r="AD143" s="20">
        <f t="shared" si="107"/>
        <v>22.075521697924625</v>
      </c>
      <c r="AE143" s="44">
        <f t="shared" si="108"/>
        <v>-87.951304821706756</v>
      </c>
      <c r="AF143" t="str">
        <f t="shared" si="93"/>
        <v>-0,0000125211169631323</v>
      </c>
      <c r="AG143" t="str">
        <f t="shared" si="94"/>
        <v>5,40003610428596E-06i</v>
      </c>
      <c r="AH143">
        <f t="shared" si="109"/>
        <v>5.4000361042859597E-6</v>
      </c>
      <c r="AI143">
        <f t="shared" si="110"/>
        <v>1.5707963267948966</v>
      </c>
      <c r="AJ143" t="str">
        <f t="shared" si="95"/>
        <v>1+0,00864231821911905i</v>
      </c>
      <c r="AK143">
        <f t="shared" si="111"/>
        <v>1.000037344134808</v>
      </c>
      <c r="AL143">
        <f t="shared" si="112"/>
        <v>8.6421030648122839E-3</v>
      </c>
      <c r="AM143" t="str">
        <f t="shared" si="96"/>
        <v>1+1,26570678645462i</v>
      </c>
      <c r="AN143">
        <f t="shared" si="113"/>
        <v>1.6130758411424062</v>
      </c>
      <c r="AO143">
        <f t="shared" si="114"/>
        <v>0.90213818115716438</v>
      </c>
      <c r="AP143" s="42" t="str">
        <f t="shared" si="115"/>
        <v>-2,91455009126295+2,34389833005212i</v>
      </c>
      <c r="AQ143">
        <f t="shared" si="116"/>
        <v>11.457699554943677</v>
      </c>
      <c r="AR143" s="44">
        <f t="shared" si="117"/>
        <v>141.19355428618309</v>
      </c>
      <c r="AS143" s="42" t="str">
        <f t="shared" si="118"/>
        <v>28,4234364786588+38,052859385784i</v>
      </c>
      <c r="AT143" s="20">
        <f t="shared" si="119"/>
        <v>33.533221252868302</v>
      </c>
      <c r="AU143" s="44">
        <f t="shared" si="120"/>
        <v>53.24224946447638</v>
      </c>
    </row>
    <row r="144" spans="14:47" x14ac:dyDescent="0.3">
      <c r="N144" s="8">
        <v>26</v>
      </c>
      <c r="O144" s="35">
        <f t="shared" si="121"/>
        <v>181.9700858609983</v>
      </c>
      <c r="P144" s="34" t="str">
        <f t="shared" si="88"/>
        <v>324,571428571429</v>
      </c>
      <c r="Q144" s="4" t="str">
        <f t="shared" si="89"/>
        <v>1+26,1337547389264i</v>
      </c>
      <c r="R144" s="4">
        <f t="shared" si="98"/>
        <v>26.152880085267054</v>
      </c>
      <c r="S144" s="4">
        <f t="shared" si="99"/>
        <v>1.5325502968553943</v>
      </c>
      <c r="T144" s="4" t="str">
        <f t="shared" si="90"/>
        <v>1+0,000228670353965606i</v>
      </c>
      <c r="U144" s="4">
        <f t="shared" si="100"/>
        <v>1.000000026145065</v>
      </c>
      <c r="V144" s="4">
        <f t="shared" si="101"/>
        <v>2.286703499798719E-4</v>
      </c>
      <c r="W144" t="str">
        <f t="shared" si="91"/>
        <v>1-0,001984985711507i</v>
      </c>
      <c r="X144" s="4">
        <f t="shared" si="102"/>
        <v>1.0000019700821969</v>
      </c>
      <c r="Y144" s="4">
        <f t="shared" si="103"/>
        <v>-1.9849831044539208E-3</v>
      </c>
      <c r="Z144" t="str">
        <f t="shared" si="92"/>
        <v>0,999999867547551+0,0017019267490461i</v>
      </c>
      <c r="AA144" s="4">
        <f t="shared" si="104"/>
        <v>1.0000013158240235</v>
      </c>
      <c r="AB144" s="4">
        <f t="shared" si="105"/>
        <v>1.7019253312314138E-3</v>
      </c>
      <c r="AC144" s="48" t="str">
        <f t="shared" si="106"/>
        <v>0,431648586280555-12,4030420894948i</v>
      </c>
      <c r="AD144" s="20">
        <f t="shared" si="107"/>
        <v>21.875821200274022</v>
      </c>
      <c r="AE144" s="44">
        <f t="shared" si="108"/>
        <v>-88.006806348197856</v>
      </c>
      <c r="AF144" t="str">
        <f t="shared" si="93"/>
        <v>-0,0000125211169631323</v>
      </c>
      <c r="AG144" t="str">
        <f t="shared" si="94"/>
        <v>5,52581910357888E-06i</v>
      </c>
      <c r="AH144">
        <f t="shared" si="109"/>
        <v>5.5258191035788802E-6</v>
      </c>
      <c r="AI144">
        <f t="shared" si="110"/>
        <v>1.5707963267948966</v>
      </c>
      <c r="AJ144" t="str">
        <f t="shared" si="95"/>
        <v>1+0,00884362367068474i</v>
      </c>
      <c r="AK144">
        <f t="shared" si="111"/>
        <v>1.0000391040752501</v>
      </c>
      <c r="AL144">
        <f t="shared" si="112"/>
        <v>8.8433931291783101E-3</v>
      </c>
      <c r="AM144" t="str">
        <f t="shared" si="96"/>
        <v>1+1,29518888486119i</v>
      </c>
      <c r="AN144">
        <f t="shared" si="113"/>
        <v>1.6363111707337248</v>
      </c>
      <c r="AO144">
        <f t="shared" si="114"/>
        <v>0.91330801570498554</v>
      </c>
      <c r="AP144" s="42" t="str">
        <f t="shared" si="115"/>
        <v>-2,91453983280395+2,29170467392575i</v>
      </c>
      <c r="AQ144">
        <f t="shared" si="116"/>
        <v>11.381906436155898</v>
      </c>
      <c r="AR144" s="44">
        <f t="shared" si="117"/>
        <v>141.82200559248673</v>
      </c>
      <c r="AS144" s="42" t="str">
        <f t="shared" si="118"/>
        <v>27,1660525289048+37,1383713004491i</v>
      </c>
      <c r="AT144" s="20">
        <f t="shared" si="119"/>
        <v>33.257727636429919</v>
      </c>
      <c r="AU144" s="44">
        <f t="shared" si="120"/>
        <v>53.815199244288905</v>
      </c>
    </row>
    <row r="145" spans="14:47" x14ac:dyDescent="0.3">
      <c r="N145" s="8">
        <v>27</v>
      </c>
      <c r="O145" s="35">
        <f t="shared" si="121"/>
        <v>186.20871366628685</v>
      </c>
      <c r="P145" s="34" t="str">
        <f t="shared" si="88"/>
        <v>324,571428571429</v>
      </c>
      <c r="Q145" s="4" t="str">
        <f t="shared" si="89"/>
        <v>1+26,7424880863273i</v>
      </c>
      <c r="R145" s="4">
        <f t="shared" si="98"/>
        <v>26.761178394221687</v>
      </c>
      <c r="S145" s="4">
        <f t="shared" si="99"/>
        <v>1.533420062787757</v>
      </c>
      <c r="T145" s="4" t="str">
        <f t="shared" si="90"/>
        <v>1+0,000233996770755364i</v>
      </c>
      <c r="U145" s="4">
        <f t="shared" si="100"/>
        <v>1.000000027377244</v>
      </c>
      <c r="V145" s="4">
        <f t="shared" si="101"/>
        <v>2.3399676648457296E-4</v>
      </c>
      <c r="W145" t="str">
        <f t="shared" si="91"/>
        <v>1-0,00203122196836253i</v>
      </c>
      <c r="X145" s="4">
        <f t="shared" si="102"/>
        <v>1.0000020629292146</v>
      </c>
      <c r="Y145" s="4">
        <f t="shared" si="103"/>
        <v>-2.0312191748551377E-3</v>
      </c>
      <c r="Z145" t="str">
        <f t="shared" si="92"/>
        <v>0,99999986130526+0,00174156971567404i</v>
      </c>
      <c r="AA145" s="4">
        <f t="shared" si="104"/>
        <v>1.0000013778368577</v>
      </c>
      <c r="AB145" s="4">
        <f t="shared" si="105"/>
        <v>1.7415681964583444E-3</v>
      </c>
      <c r="AC145" s="48" t="str">
        <f t="shared" si="106"/>
        <v>0,410317851052176-12,1215089864222i</v>
      </c>
      <c r="AD145" s="20">
        <f t="shared" si="107"/>
        <v>21.676107266552243</v>
      </c>
      <c r="AE145" s="44">
        <f t="shared" si="108"/>
        <v>-88.06125558466141</v>
      </c>
      <c r="AF145" t="str">
        <f t="shared" si="93"/>
        <v>-0,0000125211169631323</v>
      </c>
      <c r="AG145" t="str">
        <f t="shared" si="94"/>
        <v>5,65453196530339E-06i</v>
      </c>
      <c r="AH145">
        <f t="shared" si="109"/>
        <v>5.6545319653033899E-6</v>
      </c>
      <c r="AI145">
        <f t="shared" si="110"/>
        <v>1.5707963267948966</v>
      </c>
      <c r="AJ145" t="str">
        <f t="shared" si="95"/>
        <v>1+0,00904961812857989i</v>
      </c>
      <c r="AK145">
        <f t="shared" si="111"/>
        <v>1.00004094695581</v>
      </c>
      <c r="AL145">
        <f t="shared" si="112"/>
        <v>9.0493710994513712E-3</v>
      </c>
      <c r="AM145" t="str">
        <f t="shared" si="96"/>
        <v>1+1,32535770955838i</v>
      </c>
      <c r="AN145">
        <f t="shared" si="113"/>
        <v>1.6602930639757054</v>
      </c>
      <c r="AO145">
        <f t="shared" si="114"/>
        <v>0.92441296727464439</v>
      </c>
      <c r="AP145" s="42" t="str">
        <f t="shared" si="115"/>
        <v>-2,91452909095609+2,24072610139904i</v>
      </c>
      <c r="AQ145">
        <f t="shared" si="116"/>
        <v>11.308267597209516</v>
      </c>
      <c r="AR145" s="44">
        <f t="shared" si="117"/>
        <v>142.44647078075602</v>
      </c>
      <c r="AS145" s="42" t="str">
        <f t="shared" si="118"/>
        <v>25,9650982607891+36,2479004859357i</v>
      </c>
      <c r="AT145" s="20">
        <f t="shared" si="119"/>
        <v>32.984374863761751</v>
      </c>
      <c r="AU145" s="44">
        <f t="shared" si="120"/>
        <v>54.385215196094563</v>
      </c>
    </row>
    <row r="146" spans="14:47" x14ac:dyDescent="0.3">
      <c r="N146" s="8">
        <v>28</v>
      </c>
      <c r="O146" s="35">
        <f t="shared" si="121"/>
        <v>190.54607179632498</v>
      </c>
      <c r="P146" s="34" t="str">
        <f t="shared" si="88"/>
        <v>324,571428571429</v>
      </c>
      <c r="Q146" s="4" t="str">
        <f t="shared" si="89"/>
        <v>1+27,3654006548905i</v>
      </c>
      <c r="R146" s="4">
        <f t="shared" si="98"/>
        <v>27.383665806511029</v>
      </c>
      <c r="S146" s="4">
        <f t="shared" si="99"/>
        <v>1.5342700851025401</v>
      </c>
      <c r="T146" s="4" t="str">
        <f t="shared" si="90"/>
        <v>1+0,000239447255730292i</v>
      </c>
      <c r="U146" s="4">
        <f t="shared" si="100"/>
        <v>1.0000000286674937</v>
      </c>
      <c r="V146" s="4">
        <f t="shared" si="101"/>
        <v>2.3944725115405697E-4</v>
      </c>
      <c r="W146" t="str">
        <f t="shared" si="91"/>
        <v>1-0,00207853520599212i</v>
      </c>
      <c r="X146" s="4">
        <f t="shared" si="102"/>
        <v>1.0000021601519682</v>
      </c>
      <c r="Y146" s="4">
        <f t="shared" si="103"/>
        <v>-2.0785322126953688E-3</v>
      </c>
      <c r="Z146" t="str">
        <f t="shared" si="92"/>
        <v>0,999999854768778+0,00178213608561764i</v>
      </c>
      <c r="AA146" s="4">
        <f t="shared" si="104"/>
        <v>1.0000014427722617</v>
      </c>
      <c r="AB146" s="4">
        <f t="shared" si="105"/>
        <v>1.7821344577488203E-3</v>
      </c>
      <c r="AC146" s="48" t="str">
        <f t="shared" si="106"/>
        <v>0,389944536607464-11,8463311456392i</v>
      </c>
      <c r="AD146" s="20">
        <f t="shared" si="107"/>
        <v>21.476380500945798</v>
      </c>
      <c r="AE146" s="44">
        <f t="shared" si="108"/>
        <v>-88.114681098969314</v>
      </c>
      <c r="AF146" t="str">
        <f t="shared" si="93"/>
        <v>-0,0000125211169631323</v>
      </c>
      <c r="AG146" t="str">
        <f t="shared" si="94"/>
        <v>5,78624293472249E-06i</v>
      </c>
      <c r="AH146">
        <f t="shared" si="109"/>
        <v>5.7862429347224902E-6</v>
      </c>
      <c r="AI146">
        <f t="shared" si="110"/>
        <v>1.5707963267948966</v>
      </c>
      <c r="AJ146" t="str">
        <f t="shared" si="95"/>
        <v>1+0,00926041081379275i</v>
      </c>
      <c r="AK146">
        <f t="shared" si="111"/>
        <v>1.0000428766850149</v>
      </c>
      <c r="AL146">
        <f t="shared" si="112"/>
        <v>9.2601461179255204E-3</v>
      </c>
      <c r="AM146" t="str">
        <f t="shared" si="96"/>
        <v>1+1,35622925645637i</v>
      </c>
      <c r="AN146">
        <f t="shared" si="113"/>
        <v>1.6850394049007276</v>
      </c>
      <c r="AO146">
        <f t="shared" si="114"/>
        <v>0.93544796862463309</v>
      </c>
      <c r="AP146" s="42" t="str">
        <f t="shared" si="115"/>
        <v>-2,91451784294542+2,19093558234647i</v>
      </c>
      <c r="AQ146">
        <f t="shared" si="116"/>
        <v>11.236756991806489</v>
      </c>
      <c r="AR146" s="44">
        <f t="shared" si="117"/>
        <v>143.06665326604613</v>
      </c>
      <c r="AS146" s="42" t="str">
        <f t="shared" si="118"/>
        <v>24,8180481175386+35,3806868578004i</v>
      </c>
      <c r="AT146" s="20">
        <f t="shared" si="119"/>
        <v>32.713137492752281</v>
      </c>
      <c r="AU146" s="44">
        <f t="shared" si="120"/>
        <v>54.951972167076804</v>
      </c>
    </row>
    <row r="147" spans="14:47" x14ac:dyDescent="0.3">
      <c r="N147" s="8">
        <v>29</v>
      </c>
      <c r="O147" s="35">
        <f t="shared" si="121"/>
        <v>194.98445997580458</v>
      </c>
      <c r="P147" s="34" t="str">
        <f t="shared" ref="P147:P210" si="122">COMPLEX(Adc,0)</f>
        <v>324,571428571429</v>
      </c>
      <c r="Q147" s="4" t="str">
        <f t="shared" ref="Q147:Q210" si="123">IMSUM(COMPLEX(1,0),IMDIV(COMPLEX(0,2*PI()*O147),COMPLEX(wp_lf,0)))</f>
        <v>1+28,0028227211045i</v>
      </c>
      <c r="R147" s="4">
        <f t="shared" si="98"/>
        <v>28.020672375044935</v>
      </c>
      <c r="S147" s="4">
        <f t="shared" si="99"/>
        <v>1.5351008095766336</v>
      </c>
      <c r="T147" s="4" t="str">
        <f t="shared" ref="T147:T210" si="124">IMSUM(COMPLEX(1,0),IMDIV(COMPLEX(0,2*PI()*O147),COMPLEX(wz_esr,0)))</f>
        <v>1+0,000245024698809664i</v>
      </c>
      <c r="U147" s="4">
        <f t="shared" si="100"/>
        <v>1.000000030018551</v>
      </c>
      <c r="V147" s="4">
        <f t="shared" si="101"/>
        <v>2.4502469390613979E-4</v>
      </c>
      <c r="W147" t="str">
        <f t="shared" ref="W147:W210" si="125">IMSUB(COMPLEX(1,0),IMDIV(COMPLEX(0,2*PI()*O147),COMPLEX(wz_rhp,0)))</f>
        <v>1-0,00212695051050056i</v>
      </c>
      <c r="X147" s="4">
        <f t="shared" si="102"/>
        <v>1.0000022619566789</v>
      </c>
      <c r="Y147" s="4">
        <f t="shared" si="103"/>
        <v>-2.1269473031256965E-3</v>
      </c>
      <c r="Z147" t="str">
        <f t="shared" ref="Z147:Z210" si="126">IMSUM(COMPLEX(1,0),IMDIV(COMPLEX(0,2*PI()*O147),COMPLEX(Q*(wsl/2),0)),IMDIV(IMPOWER(COMPLEX(0,2*PI()*O147),2),IMPOWER(COMPLEX(wsl/2,0),2)))</f>
        <v>0,999999847924241+0,00182364736770317i</v>
      </c>
      <c r="AA147" s="4">
        <f t="shared" si="104"/>
        <v>1.0000015107679723</v>
      </c>
      <c r="AB147" s="4">
        <f t="shared" si="105"/>
        <v>1.8236456234104459E-3</v>
      </c>
      <c r="AC147" s="48" t="str">
        <f t="shared" si="106"/>
        <v>0,370485782095177-11,5773674387322i</v>
      </c>
      <c r="AD147" s="20">
        <f t="shared" si="107"/>
        <v>21.276641480651364</v>
      </c>
      <c r="AE147" s="44">
        <f t="shared" si="108"/>
        <v>-88.167110936284416</v>
      </c>
      <c r="AF147" t="str">
        <f t="shared" ref="AF147:AF210" si="127">COMPLEX(Adc_ea,0)</f>
        <v>-0,0000125211169631323</v>
      </c>
      <c r="AG147" t="str">
        <f t="shared" ref="AG147:AG210" si="128">COMPLEX(0,2*PI()*O147*wp0_ea)</f>
        <v>5,92102184673554E-06i</v>
      </c>
      <c r="AH147">
        <f t="shared" si="109"/>
        <v>5.9210218467355401E-6</v>
      </c>
      <c r="AI147">
        <f t="shared" si="110"/>
        <v>1.5707963267948966</v>
      </c>
      <c r="AJ147" t="str">
        <f t="shared" ref="AJ147:AJ210" si="129">IMSUM(COMPLEX(1,0),IMDIV(COMPLEX(0,2*PI()*O147),COMPLEX(wp1_ea,0)))</f>
        <v>1+0,00947611349139498i</v>
      </c>
      <c r="AK147">
        <f t="shared" si="111"/>
        <v>1.0000448973555647</v>
      </c>
      <c r="AL147">
        <f t="shared" si="112"/>
        <v>9.4758298653509453E-3</v>
      </c>
      <c r="AM147" t="str">
        <f t="shared" ref="AM147:AM210" si="130">IMSUM(COMPLEX(1,0),IMDIV(COMPLEX(0,2*PI()*O147),COMPLEX(wz_ea,0)))</f>
        <v>1+1,38781989405794i</v>
      </c>
      <c r="AN147">
        <f t="shared" si="113"/>
        <v>1.7105683436632961</v>
      </c>
      <c r="AO147">
        <f t="shared" si="114"/>
        <v>0.94640812106185146</v>
      </c>
      <c r="AP147" s="42" t="str">
        <f t="shared" si="115"/>
        <v>-2,91450606492538+2,14230671652046i</v>
      </c>
      <c r="AQ147">
        <f t="shared" si="116"/>
        <v>11.167346825331052</v>
      </c>
      <c r="AR147" s="44">
        <f t="shared" si="117"/>
        <v>143.68226597508186</v>
      </c>
      <c r="AS147" s="42" t="str">
        <f t="shared" si="118"/>
        <v>23,7224889647363+34,5360017954124i</v>
      </c>
      <c r="AT147" s="20">
        <f t="shared" si="119"/>
        <v>32.443988305982415</v>
      </c>
      <c r="AU147" s="44">
        <f t="shared" si="120"/>
        <v>55.515155038797353</v>
      </c>
    </row>
    <row r="148" spans="14:47" x14ac:dyDescent="0.3">
      <c r="N148" s="8">
        <v>30</v>
      </c>
      <c r="O148" s="35">
        <f t="shared" si="121"/>
        <v>199.52623149688802</v>
      </c>
      <c r="P148" s="34" t="str">
        <f t="shared" si="122"/>
        <v>324,571428571429</v>
      </c>
      <c r="Q148" s="4" t="str">
        <f t="shared" si="123"/>
        <v>1+28,6550922545865i</v>
      </c>
      <c r="R148" s="4">
        <f t="shared" ref="R148:R211" si="131">IMABS(Q148)</f>
        <v>28.672535850860196</v>
      </c>
      <c r="S148" s="4">
        <f t="shared" ref="S148:S211" si="132">IMARGUMENT(Q148)</f>
        <v>1.5359126720822467</v>
      </c>
      <c r="T148" s="4" t="str">
        <f t="shared" si="124"/>
        <v>1+0,000250732057227632i</v>
      </c>
      <c r="U148" s="4">
        <f t="shared" ref="U148:U211" si="133">IMABS(T148)</f>
        <v>1.0000000314332818</v>
      </c>
      <c r="V148" s="4">
        <f t="shared" ref="V148:V211" si="134">IMARGUMENT(T148)</f>
        <v>2.5073205197341118E-4</v>
      </c>
      <c r="W148" t="str">
        <f t="shared" si="125"/>
        <v>1-0,00217649355232319i</v>
      </c>
      <c r="X148" s="4">
        <f t="shared" ref="X148:X211" si="135">IMABS(W148)</f>
        <v>1.0000023685592867</v>
      </c>
      <c r="Y148" s="4">
        <f t="shared" ref="Y148:Y211" si="136">IMARGUMENT(W148)</f>
        <v>-2.1764901155595442E-3</v>
      </c>
      <c r="Z148" t="str">
        <f t="shared" si="126"/>
        <v>0,999999840757132+0,00186612557176191i</v>
      </c>
      <c r="AA148" s="4">
        <f t="shared" ref="AA148:AA211" si="137">IMABS(Z148)</f>
        <v>1.000001581968218</v>
      </c>
      <c r="AB148" s="4">
        <f t="shared" ref="AB148:AB211" si="138">IMARGUMENT(Z148)</f>
        <v>1.8661237027187399E-3</v>
      </c>
      <c r="AC148" s="48" t="str">
        <f t="shared" ref="AC148:AC211" si="139">(IMDIV(IMPRODUCT(P148,T148,W148),IMPRODUCT(Q148,Z148)))</f>
        <v>0,351900635527619-11,3144797147955i</v>
      </c>
      <c r="AD148" s="20">
        <f t="shared" ref="AD148:AD211" si="140">20*LOG(IMABS(AC148))</f>
        <v>21.076890757079823</v>
      </c>
      <c r="AE148" s="44">
        <f t="shared" ref="AE148:AE211" si="141">(180/PI())*IMARGUMENT(AC148)</f>
        <v>-88.218572632595411</v>
      </c>
      <c r="AF148" t="str">
        <f t="shared" si="127"/>
        <v>-0,0000125211169631323</v>
      </c>
      <c r="AG148" t="str">
        <f t="shared" si="128"/>
        <v>6,05894016290573E-06i</v>
      </c>
      <c r="AH148">
        <f t="shared" ref="AH148:AH211" si="142">IMABS(AG148)</f>
        <v>6.0589401629057301E-6</v>
      </c>
      <c r="AI148">
        <f t="shared" ref="AI148:AI211" si="143">IMARGUMENT(AG148)</f>
        <v>1.5707963267948966</v>
      </c>
      <c r="AJ148" t="str">
        <f t="shared" si="129"/>
        <v>1+0,00969684052980161i</v>
      </c>
      <c r="AK148">
        <f t="shared" ref="AK148:AK211" si="144">IMABS(AJ148)</f>
        <v>1.0000470132530073</v>
      </c>
      <c r="AL148">
        <f t="shared" ref="AL148:AL211" si="145">IMARGUMENT(AJ148)</f>
        <v>9.6965366197915882E-3</v>
      </c>
      <c r="AM148" t="str">
        <f t="shared" si="130"/>
        <v>1+1,42014637213731i</v>
      </c>
      <c r="AN148">
        <f t="shared" ref="AN148:AN211" si="146">IMABS(AM148)</f>
        <v>1.7368983039587444</v>
      </c>
      <c r="AO148">
        <f t="shared" ref="AO148:AO211" si="147">IMARGUMENT(AM148)</f>
        <v>0.95728870337950334</v>
      </c>
      <c r="AP148" s="42" t="str">
        <f t="shared" ref="AP148:AP211" si="148">IMPRODUCT(AF148,IMDIV(AM148,IMPRODUCT(AG148,AJ148)))</f>
        <v>-2,91449373192639+2,09481371955053i</v>
      </c>
      <c r="AQ148">
        <f t="shared" ref="AQ148:AQ211" si="149">20*LOG(IMABS(AP148))</f>
        <v>11.100007658049321</v>
      </c>
      <c r="AR148" s="44">
        <f t="shared" ref="AR148:AR211" si="150">(180/PI())*IMARGUMENT(AP148)</f>
        <v>144.29303185498839</v>
      </c>
      <c r="AS148" s="42" t="str">
        <f t="shared" ref="AS148:AS211" si="151">IMPRODUCT(AC148,AP148)</f>
        <v>22,6761151396236+33,7131464880016i</v>
      </c>
      <c r="AT148" s="20">
        <f t="shared" ref="AT148:AT211" si="152">20*LOG(IMABS(AS148))</f>
        <v>32.176898415129145</v>
      </c>
      <c r="AU148" s="44">
        <f t="shared" ref="AU148:AU211" si="153">(180/PI())*IMARGUMENT(AS148)</f>
        <v>56.074459222393038</v>
      </c>
    </row>
    <row r="149" spans="14:47" x14ac:dyDescent="0.3">
      <c r="N149" s="8">
        <v>31</v>
      </c>
      <c r="O149" s="35">
        <f t="shared" si="121"/>
        <v>204.17379446695315</v>
      </c>
      <c r="P149" s="34" t="str">
        <f t="shared" si="122"/>
        <v>324,571428571429</v>
      </c>
      <c r="Q149" s="4" t="str">
        <f t="shared" si="123"/>
        <v>1+29,3225550972768i</v>
      </c>
      <c r="R149" s="4">
        <f t="shared" si="131"/>
        <v>29.339601862207225</v>
      </c>
      <c r="S149" s="4">
        <f t="shared" si="132"/>
        <v>1.5367060987962571</v>
      </c>
      <c r="T149" s="4" t="str">
        <f t="shared" si="124"/>
        <v>1+0,000256572357101172i</v>
      </c>
      <c r="U149" s="4">
        <f t="shared" si="133"/>
        <v>1.0000000329146868</v>
      </c>
      <c r="V149" s="4">
        <f t="shared" si="134"/>
        <v>2.5657235147117296E-4</v>
      </c>
      <c r="W149" t="str">
        <f t="shared" si="125"/>
        <v>1-0,00222719059983656i</v>
      </c>
      <c r="X149" s="4">
        <f t="shared" si="135"/>
        <v>1.0000024801859082</v>
      </c>
      <c r="Y149" s="4">
        <f t="shared" si="136"/>
        <v>-2.2271869172784597E-3</v>
      </c>
      <c r="Z149" t="str">
        <f t="shared" si="126"/>
        <v>0,999999833252247+0,00190959322029987i</v>
      </c>
      <c r="AA149" s="4">
        <f t="shared" si="137"/>
        <v>1.0000016565240222</v>
      </c>
      <c r="AB149" s="4">
        <f t="shared" si="138"/>
        <v>1.9095912175842093E-3</v>
      </c>
      <c r="AC149" s="48" t="str">
        <f t="shared" si="139"/>
        <v>0,334149969637043-11,0575327482123i</v>
      </c>
      <c r="AD149" s="20">
        <f t="shared" si="140"/>
        <v>20.877128857007705</v>
      </c>
      <c r="AE149" s="44">
        <f t="shared" si="141"/>
        <v>-88.269093228069821</v>
      </c>
      <c r="AF149" t="str">
        <f t="shared" si="127"/>
        <v>-0,0000125211169631323</v>
      </c>
      <c r="AG149" t="str">
        <f t="shared" si="128"/>
        <v>6,20007100934984E-06i</v>
      </c>
      <c r="AH149">
        <f t="shared" si="142"/>
        <v>6.2000710093498402E-6</v>
      </c>
      <c r="AI149">
        <f t="shared" si="143"/>
        <v>1.5707963267948966</v>
      </c>
      <c r="AJ149" t="str">
        <f t="shared" si="129"/>
        <v>1+0,00992270896140995i</v>
      </c>
      <c r="AK149">
        <f t="shared" si="144"/>
        <v>1.0000492288648259</v>
      </c>
      <c r="AL149">
        <f t="shared" si="145"/>
        <v>9.9223833168329313E-3</v>
      </c>
      <c r="AM149" t="str">
        <f t="shared" si="130"/>
        <v>1+1,45322583062104i</v>
      </c>
      <c r="AN149">
        <f t="shared" si="146"/>
        <v>1.7640479910660627</v>
      </c>
      <c r="AO149">
        <f t="shared" si="147"/>
        <v>0.96808517982530795</v>
      </c>
      <c r="AP149" s="42" t="str">
        <f t="shared" si="148"/>
        <v>-2,91448081780292+2,04843140926864i</v>
      </c>
      <c r="AQ149">
        <f t="shared" si="149"/>
        <v>11.034708512102187</v>
      </c>
      <c r="AR149" s="44">
        <f t="shared" si="150"/>
        <v>144.89868432638801</v>
      </c>
      <c r="AS149" s="42" t="str">
        <f t="shared" si="151"/>
        <v>21,6767237136781+32,911450380103i</v>
      </c>
      <c r="AT149" s="20">
        <f t="shared" si="152"/>
        <v>31.911837369109893</v>
      </c>
      <c r="AU149" s="44">
        <f t="shared" si="153"/>
        <v>56.629591098318123</v>
      </c>
    </row>
    <row r="150" spans="14:47" x14ac:dyDescent="0.3">
      <c r="N150" s="8">
        <v>32</v>
      </c>
      <c r="O150" s="35">
        <f t="shared" si="121"/>
        <v>208.92961308540396</v>
      </c>
      <c r="P150" s="34" t="str">
        <f t="shared" si="122"/>
        <v>324,571428571429</v>
      </c>
      <c r="Q150" s="4" t="str">
        <f t="shared" si="123"/>
        <v>1+30,0055651468098i</v>
      </c>
      <c r="R150" s="4">
        <f t="shared" si="131"/>
        <v>30.022224097815393</v>
      </c>
      <c r="S150" s="4">
        <f t="shared" si="132"/>
        <v>1.5374815064058664</v>
      </c>
      <c r="T150" s="4" t="str">
        <f t="shared" si="124"/>
        <v>1+0,000262548695034586i</v>
      </c>
      <c r="U150" s="4">
        <f t="shared" si="133"/>
        <v>1.0000000344659081</v>
      </c>
      <c r="V150" s="4">
        <f t="shared" si="134"/>
        <v>2.625486890019334E-4</v>
      </c>
      <c r="W150" t="str">
        <f t="shared" si="125"/>
        <v>1-0,00227906853328634i</v>
      </c>
      <c r="X150" s="4">
        <f t="shared" si="135"/>
        <v>1.0000025970733173</v>
      </c>
      <c r="Y150" s="4">
        <f t="shared" si="136"/>
        <v>-2.2790645873547962E-3</v>
      </c>
      <c r="Z150" t="str">
        <f t="shared" si="126"/>
        <v>0,999999825393667+0,0019540733604397i</v>
      </c>
      <c r="AA150" s="4">
        <f t="shared" si="137"/>
        <v>1.000001734593527</v>
      </c>
      <c r="AB150" s="4">
        <f t="shared" si="138"/>
        <v>1.9540712144914081E-3</v>
      </c>
      <c r="AC150" s="48" t="str">
        <f t="shared" si="139"/>
        <v>0,317196401364364-10,8063941865992i</v>
      </c>
      <c r="AD150" s="20">
        <f t="shared" si="140"/>
        <v>20.67735628367803</v>
      </c>
      <c r="AE150" s="44">
        <f t="shared" si="141"/>
        <v>-88.318699280227207</v>
      </c>
      <c r="AF150" t="str">
        <f t="shared" si="127"/>
        <v>-0,0000125211169631323</v>
      </c>
      <c r="AG150" t="str">
        <f t="shared" si="128"/>
        <v>6,34448921551075E-06i</v>
      </c>
      <c r="AH150">
        <f t="shared" si="142"/>
        <v>6.3444892155107502E-6</v>
      </c>
      <c r="AI150">
        <f t="shared" si="143"/>
        <v>1.5707963267948966</v>
      </c>
      <c r="AJ150" t="str">
        <f t="shared" si="129"/>
        <v>1+0,0101538385446523i</v>
      </c>
      <c r="AK150">
        <f t="shared" si="144"/>
        <v>1.0000515488899515</v>
      </c>
      <c r="AL150">
        <f t="shared" si="145"/>
        <v>1.0153489611172789E-2</v>
      </c>
      <c r="AM150" t="str">
        <f t="shared" si="130"/>
        <v>1+1,48707580867589i</v>
      </c>
      <c r="AN150">
        <f t="shared" si="146"/>
        <v>1.792036400508944</v>
      </c>
      <c r="AO150">
        <f t="shared" si="147"/>
        <v>0.97879320708373962</v>
      </c>
      <c r="AP150" s="42" t="str">
        <f t="shared" si="148"/>
        <v>-2,91446729517823+2,0031351923538i</v>
      </c>
      <c r="AQ150">
        <f t="shared" si="149"/>
        <v>10.971416981516116</v>
      </c>
      <c r="AR150" s="44">
        <f t="shared" si="150"/>
        <v>145.4989676799224</v>
      </c>
      <c r="AS150" s="42" t="str">
        <f t="shared" si="151"/>
        <v>20,7222099596997+32,1302697101085i</v>
      </c>
      <c r="AT150" s="20">
        <f t="shared" si="152"/>
        <v>31.648773265194148</v>
      </c>
      <c r="AU150" s="44">
        <f t="shared" si="153"/>
        <v>57.180268399695251</v>
      </c>
    </row>
    <row r="151" spans="14:47" x14ac:dyDescent="0.3">
      <c r="N151" s="8">
        <v>33</v>
      </c>
      <c r="O151" s="35">
        <f t="shared" si="121"/>
        <v>213.79620895022339</v>
      </c>
      <c r="P151" s="34" t="str">
        <f t="shared" si="122"/>
        <v>324,571428571429</v>
      </c>
      <c r="Q151" s="4" t="str">
        <f t="shared" si="123"/>
        <v>1+30,7044845441541i</v>
      </c>
      <c r="R151" s="4">
        <f t="shared" si="131"/>
        <v>30.72076449442946</v>
      </c>
      <c r="S151" s="4">
        <f t="shared" si="132"/>
        <v>1.5382393023105676</v>
      </c>
      <c r="T151" s="4" t="str">
        <f t="shared" si="124"/>
        <v>1+0,000268664239761348i</v>
      </c>
      <c r="U151" s="4">
        <f t="shared" si="133"/>
        <v>1.0000000360902364</v>
      </c>
      <c r="V151" s="4">
        <f t="shared" si="134"/>
        <v>2.6866423329724421E-4</v>
      </c>
      <c r="W151" t="str">
        <f t="shared" si="125"/>
        <v>1-0,00233215485903948i</v>
      </c>
      <c r="X151" s="4">
        <f t="shared" si="135"/>
        <v>1.0000027194694454</v>
      </c>
      <c r="Y151" s="4">
        <f t="shared" si="136"/>
        <v>-2.3321506308982744E-3</v>
      </c>
      <c r="Z151" t="str">
        <f t="shared" si="126"/>
        <v>0,999999817164724+0,00199958957614045i</v>
      </c>
      <c r="AA151" s="4">
        <f t="shared" si="137"/>
        <v>1.0000018163423277</v>
      </c>
      <c r="AB151" s="4">
        <f t="shared" si="138"/>
        <v>1.9995872767156527E-3</v>
      </c>
      <c r="AC151" s="48" t="str">
        <f t="shared" si="139"/>
        <v>0,301004214830302-10,5609344989771i</v>
      </c>
      <c r="AD151" s="20">
        <f t="shared" si="140"/>
        <v>20.477573517852463</v>
      </c>
      <c r="AE151" s="44">
        <f t="shared" si="141"/>
        <v>-88.367416876932936</v>
      </c>
      <c r="AF151" t="str">
        <f t="shared" si="127"/>
        <v>-0,0000125211169631323</v>
      </c>
      <c r="AG151" t="str">
        <f t="shared" si="128"/>
        <v>6,49227135383298E-06i</v>
      </c>
      <c r="AH151">
        <f t="shared" si="142"/>
        <v>6.4922713538329801E-6</v>
      </c>
      <c r="AI151">
        <f t="shared" si="143"/>
        <v>1.5707963267948966</v>
      </c>
      <c r="AJ151" t="str">
        <f t="shared" si="129"/>
        <v>1+0,0103903518274929i</v>
      </c>
      <c r="AK151">
        <f t="shared" si="144"/>
        <v>1.0000539782487239</v>
      </c>
      <c r="AL151">
        <f t="shared" si="145"/>
        <v>1.0389977939623294E-2</v>
      </c>
      <c r="AM151" t="str">
        <f t="shared" si="130"/>
        <v>1+1,52171425400828i</v>
      </c>
      <c r="AN151">
        <f t="shared" si="146"/>
        <v>1.8208828273263427</v>
      </c>
      <c r="AO151">
        <f t="shared" si="147"/>
        <v>0.98940864026487396</v>
      </c>
      <c r="AP151" s="42" t="str">
        <f t="shared" si="148"/>
        <v>-2,91445313538638+1,9589010512884i</v>
      </c>
      <c r="AQ151">
        <f t="shared" si="149"/>
        <v>10.910099344459965</v>
      </c>
      <c r="AR151" s="44">
        <f t="shared" si="150"/>
        <v>146.09363741578039</v>
      </c>
      <c r="AS151" s="42" t="str">
        <f t="shared" si="151"/>
        <v>19,8105630149575+31,3689861360273i</v>
      </c>
      <c r="AT151" s="20">
        <f t="shared" si="152"/>
        <v>31.387672862312428</v>
      </c>
      <c r="AU151" s="44">
        <f t="shared" si="153"/>
        <v>57.726220538847436</v>
      </c>
    </row>
    <row r="152" spans="14:47" x14ac:dyDescent="0.3">
      <c r="N152" s="8">
        <v>34</v>
      </c>
      <c r="O152" s="35">
        <f t="shared" si="121"/>
        <v>218.77616239495524</v>
      </c>
      <c r="P152" s="34" t="str">
        <f t="shared" si="122"/>
        <v>324,571428571429</v>
      </c>
      <c r="Q152" s="4" t="str">
        <f t="shared" si="123"/>
        <v>1+31,4196838656256i</v>
      </c>
      <c r="R152" s="4">
        <f t="shared" si="131"/>
        <v>31.435593428721109</v>
      </c>
      <c r="S152" s="4">
        <f t="shared" si="132"/>
        <v>1.5389798848204475</v>
      </c>
      <c r="T152" s="4" t="str">
        <f t="shared" si="124"/>
        <v>1+0,000274922233824224i</v>
      </c>
      <c r="U152" s="4">
        <f t="shared" si="133"/>
        <v>1.0000000377911167</v>
      </c>
      <c r="V152" s="4">
        <f t="shared" si="134"/>
        <v>2.7492222689781204E-4</v>
      </c>
      <c r="W152" t="str">
        <f t="shared" si="125"/>
        <v>1-0,00238647772416861i</v>
      </c>
      <c r="X152" s="4">
        <f t="shared" si="135"/>
        <v>1.0000028476339096</v>
      </c>
      <c r="Y152" s="4">
        <f t="shared" si="136"/>
        <v>-2.3864731936343799E-3</v>
      </c>
      <c r="Z152" t="str">
        <f t="shared" si="126"/>
        <v>0,999999808547963+0,00204616600070217i</v>
      </c>
      <c r="AA152" s="4">
        <f t="shared" si="137"/>
        <v>1.000001901943824</v>
      </c>
      <c r="AB152" s="4">
        <f t="shared" si="138"/>
        <v>2.0461635368243607E-3</v>
      </c>
      <c r="AC152" s="48" t="str">
        <f t="shared" si="139"/>
        <v>0,285539287644428-10,3210269242265i</v>
      </c>
      <c r="AD152" s="20">
        <f t="shared" si="140"/>
        <v>20.277781018817244</v>
      </c>
      <c r="AE152" s="44">
        <f t="shared" si="141"/>
        <v>-88.415271649215569</v>
      </c>
      <c r="AF152" t="str">
        <f t="shared" si="127"/>
        <v>-0,0000125211169631323</v>
      </c>
      <c r="AG152" t="str">
        <f t="shared" si="128"/>
        <v>6,64349578036236E-06i</v>
      </c>
      <c r="AH152">
        <f t="shared" si="142"/>
        <v>6.6434957803623602E-6</v>
      </c>
      <c r="AI152">
        <f t="shared" si="143"/>
        <v>1.5707963267948966</v>
      </c>
      <c r="AJ152" t="str">
        <f t="shared" si="129"/>
        <v>1+0,010632374212405i</v>
      </c>
      <c r="AK152">
        <f t="shared" si="144"/>
        <v>1.0000565220933229</v>
      </c>
      <c r="AL152">
        <f t="shared" si="145"/>
        <v>1.0631973585557638E-2</v>
      </c>
      <c r="AM152" t="str">
        <f t="shared" si="130"/>
        <v>1+1,5571595323804i</v>
      </c>
      <c r="AN152">
        <f t="shared" si="146"/>
        <v>1.8506068759418208</v>
      </c>
      <c r="AO152">
        <f t="shared" si="147"/>
        <v>0.99992753790117561</v>
      </c>
      <c r="AP152" s="42" t="str">
        <f t="shared" si="148"/>
        <v>-2,91443830841154+1,91570553161983i</v>
      </c>
      <c r="AQ152">
        <f t="shared" si="149"/>
        <v>10.850720676992136</v>
      </c>
      <c r="AR152" s="44">
        <f t="shared" si="150"/>
        <v>146.68246052629792</v>
      </c>
      <c r="AS152" s="42" t="str">
        <f t="shared" si="151"/>
        <v>18,9398617322704+30,6270054429479i</v>
      </c>
      <c r="AT152" s="20">
        <f t="shared" si="152"/>
        <v>31.128501695809383</v>
      </c>
      <c r="AU152" s="44">
        <f t="shared" si="153"/>
        <v>58.267188877082468</v>
      </c>
    </row>
    <row r="153" spans="14:47" x14ac:dyDescent="0.3">
      <c r="N153" s="8">
        <v>35</v>
      </c>
      <c r="O153" s="35">
        <f t="shared" si="121"/>
        <v>223.87211385683412</v>
      </c>
      <c r="P153" s="34" t="str">
        <f t="shared" si="122"/>
        <v>324,571428571429</v>
      </c>
      <c r="Q153" s="4" t="str">
        <f t="shared" si="123"/>
        <v>1+32,1515423193714i</v>
      </c>
      <c r="R153" s="4">
        <f t="shared" si="131"/>
        <v>32.167089913673102</v>
      </c>
      <c r="S153" s="4">
        <f t="shared" si="132"/>
        <v>1.539703643350844</v>
      </c>
      <c r="T153" s="4" t="str">
        <f t="shared" si="124"/>
        <v>1+0,0002813259952945i</v>
      </c>
      <c r="U153" s="4">
        <f t="shared" si="133"/>
        <v>1.0000000395721569</v>
      </c>
      <c r="V153" s="4">
        <f t="shared" si="134"/>
        <v>2.8132598787271589E-4</v>
      </c>
      <c r="W153" t="str">
        <f t="shared" si="125"/>
        <v>1-0,00244206593137587i</v>
      </c>
      <c r="X153" s="4">
        <f t="shared" si="135"/>
        <v>1.000002981838561</v>
      </c>
      <c r="Y153" s="4">
        <f t="shared" si="136"/>
        <v>-2.4420610768217609E-3</v>
      </c>
      <c r="Z153" t="str">
        <f t="shared" si="126"/>
        <v>0,999999799525107+0,00209382732956167i</v>
      </c>
      <c r="AA153" s="4">
        <f t="shared" si="137"/>
        <v>1.0000019915795868</v>
      </c>
      <c r="AB153" s="4">
        <f t="shared" si="138"/>
        <v>2.0938246894693134E-3</v>
      </c>
      <c r="AC153" s="48" t="str">
        <f t="shared" si="139"/>
        <v>0,270769020413229-10,0865474198788i</v>
      </c>
      <c r="AD153" s="20">
        <f t="shared" si="140"/>
        <v>20.077979225344432</v>
      </c>
      <c r="AE153" s="44">
        <f t="shared" si="141"/>
        <v>-88.462288783908988</v>
      </c>
      <c r="AF153" t="str">
        <f t="shared" si="127"/>
        <v>-0,0000125211169631323</v>
      </c>
      <c r="AG153" t="str">
        <f t="shared" si="128"/>
        <v>6,79824267629157E-06i</v>
      </c>
      <c r="AH153">
        <f t="shared" si="142"/>
        <v>6.7982426762915697E-6</v>
      </c>
      <c r="AI153">
        <f t="shared" si="143"/>
        <v>1.5707963267948966</v>
      </c>
      <c r="AJ153" t="str">
        <f t="shared" si="129"/>
        <v>1+0,0108800340228607i</v>
      </c>
      <c r="AK153">
        <f t="shared" si="144"/>
        <v>1.0000591858186887</v>
      </c>
      <c r="AL153">
        <f t="shared" si="145"/>
        <v>1.087960474483168E-2</v>
      </c>
      <c r="AM153" t="str">
        <f t="shared" si="130"/>
        <v>1+1,59343043734805i</v>
      </c>
      <c r="AN153">
        <f t="shared" si="146"/>
        <v>1.8812284706189191</v>
      </c>
      <c r="AO153">
        <f t="shared" si="147"/>
        <v>1.0103461659617372</v>
      </c>
      <c r="AP153" s="42" t="str">
        <f t="shared" si="148"/>
        <v>-2,91442278282463+1,87352572952004i</v>
      </c>
      <c r="AQ153">
        <f t="shared" si="149"/>
        <v>10.793244967562551</v>
      </c>
      <c r="AR153" s="44">
        <f t="shared" si="150"/>
        <v>147.26521572218249</v>
      </c>
      <c r="AS153" s="42" t="str">
        <f t="shared" si="151"/>
        <v>18,1082707111915+29,9037563270369i</v>
      </c>
      <c r="AT153" s="20">
        <f t="shared" si="152"/>
        <v>30.871224192906986</v>
      </c>
      <c r="AU153" s="44">
        <f t="shared" si="153"/>
        <v>58.80292693827348</v>
      </c>
    </row>
    <row r="154" spans="14:47" x14ac:dyDescent="0.3">
      <c r="N154" s="8">
        <v>36</v>
      </c>
      <c r="O154" s="35">
        <f t="shared" si="121"/>
        <v>229.08676527677744</v>
      </c>
      <c r="P154" s="34" t="str">
        <f t="shared" si="122"/>
        <v>324,571428571429</v>
      </c>
      <c r="Q154" s="4" t="str">
        <f t="shared" si="123"/>
        <v>1+32,9004479464309i</v>
      </c>
      <c r="R154" s="4">
        <f t="shared" si="131"/>
        <v>32.915641799542797</v>
      </c>
      <c r="S154" s="4">
        <f t="shared" si="132"/>
        <v>1.5404109586133847</v>
      </c>
      <c r="T154" s="4" t="str">
        <f t="shared" si="124"/>
        <v>1+0,00028787891953127i</v>
      </c>
      <c r="U154" s="4">
        <f t="shared" si="133"/>
        <v>1.0000000414371353</v>
      </c>
      <c r="V154" s="4">
        <f t="shared" si="134"/>
        <v>2.8787891157868508E-4</v>
      </c>
      <c r="W154" t="str">
        <f t="shared" si="125"/>
        <v>1-0,0024989489542645i</v>
      </c>
      <c r="X154" s="4">
        <f t="shared" si="135"/>
        <v>1.0000031223680634</v>
      </c>
      <c r="Y154" s="4">
        <f t="shared" si="136"/>
        <v>-2.4989437525169311E-3</v>
      </c>
      <c r="Z154" t="str">
        <f t="shared" si="126"/>
        <v>0,999999790077016+0,00214259883338638i</v>
      </c>
      <c r="AA154" s="4">
        <f t="shared" si="137"/>
        <v>1.0000020854397438</v>
      </c>
      <c r="AB154" s="4">
        <f t="shared" si="138"/>
        <v>2.1425960044767715E-3</v>
      </c>
      <c r="AC154" s="48" t="str">
        <f t="shared" si="139"/>
        <v>0,256662269313442-9,85737461129215i</v>
      </c>
      <c r="AD154" s="20">
        <f t="shared" si="140"/>
        <v>19.878168556611556</v>
      </c>
      <c r="AE154" s="44">
        <f t="shared" si="141"/>
        <v>-88.508493036121919</v>
      </c>
      <c r="AF154" t="str">
        <f t="shared" si="127"/>
        <v>-0,0000125211169631323</v>
      </c>
      <c r="AG154" t="str">
        <f t="shared" si="128"/>
        <v>6,95659409047312E-06i</v>
      </c>
      <c r="AH154">
        <f t="shared" si="142"/>
        <v>6.9565940904731204E-6</v>
      </c>
      <c r="AI154">
        <f t="shared" si="143"/>
        <v>1.5707963267948966</v>
      </c>
      <c r="AJ154" t="str">
        <f t="shared" si="129"/>
        <v>1+0,0111334625713695i</v>
      </c>
      <c r="AK154">
        <f t="shared" si="144"/>
        <v>1.0000619750739592</v>
      </c>
      <c r="AL154">
        <f t="shared" si="145"/>
        <v>1.1133002593213629E-2</v>
      </c>
      <c r="AM154" t="str">
        <f t="shared" si="130"/>
        <v>1+1,63054620022511i</v>
      </c>
      <c r="AN154">
        <f t="shared" si="146"/>
        <v>1.9127678664878665</v>
      </c>
      <c r="AO154">
        <f t="shared" si="147"/>
        <v>1.020661000901069</v>
      </c>
      <c r="AP154" s="42" t="str">
        <f t="shared" si="148"/>
        <v>-2,91440652571661+1,83233927963705i</v>
      </c>
      <c r="AQ154">
        <f t="shared" si="149"/>
        <v>10.737635231562939</v>
      </c>
      <c r="AR154" s="44">
        <f t="shared" si="150"/>
        <v>147.84169360333016</v>
      </c>
      <c r="AS154" s="42" t="str">
        <f t="shared" si="151"/>
        <v>17,3140365017753+29,1986892512469i</v>
      </c>
      <c r="AT154" s="20">
        <f t="shared" si="152"/>
        <v>30.615803788174503</v>
      </c>
      <c r="AU154" s="44">
        <f t="shared" si="153"/>
        <v>59.33320056720823</v>
      </c>
    </row>
    <row r="155" spans="14:47" x14ac:dyDescent="0.3">
      <c r="N155" s="8">
        <v>37</v>
      </c>
      <c r="O155" s="35">
        <f t="shared" si="121"/>
        <v>234.42288153199232</v>
      </c>
      <c r="P155" s="34" t="str">
        <f t="shared" si="122"/>
        <v>324,571428571429</v>
      </c>
      <c r="Q155" s="4" t="str">
        <f t="shared" si="123"/>
        <v>1+33,6667978264802i</v>
      </c>
      <c r="R155" s="4">
        <f t="shared" si="131"/>
        <v>33.681645979510741</v>
      </c>
      <c r="S155" s="4">
        <f t="shared" si="132"/>
        <v>1.5411022028034354</v>
      </c>
      <c r="T155" s="4" t="str">
        <f t="shared" si="124"/>
        <v>1+0,000294584480981702i</v>
      </c>
      <c r="U155" s="4">
        <f t="shared" si="133"/>
        <v>1.0000000433900074</v>
      </c>
      <c r="V155" s="4">
        <f t="shared" si="134"/>
        <v>2.9458447246035374E-4</v>
      </c>
      <c r="W155" t="str">
        <f t="shared" si="125"/>
        <v>1-0,00255715695296616i</v>
      </c>
      <c r="X155" s="4">
        <f t="shared" si="135"/>
        <v>1.0000032695204961</v>
      </c>
      <c r="Y155" s="4">
        <f t="shared" si="136"/>
        <v>-2.5571513791942035E-3</v>
      </c>
      <c r="Z155" t="str">
        <f t="shared" si="126"/>
        <v>0,99999978018365+0,00219250637147319i</v>
      </c>
      <c r="AA155" s="4">
        <f t="shared" si="137"/>
        <v>1.0000021837233843</v>
      </c>
      <c r="AB155" s="4">
        <f t="shared" si="138"/>
        <v>2.1925033402422894E-3</v>
      </c>
      <c r="AC155" s="48" t="str">
        <f t="shared" si="139"/>
        <v>0,243189281602063-9,63338974125247i</v>
      </c>
      <c r="AD155" s="20">
        <f t="shared" si="140"/>
        <v>19.678349413079946</v>
      </c>
      <c r="AE155" s="44">
        <f t="shared" si="141"/>
        <v>-88.553908741537157</v>
      </c>
      <c r="AF155" t="str">
        <f t="shared" si="127"/>
        <v>-0,0000125211169631323</v>
      </c>
      <c r="AG155" t="str">
        <f t="shared" si="128"/>
        <v>7,11863398292285E-06i</v>
      </c>
      <c r="AH155">
        <f t="shared" si="142"/>
        <v>7.1186339829228497E-6</v>
      </c>
      <c r="AI155">
        <f t="shared" si="143"/>
        <v>1.5707963267948966</v>
      </c>
      <c r="AJ155" t="str">
        <f t="shared" si="129"/>
        <v>1+0,0113927942291024i</v>
      </c>
      <c r="AK155">
        <f t="shared" si="144"/>
        <v>1.0000648957744427</v>
      </c>
      <c r="AL155">
        <f t="shared" si="145"/>
        <v>1.1392301355355771E-2</v>
      </c>
      <c r="AM155" t="str">
        <f t="shared" si="130"/>
        <v>1+1,66852650028036i</v>
      </c>
      <c r="AN155">
        <f t="shared" si="146"/>
        <v>1.9452456611281328</v>
      </c>
      <c r="AO155">
        <f t="shared" si="147"/>
        <v>1.0308687317668004</v>
      </c>
      <c r="AP155" s="42" t="str">
        <f t="shared" si="148"/>
        <v>-2,91438950262909+1,79212434323135i</v>
      </c>
      <c r="AQ155">
        <f t="shared" si="149"/>
        <v>10.683853625254729</v>
      </c>
      <c r="AR155" s="44">
        <f t="shared" si="150"/>
        <v>148.41169677563826</v>
      </c>
      <c r="AS155" s="42" t="str">
        <f t="shared" si="151"/>
        <v>16,5554839736807+28,511275368213i</v>
      </c>
      <c r="AT155" s="20">
        <f t="shared" si="152"/>
        <v>30.362203038334677</v>
      </c>
      <c r="AU155" s="44">
        <f t="shared" si="153"/>
        <v>59.857788034101219</v>
      </c>
    </row>
    <row r="156" spans="14:47" x14ac:dyDescent="0.3">
      <c r="N156" s="8">
        <v>38</v>
      </c>
      <c r="O156" s="35">
        <f t="shared" si="121"/>
        <v>239.88329190194912</v>
      </c>
      <c r="P156" s="34" t="str">
        <f t="shared" si="122"/>
        <v>324,571428571429</v>
      </c>
      <c r="Q156" s="4" t="str">
        <f t="shared" si="123"/>
        <v>1+34,4509982883703i</v>
      </c>
      <c r="R156" s="4">
        <f t="shared" si="131"/>
        <v>34.465508600125048</v>
      </c>
      <c r="S156" s="4">
        <f t="shared" si="132"/>
        <v>1.5417777397839898</v>
      </c>
      <c r="T156" s="4" t="str">
        <f t="shared" si="124"/>
        <v>1+0,00030144623502324i</v>
      </c>
      <c r="U156" s="4">
        <f t="shared" si="133"/>
        <v>1.0000000454349152</v>
      </c>
      <c r="V156" s="4">
        <f t="shared" si="134"/>
        <v>3.0144622589245088E-4</v>
      </c>
      <c r="W156" t="str">
        <f t="shared" si="125"/>
        <v>1-0,00261672079013229i</v>
      </c>
      <c r="X156" s="4">
        <f t="shared" si="135"/>
        <v>1.0000034236079862</v>
      </c>
      <c r="Y156" s="4">
        <f t="shared" si="136"/>
        <v>-2.6167148177291396E-3</v>
      </c>
      <c r="Z156" t="str">
        <f t="shared" si="126"/>
        <v>0,999999769824025+0,00224357640545942i</v>
      </c>
      <c r="AA156" s="4">
        <f t="shared" si="137"/>
        <v>1.0000022866389808</v>
      </c>
      <c r="AB156" s="4">
        <f t="shared" si="138"/>
        <v>2.2435731574373904E-3</v>
      </c>
      <c r="AC156" s="48" t="str">
        <f t="shared" si="139"/>
        <v>0,230321633939432-9,41447662003893i</v>
      </c>
      <c r="AD156" s="20">
        <f t="shared" si="140"/>
        <v>19.478522177334256</v>
      </c>
      <c r="AE156" s="44">
        <f t="shared" si="141"/>
        <v>-88.59855982854333</v>
      </c>
      <c r="AF156" t="str">
        <f t="shared" si="127"/>
        <v>-0,0000125211169631323</v>
      </c>
      <c r="AG156" t="str">
        <f t="shared" si="128"/>
        <v>7,28444826933659E-06i</v>
      </c>
      <c r="AH156">
        <f t="shared" si="142"/>
        <v>7.2844482693365903E-6</v>
      </c>
      <c r="AI156">
        <f t="shared" si="143"/>
        <v>1.5707963267948966</v>
      </c>
      <c r="AJ156" t="str">
        <f t="shared" si="129"/>
        <v>1+0,0116581664971372i</v>
      </c>
      <c r="AK156">
        <f t="shared" si="144"/>
        <v>1.0000679541141566</v>
      </c>
      <c r="AL156">
        <f t="shared" si="145"/>
        <v>1.1657638375340772E-2</v>
      </c>
      <c r="AM156" t="str">
        <f t="shared" si="130"/>
        <v>1+1,70739147517163i</v>
      </c>
      <c r="AN156">
        <f t="shared" si="146"/>
        <v>1.9786828066895297</v>
      </c>
      <c r="AO156">
        <f t="shared" si="147"/>
        <v>1.040966261396798</v>
      </c>
      <c r="AP156" s="42" t="str">
        <f t="shared" si="148"/>
        <v>-2,91437167748134+1,75285959659137i</v>
      </c>
      <c r="AQ156">
        <f t="shared" si="149"/>
        <v>10.631861558442118</v>
      </c>
      <c r="AR156" s="44">
        <f t="shared" si="150"/>
        <v>148.97503991555172</v>
      </c>
      <c r="AS156" s="42" t="str">
        <f t="shared" si="151"/>
        <v>15,831012843656+27,841005506105i</v>
      </c>
      <c r="AT156" s="20">
        <f t="shared" si="152"/>
        <v>30.11038373577636</v>
      </c>
      <c r="AU156" s="44">
        <f t="shared" si="153"/>
        <v>60.376480087008382</v>
      </c>
    </row>
    <row r="157" spans="14:47" x14ac:dyDescent="0.3">
      <c r="N157" s="8">
        <v>39</v>
      </c>
      <c r="O157" s="35">
        <f t="shared" si="121"/>
        <v>245.4708915685033</v>
      </c>
      <c r="P157" s="34" t="str">
        <f t="shared" si="122"/>
        <v>324,571428571429</v>
      </c>
      <c r="Q157" s="4" t="str">
        <f t="shared" si="123"/>
        <v>1+35,2534651255655i</v>
      </c>
      <c r="R157" s="4">
        <f t="shared" si="131"/>
        <v>35.267645276647869</v>
      </c>
      <c r="S157" s="4">
        <f t="shared" si="132"/>
        <v>1.5424379252660334</v>
      </c>
      <c r="T157" s="4" t="str">
        <f t="shared" si="124"/>
        <v>1+0,000308467819848698i</v>
      </c>
      <c r="U157" s="4">
        <f t="shared" si="133"/>
        <v>1.0000000475761968</v>
      </c>
      <c r="V157" s="4">
        <f t="shared" si="134"/>
        <v>3.0846781006488115E-4</v>
      </c>
      <c r="W157" t="str">
        <f t="shared" si="125"/>
        <v>1-0,00267767204729773i</v>
      </c>
      <c r="X157" s="4">
        <f t="shared" si="135"/>
        <v>1.0000035849573705</v>
      </c>
      <c r="Y157" s="4">
        <f t="shared" si="136"/>
        <v>-2.6776656477536949E-3</v>
      </c>
      <c r="Z157" t="str">
        <f t="shared" si="126"/>
        <v>0,999999758976166+0,00229583601335307i</v>
      </c>
      <c r="AA157" s="4">
        <f t="shared" si="137"/>
        <v>1.0000023944048284</v>
      </c>
      <c r="AB157" s="4">
        <f t="shared" si="138"/>
        <v>2.2958325330352087E-3</v>
      </c>
      <c r="AC157" s="48" t="str">
        <f t="shared" si="139"/>
        <v>0,218032173406647-9,2005215759892i</v>
      </c>
      <c r="AD157" s="20">
        <f t="shared" si="140"/>
        <v>19.278687214885931</v>
      </c>
      <c r="AE157" s="44">
        <f t="shared" si="141"/>
        <v>-88.642469830201634</v>
      </c>
      <c r="AF157" t="str">
        <f t="shared" si="127"/>
        <v>-0,0000125211169631323</v>
      </c>
      <c r="AG157" t="str">
        <f t="shared" si="128"/>
        <v>0,0000074541248666438i</v>
      </c>
      <c r="AH157">
        <f t="shared" si="142"/>
        <v>7.4541248666437998E-6</v>
      </c>
      <c r="AI157">
        <f t="shared" si="143"/>
        <v>1.5707963267948966</v>
      </c>
      <c r="AJ157" t="str">
        <f t="shared" si="129"/>
        <v>1+0,0119297200793627i</v>
      </c>
      <c r="AK157">
        <f t="shared" si="144"/>
        <v>1.0000711565789566</v>
      </c>
      <c r="AL157">
        <f t="shared" si="145"/>
        <v>1.1929154188836909E-2</v>
      </c>
      <c r="AM157" t="str">
        <f t="shared" si="130"/>
        <v>1+1,74716173162303i</v>
      </c>
      <c r="AN157">
        <f t="shared" si="146"/>
        <v>2.0131006225342993</v>
      </c>
      <c r="AO157">
        <f t="shared" si="147"/>
        <v>1.050950706742058</v>
      </c>
      <c r="AP157" s="42" t="str">
        <f t="shared" si="148"/>
        <v>-2,91435301249394+1,7145242197215i</v>
      </c>
      <c r="AQ157">
        <f t="shared" si="149"/>
        <v>10.581619805303559</v>
      </c>
      <c r="AR157" s="44">
        <f t="shared" si="150"/>
        <v>149.53154978442981</v>
      </c>
      <c r="AS157" s="42" t="str">
        <f t="shared" si="151"/>
        <v>15,1390943547154+27,1873892134838i</v>
      </c>
      <c r="AT157" s="20">
        <f t="shared" si="152"/>
        <v>29.860307020189477</v>
      </c>
      <c r="AU157" s="44">
        <f t="shared" si="153"/>
        <v>60.889079954228237</v>
      </c>
    </row>
    <row r="158" spans="14:47" x14ac:dyDescent="0.3">
      <c r="N158" s="8">
        <v>40</v>
      </c>
      <c r="O158" s="35">
        <f t="shared" si="121"/>
        <v>251.18864315095806</v>
      </c>
      <c r="P158" s="34" t="str">
        <f t="shared" si="122"/>
        <v>324,571428571429</v>
      </c>
      <c r="Q158" s="4" t="str">
        <f t="shared" si="123"/>
        <v>1+36,0746238166053i</v>
      </c>
      <c r="R158" s="4">
        <f t="shared" si="131"/>
        <v>36.088481313427231</v>
      </c>
      <c r="S158" s="4">
        <f t="shared" si="132"/>
        <v>1.5430831069854227</v>
      </c>
      <c r="T158" s="4" t="str">
        <f t="shared" si="124"/>
        <v>1+0,000315652958395296i</v>
      </c>
      <c r="U158" s="4">
        <f t="shared" si="133"/>
        <v>1.0000000498183939</v>
      </c>
      <c r="V158" s="4">
        <f t="shared" si="134"/>
        <v>3.1565294791174745E-4</v>
      </c>
      <c r="W158" t="str">
        <f t="shared" si="125"/>
        <v>1-0,00274004304162583i</v>
      </c>
      <c r="X158" s="4">
        <f t="shared" si="135"/>
        <v>1.000003753910889</v>
      </c>
      <c r="Y158" s="4">
        <f t="shared" si="136"/>
        <v>-2.7400361843922423E-3</v>
      </c>
      <c r="Z158" t="str">
        <f t="shared" si="126"/>
        <v>0,999999747617062+0,00234931290388999i</v>
      </c>
      <c r="AA158" s="4">
        <f t="shared" si="137"/>
        <v>1.0000025072495109</v>
      </c>
      <c r="AB158" s="4">
        <f t="shared" si="138"/>
        <v>2.3493091746627187E-3</v>
      </c>
      <c r="AC158" s="48" t="str">
        <f t="shared" si="139"/>
        <v>0,206294961103069-8,99141340659229i</v>
      </c>
      <c r="AD158" s="20">
        <f t="shared" si="140"/>
        <v>19.078844874939719</v>
      </c>
      <c r="AE158" s="44">
        <f t="shared" si="141"/>
        <v>-88.685661896050931</v>
      </c>
      <c r="AF158" t="str">
        <f t="shared" si="127"/>
        <v>-0,0000125211169631323</v>
      </c>
      <c r="AG158" t="str">
        <f t="shared" si="128"/>
        <v>7,62775373962231E-06i</v>
      </c>
      <c r="AH158">
        <f t="shared" si="142"/>
        <v>7.6277537396223101E-6</v>
      </c>
      <c r="AI158">
        <f t="shared" si="143"/>
        <v>1.5707963267948966</v>
      </c>
      <c r="AJ158" t="str">
        <f t="shared" si="129"/>
        <v>1+0,0122075989570829i</v>
      </c>
      <c r="AK158">
        <f t="shared" si="144"/>
        <v>1.0000745099602815</v>
      </c>
      <c r="AL158">
        <f t="shared" si="145"/>
        <v>1.2206992596899781E-2</v>
      </c>
      <c r="AM158" t="str">
        <f t="shared" si="130"/>
        <v>1+1,78785835635096i</v>
      </c>
      <c r="AN158">
        <f t="shared" si="146"/>
        <v>2.048520808381979</v>
      </c>
      <c r="AO158">
        <f t="shared" si="147"/>
        <v>1.0608193983566163</v>
      </c>
      <c r="AP158" s="42" t="str">
        <f t="shared" si="148"/>
        <v>-2,91433346810904+1,67709788529686i</v>
      </c>
      <c r="AQ158">
        <f t="shared" si="149"/>
        <v>10.533088612842995</v>
      </c>
      <c r="AR158" s="44">
        <f t="shared" si="150"/>
        <v>150.08106519509153</v>
      </c>
      <c r="AS158" s="42" t="str">
        <f t="shared" si="151"/>
        <v>14,4782681005808+26,5499538594496i</v>
      </c>
      <c r="AT158" s="20">
        <f t="shared" si="152"/>
        <v>29.611933487782714</v>
      </c>
      <c r="AU158" s="44">
        <f t="shared" si="153"/>
        <v>61.395403299040687</v>
      </c>
    </row>
    <row r="159" spans="14:47" x14ac:dyDescent="0.3">
      <c r="N159" s="8">
        <v>41</v>
      </c>
      <c r="O159" s="35">
        <f t="shared" si="121"/>
        <v>257.03957827688663</v>
      </c>
      <c r="P159" s="34" t="str">
        <f t="shared" si="122"/>
        <v>324,571428571429</v>
      </c>
      <c r="Q159" s="4" t="str">
        <f t="shared" si="123"/>
        <v>1+36,9149097506965i</v>
      </c>
      <c r="R159" s="4">
        <f t="shared" si="131"/>
        <v>36.928451929400822</v>
      </c>
      <c r="S159" s="4">
        <f t="shared" si="132"/>
        <v>1.543713624876311</v>
      </c>
      <c r="T159" s="4" t="str">
        <f t="shared" si="124"/>
        <v>1+0,000323005460318594i</v>
      </c>
      <c r="U159" s="4">
        <f t="shared" si="133"/>
        <v>1.0000000521662624</v>
      </c>
      <c r="V159" s="4">
        <f t="shared" si="134"/>
        <v>3.2300544908526937E-4</v>
      </c>
      <c r="W159" t="str">
        <f t="shared" si="125"/>
        <v>1-0,00280386684304335i</v>
      </c>
      <c r="X159" s="4">
        <f t="shared" si="135"/>
        <v>1.0000039308269111</v>
      </c>
      <c r="Y159" s="4">
        <f t="shared" si="136"/>
        <v>-2.8038594953867396E-3</v>
      </c>
      <c r="Z159" t="str">
        <f t="shared" si="126"/>
        <v>0,999999735722621+0,00240403543122537i</v>
      </c>
      <c r="AA159" s="4">
        <f t="shared" si="137"/>
        <v>1.0000026254123868</v>
      </c>
      <c r="AB159" s="4">
        <f t="shared" si="138"/>
        <v>2.4040314352869194E-3</v>
      </c>
      <c r="AC159" s="48" t="str">
        <f t="shared" si="139"/>
        <v>0,195085218214443-8,78704333013951i</v>
      </c>
      <c r="AD159" s="20">
        <f t="shared" si="140"/>
        <v>18.878995491127792</v>
      </c>
      <c r="AE159" s="44">
        <f t="shared" si="141"/>
        <v>-88.728158803753942</v>
      </c>
      <c r="AF159" t="str">
        <f t="shared" si="127"/>
        <v>-0,0000125211169631323</v>
      </c>
      <c r="AG159" t="str">
        <f t="shared" si="128"/>
        <v>7,80542694859883E-06i</v>
      </c>
      <c r="AH159">
        <f t="shared" si="142"/>
        <v>7.8054269485988292E-6</v>
      </c>
      <c r="AI159">
        <f t="shared" si="143"/>
        <v>1.5707963267948966</v>
      </c>
      <c r="AJ159" t="str">
        <f t="shared" si="129"/>
        <v>1+0,0124919504653567i</v>
      </c>
      <c r="AK159">
        <f t="shared" si="144"/>
        <v>1.0000780213695475</v>
      </c>
      <c r="AL159">
        <f t="shared" si="145"/>
        <v>1.2491300741452164E-2</v>
      </c>
      <c r="AM159" t="str">
        <f t="shared" si="130"/>
        <v>1+1,82950292724452i</v>
      </c>
      <c r="AN159">
        <f t="shared" si="146"/>
        <v>2.0849654579383965</v>
      </c>
      <c r="AO159">
        <f t="shared" si="147"/>
        <v>1.0705698790998328</v>
      </c>
      <c r="AP159" s="42" t="str">
        <f t="shared" si="148"/>
        <v>-2,9143130029066+1,64056074787876i</v>
      </c>
      <c r="AQ159">
        <f t="shared" si="149"/>
        <v>10.486227806470662</v>
      </c>
      <c r="AR159" s="44">
        <f t="shared" si="150"/>
        <v>150.62343693313747</v>
      </c>
      <c r="AS159" s="42" t="str">
        <f t="shared" si="151"/>
        <v>13,8471389892195+25,9282437856233i</v>
      </c>
      <c r="AT159" s="20">
        <f t="shared" si="152"/>
        <v>29.365223297598462</v>
      </c>
      <c r="AU159" s="44">
        <f t="shared" si="153"/>
        <v>61.895278129383598</v>
      </c>
    </row>
    <row r="160" spans="14:47" x14ac:dyDescent="0.3">
      <c r="N160" s="8">
        <v>42</v>
      </c>
      <c r="O160" s="35">
        <f t="shared" si="121"/>
        <v>263.02679918953817</v>
      </c>
      <c r="P160" s="34" t="str">
        <f t="shared" si="122"/>
        <v>324,571428571429</v>
      </c>
      <c r="Q160" s="4" t="str">
        <f t="shared" si="123"/>
        <v>1+37,7747684585641i</v>
      </c>
      <c r="R160" s="4">
        <f t="shared" si="131"/>
        <v>37.788002488860521</v>
      </c>
      <c r="S160" s="4">
        <f t="shared" si="132"/>
        <v>1.5443298112411692</v>
      </c>
      <c r="T160" s="4" t="str">
        <f t="shared" si="124"/>
        <v>1+0,000330529224012436i</v>
      </c>
      <c r="U160" s="4">
        <f t="shared" si="133"/>
        <v>1.0000000546247825</v>
      </c>
      <c r="V160" s="4">
        <f t="shared" si="134"/>
        <v>3.3052921197571186E-4</v>
      </c>
      <c r="W160" t="str">
        <f t="shared" si="125"/>
        <v>1-0,00286917729177462i</v>
      </c>
      <c r="X160" s="4">
        <f t="shared" si="135"/>
        <v>1.0000041160806947</v>
      </c>
      <c r="Y160" s="4">
        <f t="shared" si="136"/>
        <v>-2.8691694186204642E-3</v>
      </c>
      <c r="Z160" t="str">
        <f t="shared" si="126"/>
        <v>0,999999723267612+0,00246003260996756i</v>
      </c>
      <c r="AA160" s="4">
        <f t="shared" si="137"/>
        <v>1.0000027491440924</v>
      </c>
      <c r="AB160" s="4">
        <f t="shared" si="138"/>
        <v>2.4600283282430013E-3</v>
      </c>
      <c r="AC160" s="48" t="str">
        <f t="shared" si="139"/>
        <v>0,184379274446257-8,58730493795431i</v>
      </c>
      <c r="AD160" s="20">
        <f t="shared" si="140"/>
        <v>18.679139382210142</v>
      </c>
      <c r="AE160" s="44">
        <f t="shared" si="141"/>
        <v>-88.769982970587989</v>
      </c>
      <c r="AF160" t="str">
        <f t="shared" si="127"/>
        <v>-0,0000125211169631323</v>
      </c>
      <c r="AG160" t="str">
        <f t="shared" si="128"/>
        <v>7,98723869826053E-06i</v>
      </c>
      <c r="AH160">
        <f t="shared" si="142"/>
        <v>7.9872386982605303E-6</v>
      </c>
      <c r="AI160">
        <f t="shared" si="143"/>
        <v>1.5707963267948966</v>
      </c>
      <c r="AJ160" t="str">
        <f t="shared" si="129"/>
        <v>1+0,0127829253711178i</v>
      </c>
      <c r="AK160">
        <f t="shared" si="144"/>
        <v>1.0000816982532195</v>
      </c>
      <c r="AL160">
        <f t="shared" si="145"/>
        <v>1.2782229182482627E-2</v>
      </c>
      <c r="AM160" t="str">
        <f t="shared" si="130"/>
        <v>1+1,87211752480644i</v>
      </c>
      <c r="AN160">
        <f t="shared" si="146"/>
        <v>2.1224570729904979</v>
      </c>
      <c r="AO160">
        <f t="shared" si="147"/>
        <v>1.0801999020999238</v>
      </c>
      <c r="AP160" s="42" t="str">
        <f t="shared" si="148"/>
        <v>-2,91429157351694+1,60489343338528i</v>
      </c>
      <c r="AQ160">
        <f t="shared" si="149"/>
        <v>10.44099689227798</v>
      </c>
      <c r="AR160" s="44">
        <f t="shared" si="150"/>
        <v>151.1585276358451</v>
      </c>
      <c r="AS160" s="42" t="str">
        <f t="shared" si="151"/>
        <v>13,24437433955+25,3218195067118i</v>
      </c>
      <c r="AT160" s="20">
        <f t="shared" si="152"/>
        <v>29.120136274488129</v>
      </c>
      <c r="AU160" s="44">
        <f t="shared" si="153"/>
        <v>62.388544665257072</v>
      </c>
    </row>
    <row r="161" spans="14:47" x14ac:dyDescent="0.3">
      <c r="N161" s="8">
        <v>43</v>
      </c>
      <c r="O161" s="35">
        <f t="shared" si="121"/>
        <v>269.15348039269179</v>
      </c>
      <c r="P161" s="34" t="str">
        <f t="shared" si="122"/>
        <v>324,571428571429</v>
      </c>
      <c r="Q161" s="4" t="str">
        <f t="shared" si="123"/>
        <v>1+38,6546558486768i</v>
      </c>
      <c r="R161" s="4">
        <f t="shared" si="131"/>
        <v>38.667588737593192</v>
      </c>
      <c r="S161" s="4">
        <f t="shared" si="132"/>
        <v>1.5449319909174355</v>
      </c>
      <c r="T161" s="4" t="str">
        <f t="shared" si="124"/>
        <v>1+0,000338228238675922i</v>
      </c>
      <c r="U161" s="4">
        <f t="shared" si="133"/>
        <v>1.0000000571991692</v>
      </c>
      <c r="V161" s="4">
        <f t="shared" si="134"/>
        <v>3.382282257783397E-4</v>
      </c>
      <c r="W161" t="str">
        <f t="shared" si="125"/>
        <v>1-0,00293600901628405i</v>
      </c>
      <c r="X161" s="4">
        <f t="shared" si="135"/>
        <v>1.0000043100651836</v>
      </c>
      <c r="Y161" s="4">
        <f t="shared" si="136"/>
        <v>-2.9360005800493426E-3</v>
      </c>
      <c r="Z161" t="str">
        <f t="shared" si="126"/>
        <v>0,999999710225616+0,00251733413056194i</v>
      </c>
      <c r="AA161" s="4">
        <f t="shared" si="137"/>
        <v>1.0000028787070769</v>
      </c>
      <c r="AB161" s="4">
        <f t="shared" si="138"/>
        <v>2.517329542612128E-3</v>
      </c>
      <c r="AC161" s="48" t="str">
        <f t="shared" si="139"/>
        <v>0,174154518721429-8,39209414722478i</v>
      </c>
      <c r="AD161" s="20">
        <f t="shared" si="140"/>
        <v>18.479276852745073</v>
      </c>
      <c r="AE161" s="44">
        <f t="shared" si="141"/>
        <v>-88.811156464783451</v>
      </c>
      <c r="AF161" t="str">
        <f t="shared" si="127"/>
        <v>-0,0000125211169631323</v>
      </c>
      <c r="AG161" t="str">
        <f t="shared" si="128"/>
        <v>8,17328538760365E-06i</v>
      </c>
      <c r="AH161">
        <f t="shared" si="142"/>
        <v>8.1732853876036497E-6</v>
      </c>
      <c r="AI161">
        <f t="shared" si="143"/>
        <v>1.5707963267948966</v>
      </c>
      <c r="AJ161" t="str">
        <f t="shared" si="129"/>
        <v>1+0,0130806779531128i</v>
      </c>
      <c r="AK161">
        <f t="shared" si="144"/>
        <v>1.0000855484085915</v>
      </c>
      <c r="AL161">
        <f t="shared" si="145"/>
        <v>1.3079931976996492E-2</v>
      </c>
      <c r="AM161" t="str">
        <f t="shared" si="130"/>
        <v>1+1,91572474386042i</v>
      </c>
      <c r="AN161">
        <f t="shared" si="146"/>
        <v>2.1610185779486191</v>
      </c>
      <c r="AO161">
        <f t="shared" si="147"/>
        <v>1.0897074280301979</v>
      </c>
      <c r="AP161" s="42" t="str">
        <f t="shared" si="148"/>
        <v>-2,91426913452905+1,57007702881115i</v>
      </c>
      <c r="AQ161">
        <f t="shared" si="149"/>
        <v>10.397355155621494</v>
      </c>
      <c r="AR161" s="44">
        <f t="shared" si="150"/>
        <v>151.68621163158625</v>
      </c>
      <c r="AS161" s="42" t="str">
        <f t="shared" si="151"/>
        <v>12,6687011056295+24,7302569566272i</v>
      </c>
      <c r="AT161" s="20">
        <f t="shared" si="152"/>
        <v>28.876632008366553</v>
      </c>
      <c r="AU161" s="44">
        <f t="shared" si="153"/>
        <v>62.875055166802746</v>
      </c>
    </row>
    <row r="162" spans="14:47" x14ac:dyDescent="0.3">
      <c r="N162" s="8">
        <v>44</v>
      </c>
      <c r="O162" s="35">
        <f t="shared" si="121"/>
        <v>275.42287033381683</v>
      </c>
      <c r="P162" s="34" t="str">
        <f t="shared" si="122"/>
        <v>324,571428571429</v>
      </c>
      <c r="Q162" s="4" t="str">
        <f t="shared" si="123"/>
        <v>1+39,5550384489753i</v>
      </c>
      <c r="R162" s="4">
        <f t="shared" si="131"/>
        <v>39.567677044526057</v>
      </c>
      <c r="S162" s="4">
        <f t="shared" si="132"/>
        <v>1.5455204814408434</v>
      </c>
      <c r="T162" s="4" t="str">
        <f t="shared" si="124"/>
        <v>1+0,000346106586428534i</v>
      </c>
      <c r="U162" s="4">
        <f t="shared" si="133"/>
        <v>1.0000000598948828</v>
      </c>
      <c r="V162" s="4">
        <f t="shared" si="134"/>
        <v>3.4610657260852559E-4</v>
      </c>
      <c r="W162" t="str">
        <f t="shared" si="125"/>
        <v>1-0,00300439745163658i</v>
      </c>
      <c r="X162" s="4">
        <f t="shared" si="135"/>
        <v>1.0000045131918391</v>
      </c>
      <c r="Y162" s="4">
        <f t="shared" si="136"/>
        <v>-3.0043884120504309E-3</v>
      </c>
      <c r="Z162" t="str">
        <f t="shared" si="126"/>
        <v>0,99999969656897+0,0025759703750332i</v>
      </c>
      <c r="AA162" s="4">
        <f t="shared" si="137"/>
        <v>1.0000030143761596</v>
      </c>
      <c r="AB162" s="4">
        <f t="shared" si="138"/>
        <v>2.5759654589572033E-3</v>
      </c>
      <c r="AC162" s="48" t="str">
        <f t="shared" si="139"/>
        <v>0,164389352045271-8,20130915445533i</v>
      </c>
      <c r="AD162" s="20">
        <f t="shared" si="140"/>
        <v>18.279408193729555</v>
      </c>
      <c r="AE162" s="44">
        <f t="shared" si="141"/>
        <v>-88.85170101671342</v>
      </c>
      <c r="AF162" t="str">
        <f t="shared" si="127"/>
        <v>-0,0000125211169631323</v>
      </c>
      <c r="AG162" t="str">
        <f t="shared" si="128"/>
        <v>8,36366566104551E-06i</v>
      </c>
      <c r="AH162">
        <f t="shared" si="142"/>
        <v>8.3636656610455101E-6</v>
      </c>
      <c r="AI162">
        <f t="shared" si="143"/>
        <v>1.5707963267948966</v>
      </c>
      <c r="AJ162" t="str">
        <f t="shared" si="129"/>
        <v>1+0,0133853660837017i</v>
      </c>
      <c r="AK162">
        <f t="shared" si="144"/>
        <v>1.0000895800003091</v>
      </c>
      <c r="AL162">
        <f t="shared" si="145"/>
        <v>1.3384566759758673E-2</v>
      </c>
      <c r="AM162" t="str">
        <f t="shared" si="130"/>
        <v>1+1,96034770553122i</v>
      </c>
      <c r="AN162">
        <f t="shared" si="146"/>
        <v>2.2006733348185774</v>
      </c>
      <c r="AO162">
        <f t="shared" si="147"/>
        <v>1.0990906217514846</v>
      </c>
      <c r="AP162" s="42" t="str">
        <f t="shared" si="148"/>
        <v>-2,91424563839459+1,53609307219167i</v>
      </c>
      <c r="AQ162">
        <f t="shared" si="149"/>
        <v>10.35526175568549</v>
      </c>
      <c r="AR162" s="44">
        <f t="shared" si="150"/>
        <v>152.20637474282435</v>
      </c>
      <c r="AS162" s="42" t="str">
        <f t="shared" si="151"/>
        <v>12,1189032228645+24,1531467773159i</v>
      </c>
      <c r="AT162" s="20">
        <f t="shared" si="152"/>
        <v>28.634669949415045</v>
      </c>
      <c r="AU162" s="44">
        <f t="shared" si="153"/>
        <v>63.354673726110988</v>
      </c>
    </row>
    <row r="163" spans="14:47" x14ac:dyDescent="0.3">
      <c r="N163" s="8">
        <v>45</v>
      </c>
      <c r="O163" s="35">
        <f t="shared" si="121"/>
        <v>281.83829312644554</v>
      </c>
      <c r="P163" s="34" t="str">
        <f t="shared" si="122"/>
        <v>324,571428571429</v>
      </c>
      <c r="Q163" s="4" t="str">
        <f t="shared" si="123"/>
        <v>1+40,4763936542322i</v>
      </c>
      <c r="R163" s="4">
        <f t="shared" si="131"/>
        <v>40.488744649005461</v>
      </c>
      <c r="S163" s="4">
        <f t="shared" si="132"/>
        <v>1.5460955932054705</v>
      </c>
      <c r="T163" s="4" t="str">
        <f t="shared" si="124"/>
        <v>1+0,000354168444474532i</v>
      </c>
      <c r="U163" s="4">
        <f t="shared" si="133"/>
        <v>1.0000000627176415</v>
      </c>
      <c r="V163" s="4">
        <f t="shared" si="134"/>
        <v>3.5416842966612633E-4</v>
      </c>
      <c r="W163" t="str">
        <f t="shared" si="125"/>
        <v>1-0,00307437885828587i</v>
      </c>
      <c r="X163" s="4">
        <f t="shared" si="135"/>
        <v>1.0000047258915152</v>
      </c>
      <c r="Y163" s="4">
        <f t="shared" si="136"/>
        <v>-3.0743691721972725E-3</v>
      </c>
      <c r="Z163" t="str">
        <f t="shared" si="126"/>
        <v>0,999999682268706+0,0026359724330943i</v>
      </c>
      <c r="AA163" s="4">
        <f t="shared" si="137"/>
        <v>1.000003156439109</v>
      </c>
      <c r="AB163" s="4">
        <f t="shared" si="138"/>
        <v>2.6359671654248595E-3</v>
      </c>
      <c r="AC163" s="48" t="str">
        <f t="shared" si="139"/>
        <v>0,15506314244477-8,01485038955403i</v>
      </c>
      <c r="AD163" s="20">
        <f t="shared" si="140"/>
        <v>18.079533683211352</v>
      </c>
      <c r="AE163" s="44">
        <f t="shared" si="141"/>
        <v>-88.891638029938164</v>
      </c>
      <c r="AF163" t="str">
        <f t="shared" si="127"/>
        <v>-0,0000125211169631323</v>
      </c>
      <c r="AG163" t="str">
        <f t="shared" si="128"/>
        <v>8,55848046072705E-06i</v>
      </c>
      <c r="AH163">
        <f t="shared" si="142"/>
        <v>8.5584804607270492E-6</v>
      </c>
      <c r="AI163">
        <f t="shared" si="143"/>
        <v>1.5707963267948966</v>
      </c>
      <c r="AJ163" t="str">
        <f t="shared" si="129"/>
        <v>1+0,0136971513125644i</v>
      </c>
      <c r="AK163">
        <f t="shared" si="144"/>
        <v>1.0000938015776717</v>
      </c>
      <c r="AL163">
        <f t="shared" si="145"/>
        <v>1.3696294825866928E-2</v>
      </c>
      <c r="AM163" t="str">
        <f t="shared" si="130"/>
        <v>1+2,00601006950375i</v>
      </c>
      <c r="AN163">
        <f t="shared" si="146"/>
        <v>2.2414451585864064</v>
      </c>
      <c r="AO163">
        <f t="shared" si="147"/>
        <v>1.1083478483754543</v>
      </c>
      <c r="AP163" s="42" t="str">
        <f t="shared" si="148"/>
        <v>-2,91422103532749+1,5029235428051i</v>
      </c>
      <c r="AQ163">
        <f t="shared" si="149"/>
        <v>10.31467581574476</v>
      </c>
      <c r="AR163" s="44">
        <f t="shared" si="150"/>
        <v>152.71891405583011</v>
      </c>
      <c r="AS163" s="42" t="str">
        <f t="shared" si="151"/>
        <v>11,5938190710048+23,5900936476427i</v>
      </c>
      <c r="AT163" s="20">
        <f t="shared" si="152"/>
        <v>28.394209498956116</v>
      </c>
      <c r="AU163" s="44">
        <f t="shared" si="153"/>
        <v>63.827276025892083</v>
      </c>
    </row>
    <row r="164" spans="14:47" x14ac:dyDescent="0.3">
      <c r="N164" s="8">
        <v>46</v>
      </c>
      <c r="O164" s="35">
        <f t="shared" si="121"/>
        <v>288.40315031266073</v>
      </c>
      <c r="P164" s="34" t="str">
        <f t="shared" si="122"/>
        <v>324,571428571429</v>
      </c>
      <c r="Q164" s="4" t="str">
        <f t="shared" si="123"/>
        <v>1+41,419209979173i</v>
      </c>
      <c r="R164" s="4">
        <f t="shared" si="131"/>
        <v>41.431279913838331</v>
      </c>
      <c r="S164" s="4">
        <f t="shared" si="132"/>
        <v>1.5466576296205539</v>
      </c>
      <c r="T164" s="4" t="str">
        <f t="shared" si="124"/>
        <v>1+0,000362418087317764i</v>
      </c>
      <c r="U164" s="4">
        <f t="shared" si="133"/>
        <v>1.0000000656734329</v>
      </c>
      <c r="V164" s="4">
        <f t="shared" si="134"/>
        <v>3.6241807145027147E-4</v>
      </c>
      <c r="W164" t="str">
        <f t="shared" si="125"/>
        <v>1-0,00314599034130003i</v>
      </c>
      <c r="X164" s="4">
        <f t="shared" si="135"/>
        <v>1.0000049486153695</v>
      </c>
      <c r="Y164" s="4">
        <f t="shared" si="136"/>
        <v>-3.1459799624718792E-3</v>
      </c>
      <c r="Z164" t="str">
        <f t="shared" si="126"/>
        <v>0,999999667294492+0,00269737211863065i</v>
      </c>
      <c r="AA164" s="4">
        <f t="shared" si="137"/>
        <v>1.0000033051972583</v>
      </c>
      <c r="AB164" s="4">
        <f t="shared" si="138"/>
        <v>2.6973664742221543E-3</v>
      </c>
      <c r="AC164" s="48" t="str">
        <f t="shared" si="139"/>
        <v>0,14615618189291-7,83262047056914i</v>
      </c>
      <c r="AD164" s="20">
        <f t="shared" si="140"/>
        <v>17.879653586874181</v>
      </c>
      <c r="AE164" s="44">
        <f t="shared" si="141"/>
        <v>-88.930988592107795</v>
      </c>
      <c r="AF164" t="str">
        <f t="shared" si="127"/>
        <v>-0,0000125211169631323</v>
      </c>
      <c r="AG164" t="str">
        <f t="shared" si="128"/>
        <v>8,75783308003375E-06i</v>
      </c>
      <c r="AH164">
        <f t="shared" si="142"/>
        <v>8.7578330800337508E-6</v>
      </c>
      <c r="AI164">
        <f t="shared" si="143"/>
        <v>1.5707963267948966</v>
      </c>
      <c r="AJ164" t="str">
        <f t="shared" si="129"/>
        <v>1+0,0140161989523563i</v>
      </c>
      <c r="AK164">
        <f t="shared" si="144"/>
        <v>1.0000982220927463</v>
      </c>
      <c r="AL164">
        <f t="shared" si="145"/>
        <v>1.4015281215193232E-2</v>
      </c>
      <c r="AM164" t="str">
        <f t="shared" si="130"/>
        <v>1+2,05273604656782i</v>
      </c>
      <c r="AN164">
        <f t="shared" si="146"/>
        <v>2.2833583329996374</v>
      </c>
      <c r="AO164">
        <f t="shared" si="147"/>
        <v>1.1174776688042216</v>
      </c>
      <c r="AP164" s="42" t="str">
        <f t="shared" si="148"/>
        <v>-2,91419527319882+1,4705508516084i</v>
      </c>
      <c r="AQ164">
        <f t="shared" si="149"/>
        <v>10.275556508900021</v>
      </c>
      <c r="AR164" s="44">
        <f t="shared" si="150"/>
        <v>153.22373766028042</v>
      </c>
      <c r="AS164" s="42" t="str">
        <f t="shared" si="151"/>
        <v>11,0923390488997+23,0407156498434i</v>
      </c>
      <c r="AT164" s="20">
        <f t="shared" si="152"/>
        <v>28.155210095774208</v>
      </c>
      <c r="AU164" s="44">
        <f t="shared" si="153"/>
        <v>64.292749068172753</v>
      </c>
    </row>
    <row r="165" spans="14:47" x14ac:dyDescent="0.3">
      <c r="N165" s="8">
        <v>47</v>
      </c>
      <c r="O165" s="35">
        <f t="shared" si="121"/>
        <v>295.12092266663871</v>
      </c>
      <c r="P165" s="34" t="str">
        <f t="shared" si="122"/>
        <v>324,571428571429</v>
      </c>
      <c r="Q165" s="4" t="str">
        <f t="shared" si="123"/>
        <v>1+42,3839873174928i</v>
      </c>
      <c r="R165" s="4">
        <f t="shared" si="131"/>
        <v>42.395782584231078</v>
      </c>
      <c r="S165" s="4">
        <f t="shared" si="132"/>
        <v>1.5472068872641151</v>
      </c>
      <c r="T165" s="4" t="str">
        <f t="shared" si="124"/>
        <v>1+0,000370859889028062i</v>
      </c>
      <c r="U165" s="4">
        <f t="shared" si="133"/>
        <v>1.0000000687685262</v>
      </c>
      <c r="V165" s="4">
        <f t="shared" si="134"/>
        <v>3.708598720257375E-4</v>
      </c>
      <c r="W165" t="str">
        <f t="shared" si="125"/>
        <v>1-0,00321926987003526i</v>
      </c>
      <c r="X165" s="4">
        <f t="shared" si="135"/>
        <v>1.0000051818358222</v>
      </c>
      <c r="Y165" s="4">
        <f t="shared" si="136"/>
        <v>-3.2192587489236432E-3</v>
      </c>
      <c r="Z165" t="str">
        <f t="shared" si="126"/>
        <v>0,999999651614564+0,00276020198656823i</v>
      </c>
      <c r="AA165" s="4">
        <f t="shared" si="137"/>
        <v>1.0000034609661388</v>
      </c>
      <c r="AB165" s="4">
        <f t="shared" si="138"/>
        <v>2.7601959384766892E-3</v>
      </c>
      <c r="AC165" s="48" t="str">
        <f t="shared" si="139"/>
        <v>0,137649645132507-7,65452415908623i</v>
      </c>
      <c r="AD165" s="20">
        <f t="shared" si="140"/>
        <v>17.679768158597184</v>
      </c>
      <c r="AE165" s="44">
        <f t="shared" si="141"/>
        <v>-88.969773485727075</v>
      </c>
      <c r="AF165" t="str">
        <f t="shared" si="127"/>
        <v>-0,0000125211169631323</v>
      </c>
      <c r="AG165" t="str">
        <f t="shared" si="128"/>
        <v>8,96182921836311E-06i</v>
      </c>
      <c r="AH165">
        <f t="shared" si="142"/>
        <v>8.9618292183631105E-6</v>
      </c>
      <c r="AI165">
        <f t="shared" si="143"/>
        <v>1.5707963267948966</v>
      </c>
      <c r="AJ165" t="str">
        <f t="shared" si="129"/>
        <v>1+0,014342678166359i</v>
      </c>
      <c r="AK165">
        <f t="shared" si="144"/>
        <v>1.0001028509193362</v>
      </c>
      <c r="AL165">
        <f t="shared" si="145"/>
        <v>1.4341694798733498E-2</v>
      </c>
      <c r="AM165" t="str">
        <f t="shared" si="130"/>
        <v>1+2,10055041145494i</v>
      </c>
      <c r="AN165">
        <f t="shared" si="146"/>
        <v>2.3264376267296569</v>
      </c>
      <c r="AO165">
        <f t="shared" si="147"/>
        <v>1.1264788348015553</v>
      </c>
      <c r="AP165" s="42" t="str">
        <f t="shared" si="148"/>
        <v>-2,91416829742658+1,43895783190123i</v>
      </c>
      <c r="AQ165">
        <f t="shared" si="149"/>
        <v>10.237863139107739</v>
      </c>
      <c r="AR165" s="44">
        <f t="shared" si="150"/>
        <v>153.72076436191159</v>
      </c>
      <c r="AS165" s="42" t="str">
        <f t="shared" si="151"/>
        <v>10,6134032561971+22,5046436712168i</v>
      </c>
      <c r="AT165" s="20">
        <f t="shared" si="152"/>
        <v>27.917631297704922</v>
      </c>
      <c r="AU165" s="44">
        <f t="shared" si="153"/>
        <v>64.750990876184616</v>
      </c>
    </row>
    <row r="166" spans="14:47" x14ac:dyDescent="0.3">
      <c r="N166" s="8">
        <v>48</v>
      </c>
      <c r="O166" s="35">
        <f t="shared" si="121"/>
        <v>301.99517204020168</v>
      </c>
      <c r="P166" s="34" t="str">
        <f t="shared" si="122"/>
        <v>324,571428571429</v>
      </c>
      <c r="Q166" s="4" t="str">
        <f t="shared" si="123"/>
        <v>1+43,3712372069067i</v>
      </c>
      <c r="R166" s="4">
        <f t="shared" si="131"/>
        <v>43.382764052763712</v>
      </c>
      <c r="S166" s="4">
        <f t="shared" si="132"/>
        <v>1.5477436560334501</v>
      </c>
      <c r="T166" s="4" t="str">
        <f t="shared" si="124"/>
        <v>1+0,000379498325560434i</v>
      </c>
      <c r="U166" s="4">
        <f t="shared" si="133"/>
        <v>1.000000072009487</v>
      </c>
      <c r="V166" s="4">
        <f t="shared" si="134"/>
        <v>3.7949830734211511E-4</v>
      </c>
      <c r="W166" t="str">
        <f t="shared" si="125"/>
        <v>1-0,00329425629826766i</v>
      </c>
      <c r="X166" s="4">
        <f t="shared" si="135"/>
        <v>1.0000054260475584</v>
      </c>
      <c r="Y166" s="4">
        <f t="shared" si="136"/>
        <v>-3.294244381785359E-3</v>
      </c>
      <c r="Z166" t="str">
        <f t="shared" si="126"/>
        <v>0,999999635195664+0,00282449535013469i</v>
      </c>
      <c r="AA166" s="4">
        <f t="shared" si="137"/>
        <v>1.0000036240761552</v>
      </c>
      <c r="AB166" s="4">
        <f t="shared" si="138"/>
        <v>2.8244888694891096E-3</v>
      </c>
      <c r="AC166" s="48" t="str">
        <f t="shared" si="139"/>
        <v>0,129525550317452-7,48046831629499i</v>
      </c>
      <c r="AD166" s="20">
        <f t="shared" si="140"/>
        <v>17.479877640989546</v>
      </c>
      <c r="AE166" s="44">
        <f t="shared" si="141"/>
        <v>-89.008013198785804</v>
      </c>
      <c r="AF166" t="str">
        <f t="shared" si="127"/>
        <v>-0,0000125211169631323</v>
      </c>
      <c r="AG166" t="str">
        <f t="shared" si="128"/>
        <v>9,17057703716787E-06i</v>
      </c>
      <c r="AH166">
        <f t="shared" si="142"/>
        <v>9.1705770371678704E-6</v>
      </c>
      <c r="AI166">
        <f t="shared" si="143"/>
        <v>1.5707963267948966</v>
      </c>
      <c r="AJ166" t="str">
        <f t="shared" si="129"/>
        <v>1+0,0146767620581734i</v>
      </c>
      <c r="AK166">
        <f t="shared" si="144"/>
        <v>1.0001076978728403</v>
      </c>
      <c r="AL166">
        <f t="shared" si="145"/>
        <v>1.4675708366906754E-2</v>
      </c>
      <c r="AM166" t="str">
        <f t="shared" si="130"/>
        <v>1+2,1494785159743i</v>
      </c>
      <c r="AN166">
        <f t="shared" si="146"/>
        <v>2.3707083099012998</v>
      </c>
      <c r="AO166">
        <f t="shared" si="147"/>
        <v>1.1353502836506315</v>
      </c>
      <c r="AP166" s="42" t="str">
        <f t="shared" si="148"/>
        <v>-2,91414005086065+1,40812773021305i</v>
      </c>
      <c r="AQ166">
        <f t="shared" si="149"/>
        <v>10.20155521737461</v>
      </c>
      <c r="AR166" s="44">
        <f t="shared" si="150"/>
        <v>154.20992337137343</v>
      </c>
      <c r="AS166" s="42" t="str">
        <f t="shared" si="151"/>
        <v>10,1559992773652+21,9815208388825i</v>
      </c>
      <c r="AT166" s="20">
        <f t="shared" si="152"/>
        <v>27.681432858364158</v>
      </c>
      <c r="AU166" s="44">
        <f t="shared" si="153"/>
        <v>65.201910172587745</v>
      </c>
    </row>
    <row r="167" spans="14:47" x14ac:dyDescent="0.3">
      <c r="N167" s="8">
        <v>49</v>
      </c>
      <c r="O167" s="35">
        <f t="shared" si="121"/>
        <v>309.02954325135937</v>
      </c>
      <c r="P167" s="34" t="str">
        <f t="shared" si="122"/>
        <v>324,571428571429</v>
      </c>
      <c r="Q167" s="4" t="str">
        <f t="shared" si="123"/>
        <v>1+44,3814831003739i</v>
      </c>
      <c r="R167" s="4">
        <f t="shared" si="131"/>
        <v>44.392747630539539</v>
      </c>
      <c r="S167" s="4">
        <f t="shared" si="132"/>
        <v>1.5482682192925226</v>
      </c>
      <c r="T167" s="4" t="str">
        <f t="shared" si="124"/>
        <v>1+0,000388337977128272i</v>
      </c>
      <c r="U167" s="4">
        <f t="shared" si="133"/>
        <v>1.0000000754031895</v>
      </c>
      <c r="V167" s="4">
        <f t="shared" si="134"/>
        <v>3.8833795760699169E-4</v>
      </c>
      <c r="W167" t="str">
        <f t="shared" si="125"/>
        <v>1-0,00337098938479403i</v>
      </c>
      <c r="X167" s="4">
        <f t="shared" si="135"/>
        <v>1.000005681768575</v>
      </c>
      <c r="Y167" s="4">
        <f t="shared" si="136"/>
        <v>-3.3709766160571124E-3</v>
      </c>
      <c r="Z167" t="str">
        <f t="shared" si="126"/>
        <v>0,999999618002966+0,0028902862985224i</v>
      </c>
      <c r="AA167" s="4">
        <f t="shared" si="137"/>
        <v>1.0000037948732821</v>
      </c>
      <c r="AB167" s="4">
        <f t="shared" si="138"/>
        <v>2.8902793543869676E-3</v>
      </c>
      <c r="AC167" s="48" t="str">
        <f t="shared" si="139"/>
        <v>0,121766721392735-7,31036185973341i</v>
      </c>
      <c r="AD167" s="20">
        <f t="shared" si="140"/>
        <v>17.279982265901431</v>
      </c>
      <c r="AE167" s="44">
        <f t="shared" si="141"/>
        <v>-89.045727935258881</v>
      </c>
      <c r="AF167" t="str">
        <f t="shared" si="127"/>
        <v>-0,0000125211169631323</v>
      </c>
      <c r="AG167" t="str">
        <f t="shared" si="128"/>
        <v>9,38418721730469E-06i</v>
      </c>
      <c r="AH167">
        <f t="shared" si="142"/>
        <v>9.38418721730469E-6</v>
      </c>
      <c r="AI167">
        <f t="shared" si="143"/>
        <v>1.5707963267948966</v>
      </c>
      <c r="AJ167" t="str">
        <f t="shared" si="129"/>
        <v>1+0,0150186277635008i</v>
      </c>
      <c r="AK167">
        <f t="shared" si="144"/>
        <v>1.0001127732310484</v>
      </c>
      <c r="AL167">
        <f t="shared" si="145"/>
        <v>1.5017498719842714E-2</v>
      </c>
      <c r="AM167" t="str">
        <f t="shared" si="130"/>
        <v>1+2,19954630245453i</v>
      </c>
      <c r="AN167">
        <f t="shared" si="146"/>
        <v>2.4161961709764785</v>
      </c>
      <c r="AO167">
        <f t="shared" si="147"/>
        <v>1.1440911324521252</v>
      </c>
      <c r="AP167" s="42" t="str">
        <f t="shared" si="148"/>
        <v>-2,91411047366197+1,37804419740867i</v>
      </c>
      <c r="AQ167">
        <f t="shared" si="149"/>
        <v>10.166592533028993</v>
      </c>
      <c r="AR167" s="44">
        <f t="shared" si="150"/>
        <v>154.69115397235956</v>
      </c>
      <c r="AS167" s="42" t="str">
        <f t="shared" si="151"/>
        <v>9,71916006360923+21,4710019855609i</v>
      </c>
      <c r="AT167" s="20">
        <f t="shared" si="152"/>
        <v>27.446574798930435</v>
      </c>
      <c r="AU167" s="44">
        <f t="shared" si="153"/>
        <v>65.645426037100705</v>
      </c>
    </row>
    <row r="168" spans="14:47" x14ac:dyDescent="0.3">
      <c r="N168" s="8">
        <v>50</v>
      </c>
      <c r="O168" s="35">
        <f t="shared" si="121"/>
        <v>316.22776601683825</v>
      </c>
      <c r="P168" s="34" t="str">
        <f t="shared" si="122"/>
        <v>324,571428571429</v>
      </c>
      <c r="Q168" s="4" t="str">
        <f t="shared" si="123"/>
        <v>1+45,4152606436393i</v>
      </c>
      <c r="R168" s="4">
        <f t="shared" si="131"/>
        <v>45.426268824653576</v>
      </c>
      <c r="S168" s="4">
        <f t="shared" si="132"/>
        <v>1.5487808540163159</v>
      </c>
      <c r="T168" s="4" t="str">
        <f t="shared" si="124"/>
        <v>1+0,000397383530631844i</v>
      </c>
      <c r="U168" s="4">
        <f t="shared" si="133"/>
        <v>1.000000078956832</v>
      </c>
      <c r="V168" s="4">
        <f t="shared" si="134"/>
        <v>3.9738350971441533E-4</v>
      </c>
      <c r="W168" t="str">
        <f t="shared" si="125"/>
        <v>1-0,00344950981451253i</v>
      </c>
      <c r="X168" s="4">
        <f t="shared" si="135"/>
        <v>1.0000059495412816</v>
      </c>
      <c r="Y168" s="4">
        <f t="shared" si="136"/>
        <v>-3.4494961325688155E-3</v>
      </c>
      <c r="Z168" t="str">
        <f t="shared" si="126"/>
        <v>0,9999996+0,00295760971496304i</v>
      </c>
      <c r="AA168" s="4">
        <f t="shared" si="137"/>
        <v>1.0000039737197977</v>
      </c>
      <c r="AB168" s="4">
        <f t="shared" si="138"/>
        <v>2.9576022741894599E-3</v>
      </c>
      <c r="AC168" s="48" t="str">
        <f t="shared" si="139"/>
        <v>0,114356752137853-7,14411572071572i</v>
      </c>
      <c r="AD168" s="20">
        <f t="shared" si="140"/>
        <v>17.080082254912931</v>
      </c>
      <c r="AE168" s="44">
        <f t="shared" si="141"/>
        <v>-89.082937625479687</v>
      </c>
      <c r="AF168" t="str">
        <f t="shared" si="127"/>
        <v>-0,0000125211169631323</v>
      </c>
      <c r="AG168" t="str">
        <f t="shared" si="128"/>
        <v>9,60277301771852E-06i</v>
      </c>
      <c r="AH168">
        <f t="shared" si="142"/>
        <v>9.6027730177185199E-6</v>
      </c>
      <c r="AI168">
        <f t="shared" si="143"/>
        <v>1.5707963267948966</v>
      </c>
      <c r="AJ168" t="str">
        <f t="shared" si="129"/>
        <v>1+0,0153684565440636i</v>
      </c>
      <c r="AK168">
        <f t="shared" si="144"/>
        <v>1.0001180877559144</v>
      </c>
      <c r="AL168">
        <f t="shared" si="145"/>
        <v>1.5367246759702259E-2</v>
      </c>
      <c r="AM168" t="str">
        <f t="shared" si="130"/>
        <v>1+2,25078031749876i</v>
      </c>
      <c r="AN168">
        <f t="shared" si="146"/>
        <v>2.4629275339806118</v>
      </c>
      <c r="AO168">
        <f t="shared" si="147"/>
        <v>1.1527006721151452</v>
      </c>
      <c r="AP168" s="42" t="str">
        <f t="shared" si="148"/>
        <v>-2,91407950317634+1,34869128000727i</v>
      </c>
      <c r="AQ168">
        <f t="shared" si="149"/>
        <v>10.132935220026125</v>
      </c>
      <c r="AR168" s="44">
        <f t="shared" si="150"/>
        <v>155.16440517202415</v>
      </c>
      <c r="AS168" s="42" t="str">
        <f t="shared" si="151"/>
        <v>9,30196190843741+20,9727531444758i</v>
      </c>
      <c r="AT168" s="20">
        <f t="shared" si="152"/>
        <v>27.213017474939051</v>
      </c>
      <c r="AU168" s="44">
        <f t="shared" si="153"/>
        <v>66.081467546544459</v>
      </c>
    </row>
    <row r="169" spans="14:47" x14ac:dyDescent="0.3">
      <c r="N169" s="8">
        <v>51</v>
      </c>
      <c r="O169" s="35">
        <f t="shared" si="121"/>
        <v>323.59365692962825</v>
      </c>
      <c r="P169" s="34" t="str">
        <f t="shared" si="122"/>
        <v>324,571428571429</v>
      </c>
      <c r="Q169" s="4" t="str">
        <f t="shared" si="123"/>
        <v>1+46,47311795924i</v>
      </c>
      <c r="R169" s="4">
        <f t="shared" si="131"/>
        <v>46.483875622127677</v>
      </c>
      <c r="S169" s="4">
        <f t="shared" si="132"/>
        <v>1.5492818309321883</v>
      </c>
      <c r="T169" s="4" t="str">
        <f t="shared" si="124"/>
        <v>1+0,00040663978214335i</v>
      </c>
      <c r="U169" s="4">
        <f t="shared" si="133"/>
        <v>1.0000000826779529</v>
      </c>
      <c r="V169" s="4">
        <f t="shared" si="134"/>
        <v>4.0663975972992148E-4</v>
      </c>
      <c r="W169" t="str">
        <f t="shared" si="125"/>
        <v>1-0,00352985921999436i</v>
      </c>
      <c r="X169" s="4">
        <f t="shared" si="135"/>
        <v>1.0000062299336503</v>
      </c>
      <c r="Y169" s="4">
        <f t="shared" si="136"/>
        <v>-3.5298445595324697E-3</v>
      </c>
      <c r="Z169" t="str">
        <f t="shared" si="126"/>
        <v>0,999999581148581+0,00302650129522316i</v>
      </c>
      <c r="AA169" s="4">
        <f t="shared" si="137"/>
        <v>1.0000041609950567</v>
      </c>
      <c r="AB169" s="4">
        <f t="shared" si="138"/>
        <v>3.0264933222924092E-3</v>
      </c>
      <c r="AC169" s="48" t="str">
        <f t="shared" si="139"/>
        <v>0,107279971801329-6,98164280244752i</v>
      </c>
      <c r="AD169" s="20">
        <f t="shared" si="140"/>
        <v>16.880177819800842</v>
      </c>
      <c r="AE169" s="44">
        <f t="shared" si="141"/>
        <v>-89.119661936390713</v>
      </c>
      <c r="AF169" t="str">
        <f t="shared" si="127"/>
        <v>-0,0000125211169631323</v>
      </c>
      <c r="AG169" t="str">
        <f t="shared" si="128"/>
        <v>9,82645033549406E-06i</v>
      </c>
      <c r="AH169">
        <f t="shared" si="142"/>
        <v>9.8264503354940597E-6</v>
      </c>
      <c r="AI169">
        <f t="shared" si="143"/>
        <v>1.5707963267948966</v>
      </c>
      <c r="AJ169" t="str">
        <f t="shared" si="129"/>
        <v>1+0,0157264338837115i</v>
      </c>
      <c r="AK169">
        <f t="shared" si="144"/>
        <v>1.0001236527163522</v>
      </c>
      <c r="AL169">
        <f t="shared" si="145"/>
        <v>1.5725137585069111E-2</v>
      </c>
      <c r="AM169" t="str">
        <f t="shared" si="130"/>
        <v>1+2,30320772605993i</v>
      </c>
      <c r="AN169">
        <f t="shared" si="146"/>
        <v>2.5109292760613853</v>
      </c>
      <c r="AO169">
        <f t="shared" si="147"/>
        <v>1.1611783610915827</v>
      </c>
      <c r="AP169" s="42" t="str">
        <f t="shared" si="148"/>
        <v>-2,91404707380227+1,32005341171037i</v>
      </c>
      <c r="AQ169">
        <f t="shared" si="149"/>
        <v>10.100543818280387</v>
      </c>
      <c r="AR169" s="44">
        <f t="shared" si="150"/>
        <v>155.62963533657859</v>
      </c>
      <c r="AS169" s="42" t="str">
        <f t="shared" si="151"/>
        <v>8,90352251280875+20,4864510715894i</v>
      </c>
      <c r="AT169" s="20">
        <f t="shared" si="152"/>
        <v>26.980721638081224</v>
      </c>
      <c r="AU169" s="44">
        <f t="shared" si="153"/>
        <v>66.50997340018786</v>
      </c>
    </row>
    <row r="170" spans="14:47" x14ac:dyDescent="0.3">
      <c r="N170" s="8">
        <v>52</v>
      </c>
      <c r="O170" s="35">
        <f t="shared" si="121"/>
        <v>331.13112148259137</v>
      </c>
      <c r="P170" s="34" t="str">
        <f t="shared" si="122"/>
        <v>324,571428571429</v>
      </c>
      <c r="Q170" s="4" t="str">
        <f t="shared" si="123"/>
        <v>1+47,5556159371273i</v>
      </c>
      <c r="R170" s="4">
        <f t="shared" si="131"/>
        <v>47.566128780462634</v>
      </c>
      <c r="S170" s="4">
        <f t="shared" si="132"/>
        <v>1.5497714146582819</v>
      </c>
      <c r="T170" s="4" t="str">
        <f t="shared" si="124"/>
        <v>1+0,000416111639449864i</v>
      </c>
      <c r="U170" s="4">
        <f t="shared" si="133"/>
        <v>1.0000000865744445</v>
      </c>
      <c r="V170" s="4">
        <f t="shared" si="134"/>
        <v>4.1611161543344275E-4</v>
      </c>
      <c r="W170" t="str">
        <f t="shared" si="125"/>
        <v>1-0,00361208020355785i</v>
      </c>
      <c r="X170" s="4">
        <f t="shared" si="135"/>
        <v>1.0000065235404203</v>
      </c>
      <c r="Y170" s="4">
        <f t="shared" si="136"/>
        <v>-3.6120644945954452E-3</v>
      </c>
      <c r="Z170" t="str">
        <f t="shared" si="126"/>
        <v>0,999999561408722+0,0030969975665305i</v>
      </c>
      <c r="AA170" s="4">
        <f t="shared" si="137"/>
        <v>1.0000043570962895</v>
      </c>
      <c r="AB170" s="4">
        <f t="shared" si="138"/>
        <v>3.0969890233832854E-3</v>
      </c>
      <c r="AC170" s="48" t="str">
        <f t="shared" si="139"/>
        <v>0,100521412257139-6,82285793883188i</v>
      </c>
      <c r="AD170" s="20">
        <f t="shared" si="140"/>
        <v>16.680269162985283</v>
      </c>
      <c r="AE170" s="44">
        <f t="shared" si="141"/>
        <v>-89.155920281675478</v>
      </c>
      <c r="AF170" t="str">
        <f t="shared" si="127"/>
        <v>-0,0000125211169631323</v>
      </c>
      <c r="AG170" t="str">
        <f t="shared" si="128"/>
        <v>0,0000100553377673059i</v>
      </c>
      <c r="AH170">
        <f t="shared" si="142"/>
        <v>1.00553377673059E-5</v>
      </c>
      <c r="AI170">
        <f t="shared" si="143"/>
        <v>1.5707963267948966</v>
      </c>
      <c r="AJ170" t="str">
        <f t="shared" si="129"/>
        <v>1+0,0160927495867687i</v>
      </c>
      <c r="AK170">
        <f t="shared" si="144"/>
        <v>1.0001294799121074</v>
      </c>
      <c r="AL170">
        <f t="shared" si="145"/>
        <v>1.6091360587460017E-2</v>
      </c>
      <c r="AM170" t="str">
        <f t="shared" si="130"/>
        <v>1+2,35685632584403i</v>
      </c>
      <c r="AN170">
        <f t="shared" si="146"/>
        <v>2.5602288453712529</v>
      </c>
      <c r="AO170">
        <f t="shared" si="147"/>
        <v>1.1695238189024169</v>
      </c>
      <c r="AP170" s="42" t="str">
        <f t="shared" si="148"/>
        <v>-2,91401311685249+1,29211540513406i</v>
      </c>
      <c r="AQ170">
        <f t="shared" si="149"/>
        <v>10.069379330053298</v>
      </c>
      <c r="AR170" s="44">
        <f t="shared" si="150"/>
        <v>156.08681181484627</v>
      </c>
      <c r="AS170" s="42" t="str">
        <f t="shared" si="151"/>
        <v>8,52299913596405+20,0117827935005i</v>
      </c>
      <c r="AT170" s="20">
        <f t="shared" si="152"/>
        <v>26.749648493038571</v>
      </c>
      <c r="AU170" s="44">
        <f t="shared" si="153"/>
        <v>66.930891533170779</v>
      </c>
    </row>
    <row r="171" spans="14:47" x14ac:dyDescent="0.3">
      <c r="N171" s="8">
        <v>53</v>
      </c>
      <c r="O171" s="35">
        <f t="shared" si="121"/>
        <v>338.84415613920277</v>
      </c>
      <c r="P171" s="34" t="str">
        <f t="shared" si="122"/>
        <v>324,571428571429</v>
      </c>
      <c r="Q171" s="4" t="str">
        <f t="shared" si="123"/>
        <v>1+48,6633285320571i</v>
      </c>
      <c r="R171" s="4">
        <f t="shared" si="131"/>
        <v>48.673602124960119</v>
      </c>
      <c r="S171" s="4">
        <f t="shared" si="132"/>
        <v>1.5502498638390356</v>
      </c>
      <c r="T171" s="4" t="str">
        <f t="shared" si="124"/>
        <v>1+0,0004258041246555i</v>
      </c>
      <c r="U171" s="4">
        <f t="shared" si="133"/>
        <v>1.0000000906545721</v>
      </c>
      <c r="V171" s="4">
        <f t="shared" si="134"/>
        <v>4.2580409892144114E-4</v>
      </c>
      <c r="W171" t="str">
        <f t="shared" si="125"/>
        <v>1-0,00369621635985677i</v>
      </c>
      <c r="X171" s="4">
        <f t="shared" si="135"/>
        <v>1.0000068309843582</v>
      </c>
      <c r="Y171" s="4">
        <f t="shared" si="136"/>
        <v>-3.6961995274064981E-3</v>
      </c>
      <c r="Z171" t="str">
        <f t="shared" si="126"/>
        <v>0,999999540738551+0,00316913590694119i</v>
      </c>
      <c r="AA171" s="4">
        <f t="shared" si="137"/>
        <v>1.0000045624394469</v>
      </c>
      <c r="AB171" s="4">
        <f t="shared" si="138"/>
        <v>3.1691267527962749E-3</v>
      </c>
      <c r="AC171" s="48" t="str">
        <f t="shared" si="139"/>
        <v>0,0940667766167115-6,66767785396795i</v>
      </c>
      <c r="AD171" s="20">
        <f t="shared" si="140"/>
        <v>16.480356477956924</v>
      </c>
      <c r="AE171" s="44">
        <f t="shared" si="141"/>
        <v>-89.191731831775584</v>
      </c>
      <c r="AF171" t="str">
        <f t="shared" si="127"/>
        <v>-0,0000125211169631323</v>
      </c>
      <c r="AG171" t="str">
        <f t="shared" si="128"/>
        <v>0,0000102895566723002i</v>
      </c>
      <c r="AH171">
        <f t="shared" si="142"/>
        <v>1.02895566723002E-5</v>
      </c>
      <c r="AI171">
        <f t="shared" si="143"/>
        <v>1.5707963267948966</v>
      </c>
      <c r="AJ171" t="str">
        <f t="shared" si="129"/>
        <v>1+0,0164675978786693i</v>
      </c>
      <c r="AK171">
        <f t="shared" si="144"/>
        <v>1.0001355816987483</v>
      </c>
      <c r="AL171">
        <f t="shared" si="145"/>
        <v>1.6466109549991934E-2</v>
      </c>
      <c r="AM171" t="str">
        <f t="shared" si="130"/>
        <v>1+2,41175456204875i</v>
      </c>
      <c r="AN171">
        <f t="shared" si="146"/>
        <v>2.6108542792662632</v>
      </c>
      <c r="AO171">
        <f t="shared" si="147"/>
        <v>1.1777368195020845</v>
      </c>
      <c r="AP171" s="42" t="str">
        <f t="shared" si="148"/>
        <v>-2,91397756040913+1,26486244374123i</v>
      </c>
      <c r="AQ171">
        <f t="shared" si="149"/>
        <v>10.03940327145904</v>
      </c>
      <c r="AR171" s="44">
        <f t="shared" si="150"/>
        <v>156.53591055241566</v>
      </c>
      <c r="AS171" s="42" t="str">
        <f t="shared" si="151"/>
        <v>8,15958682820806+19,5484451794458i</v>
      </c>
      <c r="AT171" s="20">
        <f t="shared" si="152"/>
        <v>26.519759749415968</v>
      </c>
      <c r="AU171" s="44">
        <f t="shared" si="153"/>
        <v>67.344178720640116</v>
      </c>
    </row>
    <row r="172" spans="14:47" x14ac:dyDescent="0.3">
      <c r="N172" s="8">
        <v>54</v>
      </c>
      <c r="O172" s="35">
        <f t="shared" si="121"/>
        <v>346.73685045253183</v>
      </c>
      <c r="P172" s="34" t="str">
        <f t="shared" si="122"/>
        <v>324,571428571429</v>
      </c>
      <c r="Q172" s="4" t="str">
        <f t="shared" si="123"/>
        <v>1+49,7968430679102i</v>
      </c>
      <c r="R172" s="4">
        <f t="shared" si="131"/>
        <v>49.80688285297601</v>
      </c>
      <c r="S172" s="4">
        <f t="shared" si="132"/>
        <v>1.5507174312778471</v>
      </c>
      <c r="T172" s="4" t="str">
        <f t="shared" si="124"/>
        <v>1+0,000435722376844214i</v>
      </c>
      <c r="U172" s="4">
        <f t="shared" si="133"/>
        <v>1.0000000949269903</v>
      </c>
      <c r="V172" s="4">
        <f t="shared" si="134"/>
        <v>4.3572234926967328E-4</v>
      </c>
      <c r="W172" t="str">
        <f t="shared" si="125"/>
        <v>1-0,00378231229899491i</v>
      </c>
      <c r="X172" s="4">
        <f t="shared" si="135"/>
        <v>1.0000071529175814</v>
      </c>
      <c r="Y172" s="4">
        <f t="shared" si="136"/>
        <v>-3.7822942627064571E-3</v>
      </c>
      <c r="Z172" t="str">
        <f t="shared" si="126"/>
        <v>0,999999519094226+0,00324295456515824i</v>
      </c>
      <c r="AA172" s="4">
        <f t="shared" si="137"/>
        <v>1.0000047774600855</v>
      </c>
      <c r="AB172" s="4">
        <f t="shared" si="138"/>
        <v>3.2429447563177634E-3</v>
      </c>
      <c r="AC172" s="48" t="str">
        <f t="shared" si="139"/>
        <v>0,087902409232964-6,51602112234173i</v>
      </c>
      <c r="AD172" s="20">
        <f t="shared" si="140"/>
        <v>16.280439949684617</v>
      </c>
      <c r="AE172" s="44">
        <f t="shared" si="141"/>
        <v>-89.227115523796968</v>
      </c>
      <c r="AF172" t="str">
        <f t="shared" si="127"/>
        <v>-0,0000125211169631323</v>
      </c>
      <c r="AG172" t="str">
        <f t="shared" si="128"/>
        <v>0,0000105292312364404i</v>
      </c>
      <c r="AH172">
        <f t="shared" si="142"/>
        <v>1.05292312364404E-5</v>
      </c>
      <c r="AI172">
        <f t="shared" si="143"/>
        <v>1.5707963267948966</v>
      </c>
      <c r="AJ172" t="str">
        <f t="shared" si="129"/>
        <v>1+0,0168511775089397i</v>
      </c>
      <c r="AK172">
        <f t="shared" si="144"/>
        <v>1.0001419710138346</v>
      </c>
      <c r="AL172">
        <f t="shared" si="145"/>
        <v>1.6849582748255609E-2</v>
      </c>
      <c r="AM172" t="str">
        <f t="shared" si="130"/>
        <v>1+2,46793154244563i</v>
      </c>
      <c r="AN172">
        <f t="shared" si="146"/>
        <v>2.6628342228156194</v>
      </c>
      <c r="AO172">
        <f t="shared" si="147"/>
        <v>1.1858172845245034</v>
      </c>
      <c r="AP172" s="42" t="str">
        <f t="shared" si="148"/>
        <v>-2,91394032917228+1,23828007396927i</v>
      </c>
      <c r="AQ172">
        <f t="shared" si="149"/>
        <v>10.010577719176542</v>
      </c>
      <c r="AR172" s="44">
        <f t="shared" si="150"/>
        <v>156.97691569888656</v>
      </c>
      <c r="AS172" s="42" t="str">
        <f t="shared" si="151"/>
        <v>7,8125167420633+19,0961445359371i</v>
      </c>
      <c r="AT172" s="20">
        <f t="shared" si="152"/>
        <v>26.291017668861173</v>
      </c>
      <c r="AU172" s="44">
        <f t="shared" si="153"/>
        <v>67.749800175089646</v>
      </c>
    </row>
    <row r="173" spans="14:47" x14ac:dyDescent="0.3">
      <c r="N173" s="8">
        <v>55</v>
      </c>
      <c r="O173" s="35">
        <f t="shared" si="121"/>
        <v>354.81338923357566</v>
      </c>
      <c r="P173" s="34" t="str">
        <f t="shared" si="122"/>
        <v>324,571428571429</v>
      </c>
      <c r="Q173" s="4" t="str">
        <f t="shared" si="123"/>
        <v>1+50,9567605490969i</v>
      </c>
      <c r="R173" s="4">
        <f t="shared" si="131"/>
        <v>50.966571845259494</v>
      </c>
      <c r="S173" s="4">
        <f t="shared" si="132"/>
        <v>1.5511743640669386</v>
      </c>
      <c r="T173" s="4" t="str">
        <f t="shared" si="124"/>
        <v>1+0,000445871654804598i</v>
      </c>
      <c r="U173" s="4">
        <f t="shared" si="133"/>
        <v>1.0000000994007614</v>
      </c>
      <c r="V173" s="4">
        <f t="shared" si="134"/>
        <v>4.4587162525794544E-4</v>
      </c>
      <c r="W173" t="str">
        <f t="shared" si="125"/>
        <v>1-0,0038704136701788i</v>
      </c>
      <c r="X173" s="4">
        <f t="shared" si="135"/>
        <v>1.000007490022939</v>
      </c>
      <c r="Y173" s="4">
        <f t="shared" si="136"/>
        <v>-3.8703943439553461E-3</v>
      </c>
      <c r="Z173" t="str">
        <f t="shared" si="126"/>
        <v>0,999999496429835+0,0033184926808113i</v>
      </c>
      <c r="AA173" s="4">
        <f t="shared" si="137"/>
        <v>1.000005002614285</v>
      </c>
      <c r="AB173" s="4">
        <f t="shared" si="138"/>
        <v>3.3184821704521999E-3</v>
      </c>
      <c r="AC173" s="48" t="str">
        <f t="shared" si="139"/>
        <v>0,0820152670355713-6,36780812970997i</v>
      </c>
      <c r="AD173" s="20">
        <f t="shared" si="140"/>
        <v>16.080519755006321</v>
      </c>
      <c r="AE173" s="44">
        <f t="shared" si="141"/>
        <v>-89.262090071309359</v>
      </c>
      <c r="AF173" t="str">
        <f t="shared" si="127"/>
        <v>-0,0000125211169631323</v>
      </c>
      <c r="AG173" t="str">
        <f t="shared" si="128"/>
        <v>0,0000107744885383531i</v>
      </c>
      <c r="AH173">
        <f t="shared" si="142"/>
        <v>1.07744885383531E-5</v>
      </c>
      <c r="AI173">
        <f t="shared" si="143"/>
        <v>1.5707963267948966</v>
      </c>
      <c r="AJ173" t="str">
        <f t="shared" si="129"/>
        <v>1+0,0172436918565771i</v>
      </c>
      <c r="AK173">
        <f t="shared" si="144"/>
        <v>1.0001486614043158</v>
      </c>
      <c r="AL173">
        <f t="shared" si="145"/>
        <v>1.7241983053434676E-2</v>
      </c>
      <c r="AM173" t="str">
        <f t="shared" si="130"/>
        <v>1+2,52541705281324i</v>
      </c>
      <c r="AN173">
        <f t="shared" si="146"/>
        <v>2.716197947617204</v>
      </c>
      <c r="AO173">
        <f t="shared" si="147"/>
        <v>1.1937652764514846</v>
      </c>
      <c r="AP173" s="42" t="str">
        <f t="shared" si="148"/>
        <v>-2,91390134430093+1,21235419754903i</v>
      </c>
      <c r="AQ173">
        <f t="shared" si="149"/>
        <v>9.9828653524805695</v>
      </c>
      <c r="AR173" s="44">
        <f t="shared" si="150"/>
        <v>157.40981921054009</v>
      </c>
      <c r="AS173" s="42" t="str">
        <f t="shared" si="151"/>
        <v>7,48105451837257+18,654596222666i</v>
      </c>
      <c r="AT173" s="20">
        <f t="shared" si="152"/>
        <v>26.063385107486905</v>
      </c>
      <c r="AU173" s="44">
        <f t="shared" si="153"/>
        <v>68.14772913923079</v>
      </c>
    </row>
    <row r="174" spans="14:47" x14ac:dyDescent="0.3">
      <c r="N174" s="8">
        <v>56</v>
      </c>
      <c r="O174" s="35">
        <f t="shared" si="121"/>
        <v>363.07805477010152</v>
      </c>
      <c r="P174" s="34" t="str">
        <f t="shared" si="122"/>
        <v>324,571428571429</v>
      </c>
      <c r="Q174" s="4" t="str">
        <f t="shared" si="123"/>
        <v>1+52,1436959792194i</v>
      </c>
      <c r="R174" s="4">
        <f t="shared" si="131"/>
        <v>52.153283984551358</v>
      </c>
      <c r="S174" s="4">
        <f t="shared" si="132"/>
        <v>1.5516209037144704</v>
      </c>
      <c r="T174" s="4" t="str">
        <f t="shared" si="124"/>
        <v>1+0,00045625733981817i</v>
      </c>
      <c r="U174" s="4">
        <f t="shared" si="133"/>
        <v>1.0000001040853748</v>
      </c>
      <c r="V174" s="4">
        <f t="shared" si="134"/>
        <v>4.5625730815836152E-4</v>
      </c>
      <c r="W174" t="str">
        <f t="shared" si="125"/>
        <v>1-0,00396056718592161i</v>
      </c>
      <c r="X174" s="4">
        <f t="shared" si="135"/>
        <v>1.0000078430154606</v>
      </c>
      <c r="Y174" s="4">
        <f t="shared" si="136"/>
        <v>-3.9605464775088533E-3</v>
      </c>
      <c r="Z174" t="str">
        <f t="shared" si="126"/>
        <v>0,999999472697305+0,00339579030520919i</v>
      </c>
      <c r="AA174" s="4">
        <f t="shared" si="137"/>
        <v>1.0000052383796221</v>
      </c>
      <c r="AB174" s="4">
        <f t="shared" si="138"/>
        <v>3.3957790431596848E-3</v>
      </c>
      <c r="AC174" s="48" t="str">
        <f t="shared" si="139"/>
        <v>0,0763928921391549-6,22296103467395i</v>
      </c>
      <c r="AD174" s="20">
        <f t="shared" si="140"/>
        <v>15.880596063001954</v>
      </c>
      <c r="AE174" s="44">
        <f t="shared" si="141"/>
        <v>-89.296673974043046</v>
      </c>
      <c r="AF174" t="str">
        <f t="shared" si="127"/>
        <v>-0,0000125211169631323</v>
      </c>
      <c r="AG174" t="str">
        <f t="shared" si="128"/>
        <v>0,0000110254586167061i</v>
      </c>
      <c r="AH174">
        <f t="shared" si="142"/>
        <v>1.10254586167061E-5</v>
      </c>
      <c r="AI174">
        <f t="shared" si="143"/>
        <v>1.5707963267948966</v>
      </c>
      <c r="AJ174" t="str">
        <f t="shared" si="129"/>
        <v>1+0,0176453490378841i</v>
      </c>
      <c r="AK174">
        <f t="shared" si="144"/>
        <v>1.0001556670552183</v>
      </c>
      <c r="AL174">
        <f t="shared" si="145"/>
        <v>1.7643518037719488E-2</v>
      </c>
      <c r="AM174" t="str">
        <f t="shared" si="130"/>
        <v>1+2,58424157273011i</v>
      </c>
      <c r="AN174">
        <f t="shared" si="146"/>
        <v>2.7709753709166365</v>
      </c>
      <c r="AO174">
        <f t="shared" si="147"/>
        <v>1.2015809917415849</v>
      </c>
      <c r="AP174" s="42" t="str">
        <f t="shared" si="148"/>
        <v>-2,91386052324724+1,18707106401098i</v>
      </c>
      <c r="AQ174">
        <f t="shared" si="149"/>
        <v>9.9562294907309088</v>
      </c>
      <c r="AR174" s="44">
        <f t="shared" si="150"/>
        <v>157.83462045061225</v>
      </c>
      <c r="AS174" s="42" t="str">
        <f t="shared" si="151"/>
        <v>7,16449874406831+18,2235242883967i</v>
      </c>
      <c r="AT174" s="20">
        <f t="shared" si="152"/>
        <v>25.836825553732858</v>
      </c>
      <c r="AU174" s="44">
        <f t="shared" si="153"/>
        <v>68.537946476569203</v>
      </c>
    </row>
    <row r="175" spans="14:47" x14ac:dyDescent="0.3">
      <c r="N175" s="8">
        <v>57</v>
      </c>
      <c r="O175" s="35">
        <f t="shared" si="121"/>
        <v>371.53522909717265</v>
      </c>
      <c r="P175" s="34" t="str">
        <f t="shared" si="122"/>
        <v>324,571428571429</v>
      </c>
      <c r="Q175" s="4" t="str">
        <f t="shared" si="123"/>
        <v>1+53,3582786871534i</v>
      </c>
      <c r="R175" s="4">
        <f t="shared" si="131"/>
        <v>53.36764848160287</v>
      </c>
      <c r="S175" s="4">
        <f t="shared" si="132"/>
        <v>1.5520572862689537</v>
      </c>
      <c r="T175" s="4" t="str">
        <f t="shared" si="124"/>
        <v>1+0,000466884938512592i</v>
      </c>
      <c r="U175" s="4">
        <f t="shared" si="133"/>
        <v>1.0000001089907669</v>
      </c>
      <c r="V175" s="4">
        <f t="shared" si="134"/>
        <v>4.6688490458849622E-4</v>
      </c>
      <c r="W175" t="str">
        <f t="shared" si="125"/>
        <v>1-0,00405282064681069i</v>
      </c>
      <c r="X175" s="4">
        <f t="shared" si="135"/>
        <v>1.0000082126438739</v>
      </c>
      <c r="Y175" s="4">
        <f t="shared" si="136"/>
        <v>-4.0527984573564824E-3</v>
      </c>
      <c r="Z175" t="str">
        <f t="shared" si="126"/>
        <v>0,999999447846294+0,00347488842257549i</v>
      </c>
      <c r="AA175" s="4">
        <f t="shared" si="137"/>
        <v>1.0000054852561771</v>
      </c>
      <c r="AB175" s="4">
        <f t="shared" si="138"/>
        <v>3.4748763550755961E-3</v>
      </c>
      <c r="AC175" s="48" t="str">
        <f t="shared" si="139"/>
        <v>0,0710233856686532-6,0814037309419i</v>
      </c>
      <c r="AD175" s="20">
        <f t="shared" si="140"/>
        <v>15.68066903535062</v>
      </c>
      <c r="AE175" s="44">
        <f t="shared" si="141"/>
        <v>-89.330885527486856</v>
      </c>
      <c r="AF175" t="str">
        <f t="shared" si="127"/>
        <v>-0,0000125211169631323</v>
      </c>
      <c r="AG175" t="str">
        <f t="shared" si="128"/>
        <v>0,0000112822745391568i</v>
      </c>
      <c r="AH175">
        <f t="shared" si="142"/>
        <v>1.1282274539156801E-5</v>
      </c>
      <c r="AI175">
        <f t="shared" si="143"/>
        <v>1.5707963267948966</v>
      </c>
      <c r="AJ175" t="str">
        <f t="shared" si="129"/>
        <v>1+0,0180563620168147i</v>
      </c>
      <c r="AK175">
        <f t="shared" si="144"/>
        <v>1.0001630028196815</v>
      </c>
      <c r="AL175">
        <f t="shared" si="145"/>
        <v>1.8054400082059441E-2</v>
      </c>
      <c r="AM175" t="str">
        <f t="shared" si="130"/>
        <v>1+2,64443629173532i</v>
      </c>
      <c r="AN175">
        <f t="shared" si="146"/>
        <v>2.8271970750279949</v>
      </c>
      <c r="AO175">
        <f t="shared" si="147"/>
        <v>1.2092647539543804</v>
      </c>
      <c r="AP175" s="42" t="str">
        <f t="shared" si="148"/>
        <v>-2,91381777958241+1,1624172633744i</v>
      </c>
      <c r="AQ175">
        <f t="shared" si="149"/>
        <v>9.9306341264700482</v>
      </c>
      <c r="AR175" s="44">
        <f t="shared" si="150"/>
        <v>158.25132578916916</v>
      </c>
      <c r="AS175" s="42" t="str">
        <f t="shared" si="151"/>
        <v>6,86217947846889+17,8026611256419i</v>
      </c>
      <c r="AT175" s="20">
        <f t="shared" si="152"/>
        <v>25.61130316182069</v>
      </c>
      <c r="AU175" s="44">
        <f t="shared" si="153"/>
        <v>68.920440261682359</v>
      </c>
    </row>
    <row r="176" spans="14:47" x14ac:dyDescent="0.3">
      <c r="N176" s="8">
        <v>58</v>
      </c>
      <c r="O176" s="35">
        <f t="shared" si="121"/>
        <v>380.18939632056163</v>
      </c>
      <c r="P176" s="34" t="str">
        <f t="shared" si="122"/>
        <v>324,571428571429</v>
      </c>
      <c r="Q176" s="4" t="str">
        <f t="shared" si="123"/>
        <v>1+54,6011526607275i</v>
      </c>
      <c r="R176" s="4">
        <f t="shared" si="131"/>
        <v>54.610309208793815</v>
      </c>
      <c r="S176" s="4">
        <f t="shared" si="132"/>
        <v>1.5524837424410121</v>
      </c>
      <c r="T176" s="4" t="str">
        <f t="shared" si="124"/>
        <v>1+0,000477760085781366i</v>
      </c>
      <c r="U176" s="4">
        <f t="shared" si="133"/>
        <v>1.0000001141273434</v>
      </c>
      <c r="V176" s="4">
        <f t="shared" si="134"/>
        <v>4.7776004943104268E-4</v>
      </c>
      <c r="W176" t="str">
        <f t="shared" si="125"/>
        <v>1-0,00414722296685214i</v>
      </c>
      <c r="X176" s="4">
        <f t="shared" si="135"/>
        <v>1.000008599692191</v>
      </c>
      <c r="Y176" s="4">
        <f t="shared" si="136"/>
        <v>-4.1471991904346271E-3</v>
      </c>
      <c r="Z176" t="str">
        <f t="shared" si="126"/>
        <v>0,999999421824092+0,00355582897177902i</v>
      </c>
      <c r="AA176" s="4">
        <f t="shared" si="137"/>
        <v>1.0000057437676018</v>
      </c>
      <c r="AB176" s="4">
        <f t="shared" si="138"/>
        <v>3.5558160412239169E-3</v>
      </c>
      <c r="AC176" s="48" t="str">
        <f t="shared" si="139"/>
        <v>0,0658953827484356-5,94306181027601i</v>
      </c>
      <c r="AD176" s="20">
        <f t="shared" si="140"/>
        <v>15.48073882667186</v>
      </c>
      <c r="AE176" s="44">
        <f t="shared" si="141"/>
        <v>-89.364742832391784</v>
      </c>
      <c r="AF176" t="str">
        <f t="shared" si="127"/>
        <v>-0,0000125211169631323</v>
      </c>
      <c r="AG176" t="str">
        <f t="shared" si="128"/>
        <v>0,0000115450724729067i</v>
      </c>
      <c r="AH176">
        <f t="shared" si="142"/>
        <v>1.15450724729067E-5</v>
      </c>
      <c r="AI176">
        <f t="shared" si="143"/>
        <v>1.5707963267948966</v>
      </c>
      <c r="AJ176" t="str">
        <f t="shared" si="129"/>
        <v>1+0,0184769487178909i</v>
      </c>
      <c r="AK176">
        <f t="shared" si="144"/>
        <v>1.000170684250405</v>
      </c>
      <c r="AL176">
        <f t="shared" si="145"/>
        <v>1.8474846486300763E-2</v>
      </c>
      <c r="AM176" t="str">
        <f t="shared" si="130"/>
        <v>1+2,70603312586566i</v>
      </c>
      <c r="AN176">
        <f t="shared" si="146"/>
        <v>2.8848943270564131</v>
      </c>
      <c r="AO176">
        <f t="shared" si="147"/>
        <v>1.2168170069023367</v>
      </c>
      <c r="AP176" s="42" t="str">
        <f t="shared" si="148"/>
        <v>-2,91377302281477+1,13837971901566i</v>
      </c>
      <c r="AQ176">
        <f t="shared" si="149"/>
        <v>9.9060439543012198</v>
      </c>
      <c r="AR176" s="44">
        <f t="shared" si="150"/>
        <v>158.65994820442785</v>
      </c>
      <c r="AS176" s="42" t="str">
        <f t="shared" si="151"/>
        <v>6,57345684509426+17,3917471430005i</v>
      </c>
      <c r="AT176" s="20">
        <f t="shared" si="152"/>
        <v>25.386782780973061</v>
      </c>
      <c r="AU176" s="44">
        <f t="shared" si="153"/>
        <v>69.295205372036023</v>
      </c>
    </row>
    <row r="177" spans="14:47" x14ac:dyDescent="0.3">
      <c r="N177" s="8">
        <v>59</v>
      </c>
      <c r="O177" s="35">
        <f t="shared" si="121"/>
        <v>389.04514499428063</v>
      </c>
      <c r="P177" s="34" t="str">
        <f t="shared" si="122"/>
        <v>324,571428571429</v>
      </c>
      <c r="Q177" s="4" t="str">
        <f t="shared" si="123"/>
        <v>1+55,8729768881742i</v>
      </c>
      <c r="R177" s="4">
        <f t="shared" si="131"/>
        <v>55.881925041523473</v>
      </c>
      <c r="S177" s="4">
        <f t="shared" si="132"/>
        <v>1.552900497722538</v>
      </c>
      <c r="T177" s="4" t="str">
        <f t="shared" si="124"/>
        <v>1+0,000488888547771524i</v>
      </c>
      <c r="U177" s="4">
        <f t="shared" si="133"/>
        <v>1.0000001195059989</v>
      </c>
      <c r="V177" s="4">
        <f t="shared" si="134"/>
        <v>4.8888850882145116E-4</v>
      </c>
      <c r="W177" t="str">
        <f t="shared" si="125"/>
        <v>1-0,00424382419940559i</v>
      </c>
      <c r="X177" s="4">
        <f t="shared" si="135"/>
        <v>1.0000090049813728</v>
      </c>
      <c r="Y177" s="4">
        <f t="shared" si="136"/>
        <v>-4.2437987225276063E-3</v>
      </c>
      <c r="Z177" t="str">
        <f t="shared" si="126"/>
        <v>0,999999394575501+0,00363865486857035i</v>
      </c>
      <c r="AA177" s="4">
        <f t="shared" si="137"/>
        <v>1.0000060144622236</v>
      </c>
      <c r="AB177" s="4">
        <f t="shared" si="138"/>
        <v>3.6386410132354177E-3</v>
      </c>
      <c r="AC177" s="48" t="str">
        <f t="shared" si="139"/>
        <v>0,0609980286040571-5,80786252612035i</v>
      </c>
      <c r="AD177" s="20">
        <f t="shared" si="140"/>
        <v>15.280805584852232</v>
      </c>
      <c r="AE177" s="44">
        <f t="shared" si="141"/>
        <v>-89.39826380418387</v>
      </c>
      <c r="AF177" t="str">
        <f t="shared" si="127"/>
        <v>-0,0000125211169631323</v>
      </c>
      <c r="AG177" t="str">
        <f t="shared" si="128"/>
        <v>0,0000118139917568989i</v>
      </c>
      <c r="AH177">
        <f t="shared" si="142"/>
        <v>1.18139917568989E-5</v>
      </c>
      <c r="AI177">
        <f t="shared" si="143"/>
        <v>1.5707963267948966</v>
      </c>
      <c r="AJ177" t="str">
        <f t="shared" si="129"/>
        <v>1+0,0189073321417486i</v>
      </c>
      <c r="AK177">
        <f t="shared" si="144"/>
        <v>1.000178727632576</v>
      </c>
      <c r="AL177">
        <f t="shared" si="145"/>
        <v>1.8905079581755142E-2</v>
      </c>
      <c r="AM177" t="str">
        <f t="shared" si="130"/>
        <v>1+2,76906473457791i</v>
      </c>
      <c r="AN177">
        <f t="shared" si="146"/>
        <v>2.9440990989236471</v>
      </c>
      <c r="AO177">
        <f t="shared" si="147"/>
        <v>1.2242383078594425</v>
      </c>
      <c r="AP177" s="42" t="str">
        <f t="shared" si="148"/>
        <v>-2,91372615819927+1,11494568071171i</v>
      </c>
      <c r="AQ177">
        <f t="shared" si="149"/>
        <v>9.8824243957273534</v>
      </c>
      <c r="AR177" s="44">
        <f t="shared" si="150"/>
        <v>159.06050688719017</v>
      </c>
      <c r="AS177" s="42" t="str">
        <f t="shared" si="151"/>
        <v>6,29771968612306+16,9905304541062i</v>
      </c>
      <c r="AT177" s="20">
        <f t="shared" si="152"/>
        <v>25.163229980579594</v>
      </c>
      <c r="AU177" s="44">
        <f t="shared" si="153"/>
        <v>69.662243083006317</v>
      </c>
    </row>
    <row r="178" spans="14:47" x14ac:dyDescent="0.3">
      <c r="N178" s="8">
        <v>60</v>
      </c>
      <c r="O178" s="35">
        <f t="shared" si="121"/>
        <v>398.10717055349761</v>
      </c>
      <c r="P178" s="34" t="str">
        <f t="shared" si="122"/>
        <v>324,571428571429</v>
      </c>
      <c r="Q178" s="4" t="str">
        <f t="shared" si="123"/>
        <v>1+57,174425707533i</v>
      </c>
      <c r="R178" s="4">
        <f t="shared" si="131"/>
        <v>57.18317020755503</v>
      </c>
      <c r="S178" s="4">
        <f t="shared" si="132"/>
        <v>1.5533077725032931</v>
      </c>
      <c r="T178" s="4" t="str">
        <f t="shared" si="124"/>
        <v>1+0,000500276224940914i</v>
      </c>
      <c r="U178" s="4">
        <f t="shared" si="133"/>
        <v>1.0000001251381427</v>
      </c>
      <c r="V178" s="4">
        <f t="shared" si="134"/>
        <v>5.0027618320515918E-4</v>
      </c>
      <c r="W178" t="str">
        <f t="shared" si="125"/>
        <v>1-0,00434267556372321i</v>
      </c>
      <c r="X178" s="4">
        <f t="shared" si="135"/>
        <v>1.0000094293710693</v>
      </c>
      <c r="Y178" s="4">
        <f t="shared" si="136"/>
        <v>-4.3426482647705156E-3</v>
      </c>
      <c r="Z178" t="str">
        <f t="shared" si="126"/>
        <v>0,999999366042723+0,00372341002833628i</v>
      </c>
      <c r="AA178" s="4">
        <f t="shared" si="137"/>
        <v>1.0000062979142115</v>
      </c>
      <c r="AB178" s="4">
        <f t="shared" si="138"/>
        <v>3.7233951820824572E-3</v>
      </c>
      <c r="AC178" s="48" t="str">
        <f t="shared" si="139"/>
        <v>0,0563209557277183-5,67573475790496i</v>
      </c>
      <c r="AD178" s="20">
        <f t="shared" si="140"/>
        <v>15.080869451357817</v>
      </c>
      <c r="AE178" s="44">
        <f t="shared" si="141"/>
        <v>-89.431466182290976</v>
      </c>
      <c r="AF178" t="str">
        <f t="shared" si="127"/>
        <v>-0,0000125211169631323</v>
      </c>
      <c r="AG178" t="str">
        <f t="shared" si="128"/>
        <v>0,0000120891749756972i</v>
      </c>
      <c r="AH178">
        <f t="shared" si="142"/>
        <v>1.2089174975697199E-5</v>
      </c>
      <c r="AI178">
        <f t="shared" si="143"/>
        <v>1.5707963267948966</v>
      </c>
      <c r="AJ178" t="str">
        <f t="shared" si="129"/>
        <v>1+0,019347740483376i</v>
      </c>
      <c r="AK178">
        <f t="shared" si="144"/>
        <v>1.0001871500183415</v>
      </c>
      <c r="AL178">
        <f t="shared" si="145"/>
        <v>1.9345326846248293E-2</v>
      </c>
      <c r="AM178" t="str">
        <f t="shared" si="130"/>
        <v>1+2,83356453806534i</v>
      </c>
      <c r="AN178">
        <f t="shared" si="146"/>
        <v>3.0048440876993001</v>
      </c>
      <c r="AO178">
        <f t="shared" si="147"/>
        <v>1.2315293208529376</v>
      </c>
      <c r="AP178" s="42" t="str">
        <f t="shared" si="148"/>
        <v>-2,91367708653825+1,09210271785508i</v>
      </c>
      <c r="AQ178">
        <f t="shared" si="149"/>
        <v>9.8597416201429304</v>
      </c>
      <c r="AR178" s="44">
        <f t="shared" si="150"/>
        <v>159.45302684989474</v>
      </c>
      <c r="AS178" s="42" t="str">
        <f t="shared" si="151"/>
        <v>6,03438427673676+16,5987665821988i</v>
      </c>
      <c r="AT178" s="20">
        <f t="shared" si="152"/>
        <v>24.940611071500726</v>
      </c>
      <c r="AU178" s="44">
        <f t="shared" si="153"/>
        <v>70.021560667603751</v>
      </c>
    </row>
    <row r="179" spans="14:47" x14ac:dyDescent="0.3">
      <c r="N179" s="8">
        <v>61</v>
      </c>
      <c r="O179" s="35">
        <f t="shared" si="121"/>
        <v>407.38027780411272</v>
      </c>
      <c r="P179" s="34" t="str">
        <f t="shared" si="122"/>
        <v>324,571428571429</v>
      </c>
      <c r="Q179" s="4" t="str">
        <f t="shared" si="123"/>
        <v>1+58,5061891641952i</v>
      </c>
      <c r="R179" s="4">
        <f t="shared" si="131"/>
        <v>58.514734644502923</v>
      </c>
      <c r="S179" s="4">
        <f t="shared" si="132"/>
        <v>1.5537057821850002</v>
      </c>
      <c r="T179" s="4" t="str">
        <f t="shared" si="124"/>
        <v>1+0,000511929155186708i</v>
      </c>
      <c r="U179" s="4">
        <f t="shared" si="133"/>
        <v>1.0000001310357214</v>
      </c>
      <c r="V179" s="4">
        <f t="shared" si="134"/>
        <v>5.1192911046604142E-4</v>
      </c>
      <c r="W179" t="str">
        <f t="shared" si="125"/>
        <v>1-0,00444382947210684i</v>
      </c>
      <c r="X179" s="4">
        <f t="shared" si="135"/>
        <v>1.0000098737614429</v>
      </c>
      <c r="Y179" s="4">
        <f t="shared" si="136"/>
        <v>-4.4438002207676137E-3</v>
      </c>
      <c r="Z179" t="str">
        <f t="shared" si="126"/>
        <v>0,999999336165237+0,0038101393893844i</v>
      </c>
      <c r="AA179" s="4">
        <f t="shared" si="137"/>
        <v>1.0000065947247954</v>
      </c>
      <c r="AB179" s="4">
        <f t="shared" si="138"/>
        <v>3.8101234813424697E-3</v>
      </c>
      <c r="AC179" s="48" t="str">
        <f t="shared" si="139"/>
        <v>0,0518542620605915-5,54660897602059i</v>
      </c>
      <c r="AD179" s="20">
        <f t="shared" si="140"/>
        <v>14.88093056153299</v>
      </c>
      <c r="AE179" s="44">
        <f t="shared" si="141"/>
        <v>-89.464367539387197</v>
      </c>
      <c r="AF179" t="str">
        <f t="shared" si="127"/>
        <v>-0,0000125211169631323</v>
      </c>
      <c r="AG179" t="str">
        <f t="shared" si="128"/>
        <v>0,0000123707680350868i</v>
      </c>
      <c r="AH179">
        <f t="shared" si="142"/>
        <v>1.2370768035086799E-5</v>
      </c>
      <c r="AI179">
        <f t="shared" si="143"/>
        <v>1.5707963267948966</v>
      </c>
      <c r="AJ179" t="str">
        <f t="shared" si="129"/>
        <v>1+0,0197984072531053i</v>
      </c>
      <c r="AK179">
        <f t="shared" si="144"/>
        <v>1.0001959692629039</v>
      </c>
      <c r="AL179">
        <f t="shared" si="145"/>
        <v>1.9795821021694152E-2</v>
      </c>
      <c r="AM179" t="str">
        <f t="shared" si="130"/>
        <v>1+2,89956673497751i</v>
      </c>
      <c r="AN179">
        <f t="shared" si="146"/>
        <v>3.0671627362414497</v>
      </c>
      <c r="AO179">
        <f t="shared" si="147"/>
        <v>1.2386908100616238</v>
      </c>
      <c r="AP179" s="42" t="str">
        <f t="shared" si="148"/>
        <v>-2,91362570397263+1,06983871283637i</v>
      </c>
      <c r="AQ179">
        <f t="shared" si="149"/>
        <v>9.8379625621755888</v>
      </c>
      <c r="AR179" s="44">
        <f t="shared" si="150"/>
        <v>159.83753854163274</v>
      </c>
      <c r="AS179" s="42" t="str">
        <f t="shared" si="151"/>
        <v>5,78289309671225+16,2162181793969i</v>
      </c>
      <c r="AT179" s="20">
        <f t="shared" si="152"/>
        <v>24.71889312370859</v>
      </c>
      <c r="AU179" s="44">
        <f t="shared" si="153"/>
        <v>70.37317100224557</v>
      </c>
    </row>
    <row r="180" spans="14:47" x14ac:dyDescent="0.3">
      <c r="N180" s="8">
        <v>62</v>
      </c>
      <c r="O180" s="35">
        <f t="shared" si="121"/>
        <v>416.86938347033572</v>
      </c>
      <c r="P180" s="34" t="str">
        <f t="shared" si="122"/>
        <v>324,571428571429</v>
      </c>
      <c r="Q180" s="4" t="str">
        <f t="shared" si="123"/>
        <v>1+59,8689733767733i</v>
      </c>
      <c r="R180" s="4">
        <f t="shared" si="131"/>
        <v>59.877324365646047</v>
      </c>
      <c r="S180" s="4">
        <f t="shared" si="132"/>
        <v>1.554094737292977</v>
      </c>
      <c r="T180" s="4" t="str">
        <f t="shared" si="124"/>
        <v>1+0,000523853517046766i</v>
      </c>
      <c r="U180" s="4">
        <f t="shared" si="133"/>
        <v>1.0000001372112444</v>
      </c>
      <c r="V180" s="4">
        <f t="shared" si="134"/>
        <v>5.238534691277087E-4</v>
      </c>
      <c r="W180" t="str">
        <f t="shared" si="125"/>
        <v>1-0,00454733955769762i</v>
      </c>
      <c r="X180" s="4">
        <f t="shared" si="135"/>
        <v>1.0000103390950781</v>
      </c>
      <c r="Y180" s="4">
        <f t="shared" si="136"/>
        <v>-4.5473082143404368E-3</v>
      </c>
      <c r="Z180" t="str">
        <f t="shared" si="126"/>
        <v>0,999999304879668+0,00389888893676994i</v>
      </c>
      <c r="AA180" s="4">
        <f t="shared" si="137"/>
        <v>1.0000069055235372</v>
      </c>
      <c r="AB180" s="4">
        <f t="shared" si="138"/>
        <v>3.8988718910022454E-3</v>
      </c>
      <c r="AC180" s="48" t="str">
        <f t="shared" si="139"/>
        <v>0,0475884901472175-5,42041720745857i</v>
      </c>
      <c r="AD180" s="20">
        <f t="shared" si="140"/>
        <v>14.680989044886664</v>
      </c>
      <c r="AE180" s="44">
        <f t="shared" si="141"/>
        <v>-89.496985290559195</v>
      </c>
      <c r="AF180" t="str">
        <f t="shared" si="127"/>
        <v>-0,0000125211169631323</v>
      </c>
      <c r="AG180" t="str">
        <f t="shared" si="128"/>
        <v>0,0000126589202394351i</v>
      </c>
      <c r="AH180">
        <f t="shared" si="142"/>
        <v>1.2658920239435101E-5</v>
      </c>
      <c r="AI180">
        <f t="shared" si="143"/>
        <v>1.5707963267948966</v>
      </c>
      <c r="AJ180" t="str">
        <f t="shared" si="129"/>
        <v>1+0,0202595714004232i</v>
      </c>
      <c r="AK180">
        <f t="shared" si="144"/>
        <v>1.0002052040623108</v>
      </c>
      <c r="AL180">
        <f t="shared" si="145"/>
        <v>2.0256800234243859E-2</v>
      </c>
      <c r="AM180" t="str">
        <f t="shared" si="130"/>
        <v>1+2,96710632055288i</v>
      </c>
      <c r="AN180">
        <f t="shared" si="146"/>
        <v>3.1310892541517958</v>
      </c>
      <c r="AO180">
        <f t="shared" si="147"/>
        <v>1.2457236333415431</v>
      </c>
      <c r="AP180" s="42" t="str">
        <f t="shared" si="148"/>
        <v>-2,91357190176364+1,04814185459105i</v>
      </c>
      <c r="AQ180">
        <f t="shared" si="149"/>
        <v>9.8170549355822327</v>
      </c>
      <c r="AR180" s="44">
        <f t="shared" si="150"/>
        <v>160.214077470311</v>
      </c>
      <c r="AS180" s="42" t="str">
        <f t="shared" si="151"/>
        <v>5,54271365674258+15,8426547598075i</v>
      </c>
      <c r="AT180" s="20">
        <f t="shared" si="152"/>
        <v>24.498043980468886</v>
      </c>
      <c r="AU180" s="44">
        <f t="shared" si="153"/>
        <v>70.717092179751759</v>
      </c>
    </row>
    <row r="181" spans="14:47" x14ac:dyDescent="0.3">
      <c r="N181" s="8">
        <v>63</v>
      </c>
      <c r="O181" s="35">
        <f t="shared" si="121"/>
        <v>426.57951880159294</v>
      </c>
      <c r="P181" s="34" t="str">
        <f t="shared" si="122"/>
        <v>324,571428571429</v>
      </c>
      <c r="Q181" s="4" t="str">
        <f t="shared" si="123"/>
        <v>1+61,2635009114951i</v>
      </c>
      <c r="R181" s="4">
        <f t="shared" si="131"/>
        <v>61.271661834266915</v>
      </c>
      <c r="S181" s="4">
        <f t="shared" si="132"/>
        <v>1.5544748435853513</v>
      </c>
      <c r="T181" s="4" t="str">
        <f t="shared" si="124"/>
        <v>1+0,000536055632975582i</v>
      </c>
      <c r="U181" s="4">
        <f t="shared" si="133"/>
        <v>1.0000001436778105</v>
      </c>
      <c r="V181" s="4">
        <f t="shared" si="134"/>
        <v>5.3605558162938736E-4</v>
      </c>
      <c r="W181" t="str">
        <f t="shared" si="125"/>
        <v>1-0,00465326070291304i</v>
      </c>
      <c r="X181" s="4">
        <f t="shared" si="135"/>
        <v>1.0000108263589795</v>
      </c>
      <c r="Y181" s="4">
        <f t="shared" si="136"/>
        <v>-4.6532271179203647E-3</v>
      </c>
      <c r="Z181" t="str">
        <f t="shared" si="126"/>
        <v>0,999999272119657+0,00398970572667764i</v>
      </c>
      <c r="AA181" s="4">
        <f t="shared" si="137"/>
        <v>1.0000072309696713</v>
      </c>
      <c r="AB181" s="4">
        <f t="shared" si="138"/>
        <v>3.9896874618155923E-3</v>
      </c>
      <c r="AC181" s="48" t="str">
        <f t="shared" si="139"/>
        <v>0,043514607219074-5,29709300210899i</v>
      </c>
      <c r="AD181" s="20">
        <f t="shared" si="140"/>
        <v>14.481045025365773</v>
      </c>
      <c r="AE181" s="44">
        <f t="shared" si="141"/>
        <v>-89.529336702398581</v>
      </c>
      <c r="AF181" t="str">
        <f t="shared" si="127"/>
        <v>-0,0000125211169631323</v>
      </c>
      <c r="AG181" t="str">
        <f t="shared" si="128"/>
        <v>0,0000129537843708549i</v>
      </c>
      <c r="AH181">
        <f t="shared" si="142"/>
        <v>1.29537843708549E-5</v>
      </c>
      <c r="AI181">
        <f t="shared" si="143"/>
        <v>1.5707963267948966</v>
      </c>
      <c r="AJ181" t="str">
        <f t="shared" si="129"/>
        <v>1+0,0207314774406646i</v>
      </c>
      <c r="AK181">
        <f t="shared" si="144"/>
        <v>1.0002148739930199</v>
      </c>
      <c r="AL181">
        <f t="shared" si="145"/>
        <v>2.0728508117056645E-2</v>
      </c>
      <c r="AM181" t="str">
        <f t="shared" si="130"/>
        <v>1+3,0362191051737i</v>
      </c>
      <c r="AN181">
        <f t="shared" si="146"/>
        <v>3.1966586390513743</v>
      </c>
      <c r="AO181">
        <f t="shared" si="147"/>
        <v>1.2526287358971584</v>
      </c>
      <c r="AP181" s="42" t="str">
        <f t="shared" si="148"/>
        <v>-2,9135155660643+1,02700063230659i</v>
      </c>
      <c r="AQ181">
        <f t="shared" si="149"/>
        <v>9.7969872439039509</v>
      </c>
      <c r="AR181" s="44">
        <f t="shared" si="150"/>
        <v>160.58268383300461</v>
      </c>
      <c r="AS181" s="42" t="str">
        <f t="shared" si="151"/>
        <v>5,3133373770688+15,4778524456634i</v>
      </c>
      <c r="AT181" s="20">
        <f t="shared" si="152"/>
        <v>24.278032269269737</v>
      </c>
      <c r="AU181" s="44">
        <f t="shared" si="153"/>
        <v>71.05334713060607</v>
      </c>
    </row>
    <row r="182" spans="14:47" x14ac:dyDescent="0.3">
      <c r="N182" s="8">
        <v>64</v>
      </c>
      <c r="O182" s="35">
        <f t="shared" si="121"/>
        <v>436.51583224016622</v>
      </c>
      <c r="P182" s="34" t="str">
        <f t="shared" si="122"/>
        <v>324,571428571429</v>
      </c>
      <c r="Q182" s="4" t="str">
        <f t="shared" si="123"/>
        <v>1+62,6905111653184i</v>
      </c>
      <c r="R182" s="4">
        <f t="shared" si="131"/>
        <v>62.698486346712635</v>
      </c>
      <c r="S182" s="4">
        <f t="shared" si="132"/>
        <v>1.5548463021599148</v>
      </c>
      <c r="T182" s="4" t="str">
        <f t="shared" si="124"/>
        <v>1+0,000548541972696536i</v>
      </c>
      <c r="U182" s="4">
        <f t="shared" si="133"/>
        <v>1.0000001504491367</v>
      </c>
      <c r="V182" s="4">
        <f t="shared" si="134"/>
        <v>5.4854191767809762E-4</v>
      </c>
      <c r="W182" t="str">
        <f t="shared" si="125"/>
        <v>1-0,00476164906854632i</v>
      </c>
      <c r="X182" s="4">
        <f t="shared" si="135"/>
        <v>1.000011336586667</v>
      </c>
      <c r="Y182" s="4">
        <f t="shared" si="136"/>
        <v>-4.7616130816003363E-3</v>
      </c>
      <c r="Z182" t="str">
        <f t="shared" si="126"/>
        <v>0,999999237815713+0,00408263791137161i</v>
      </c>
      <c r="AA182" s="4">
        <f t="shared" si="137"/>
        <v>1.0000075717534953</v>
      </c>
      <c r="AB182" s="4">
        <f t="shared" si="138"/>
        <v>4.0826183402273017E-3</v>
      </c>
      <c r="AC182" s="48" t="str">
        <f t="shared" si="139"/>
        <v>0,0396239861663035-5,17657139971092i</v>
      </c>
      <c r="AD182" s="20">
        <f t="shared" si="140"/>
        <v>14.281098621617536</v>
      </c>
      <c r="AE182" s="44">
        <f t="shared" si="141"/>
        <v>-89.561438902024591</v>
      </c>
      <c r="AF182" t="str">
        <f t="shared" si="127"/>
        <v>-0,0000125211169631323</v>
      </c>
      <c r="AG182" t="str">
        <f t="shared" si="128"/>
        <v>0,0000132555167702118i</v>
      </c>
      <c r="AH182">
        <f t="shared" si="142"/>
        <v>1.32555167702118E-5</v>
      </c>
      <c r="AI182">
        <f t="shared" si="143"/>
        <v>1.5707963267948966</v>
      </c>
      <c r="AJ182" t="str">
        <f t="shared" si="129"/>
        <v>1+0,0212143755846586i</v>
      </c>
      <c r="AK182">
        <f t="shared" si="144"/>
        <v>1.0002249995533241</v>
      </c>
      <c r="AL182">
        <f t="shared" si="145"/>
        <v>2.1211193935743E-2</v>
      </c>
      <c r="AM182" t="str">
        <f t="shared" si="130"/>
        <v>1+3,10694173335318i</v>
      </c>
      <c r="AN182">
        <f t="shared" si="146"/>
        <v>3.2639066981841967</v>
      </c>
      <c r="AO182">
        <f t="shared" si="147"/>
        <v>1.2594071441137111</v>
      </c>
      <c r="AP182" s="42" t="str">
        <f t="shared" si="148"/>
        <v>-2,91345657768017+1,00640382928673i</v>
      </c>
      <c r="AQ182">
        <f t="shared" si="149"/>
        <v>9.7777287880860868</v>
      </c>
      <c r="AR182" s="44">
        <f t="shared" si="150"/>
        <v>160.9434021553883</v>
      </c>
      <c r="AS182" s="42" t="str">
        <f t="shared" si="151"/>
        <v>5,09427851611511+15,1215937257282i</v>
      </c>
      <c r="AT182" s="20">
        <f t="shared" si="152"/>
        <v>24.058827409703625</v>
      </c>
      <c r="AU182" s="44">
        <f t="shared" si="153"/>
        <v>71.381963253363722</v>
      </c>
    </row>
    <row r="183" spans="14:47" x14ac:dyDescent="0.3">
      <c r="N183" s="8">
        <v>65</v>
      </c>
      <c r="O183" s="35">
        <f t="shared" si="121"/>
        <v>446.68359215096331</v>
      </c>
      <c r="P183" s="34" t="str">
        <f t="shared" si="122"/>
        <v>324,571428571429</v>
      </c>
      <c r="Q183" s="4" t="str">
        <f t="shared" si="123"/>
        <v>1+64,1507607579687i</v>
      </c>
      <c r="R183" s="4">
        <f t="shared" si="131"/>
        <v>64.158554424380043</v>
      </c>
      <c r="S183" s="4">
        <f t="shared" si="132"/>
        <v>1.5552093095586497</v>
      </c>
      <c r="T183" s="4" t="str">
        <f t="shared" si="124"/>
        <v>1+0,000561319156632226i</v>
      </c>
      <c r="U183" s="4">
        <f t="shared" si="133"/>
        <v>1.0000001575395854</v>
      </c>
      <c r="V183" s="4">
        <f t="shared" si="134"/>
        <v>5.6131909767890762E-4</v>
      </c>
      <c r="W183" t="str">
        <f t="shared" si="125"/>
        <v>1-0,00487256212354363i</v>
      </c>
      <c r="X183" s="4">
        <f t="shared" si="135"/>
        <v>1.0000118708603651</v>
      </c>
      <c r="Y183" s="4">
        <f t="shared" si="136"/>
        <v>-4.8725235628609941E-3</v>
      </c>
      <c r="Z183" t="str">
        <f t="shared" si="126"/>
        <v>0,999999201895074+0,0041777347647263i</v>
      </c>
      <c r="AA183" s="4">
        <f t="shared" si="137"/>
        <v>1.0000079285978434</v>
      </c>
      <c r="AB183" s="4">
        <f t="shared" si="138"/>
        <v>4.1777137938763054E-3</v>
      </c>
      <c r="AC183" s="48" t="str">
        <f t="shared" si="139"/>
        <v>0,0359083873583424-5,05878889744698i</v>
      </c>
      <c r="AD183" s="20">
        <f t="shared" si="140"/>
        <v>14.081149947240036</v>
      </c>
      <c r="AE183" s="44">
        <f t="shared" si="141"/>
        <v>-89.593308886040973</v>
      </c>
      <c r="AF183" t="str">
        <f t="shared" si="127"/>
        <v>-0,0000125211169631323</v>
      </c>
      <c r="AG183" t="str">
        <f t="shared" si="128"/>
        <v>0,0000135642774200177i</v>
      </c>
      <c r="AH183">
        <f t="shared" si="142"/>
        <v>1.3564277420017699E-5</v>
      </c>
      <c r="AI183">
        <f t="shared" si="143"/>
        <v>1.5707963267948966</v>
      </c>
      <c r="AJ183" t="str">
        <f t="shared" si="129"/>
        <v>1+0,0217085218713931i</v>
      </c>
      <c r="AK183">
        <f t="shared" si="144"/>
        <v>1.0002356022067205</v>
      </c>
      <c r="AL183">
        <f t="shared" si="145"/>
        <v>2.1705112716526566E-2</v>
      </c>
      <c r="AM183" t="str">
        <f t="shared" si="130"/>
        <v>1+3,17931170316493i</v>
      </c>
      <c r="AN183">
        <f t="shared" si="146"/>
        <v>3.3328700703570018</v>
      </c>
      <c r="AO183">
        <f t="shared" si="147"/>
        <v>1.2660599595640309</v>
      </c>
      <c r="AP183" s="42" t="str">
        <f t="shared" si="148"/>
        <v>-2,91339481181925+0,986340516969303i</v>
      </c>
      <c r="AQ183">
        <f t="shared" si="149"/>
        <v>9.7592496712694921</v>
      </c>
      <c r="AR183" s="44">
        <f t="shared" si="150"/>
        <v>161.29628094100994</v>
      </c>
      <c r="AS183" s="42" t="str">
        <f t="shared" si="151"/>
        <v>4,88507314691583+14,7736672252614i</v>
      </c>
      <c r="AT183" s="20">
        <f t="shared" si="152"/>
        <v>23.840399618509519</v>
      </c>
      <c r="AU183" s="44">
        <f t="shared" si="153"/>
        <v>71.702972054968981</v>
      </c>
    </row>
    <row r="184" spans="14:47" x14ac:dyDescent="0.3">
      <c r="N184" s="8">
        <v>66</v>
      </c>
      <c r="O184" s="35">
        <f t="shared" ref="O184:O218" si="154">10^(2+(N184/100))</f>
        <v>457.0881896148756</v>
      </c>
      <c r="P184" s="34" t="str">
        <f t="shared" si="122"/>
        <v>324,571428571429</v>
      </c>
      <c r="Q184" s="4" t="str">
        <f t="shared" si="123"/>
        <v>1+65,6450239331086i</v>
      </c>
      <c r="R184" s="4">
        <f t="shared" si="131"/>
        <v>65.65264021483371</v>
      </c>
      <c r="S184" s="4">
        <f t="shared" si="132"/>
        <v>1.5555640578699836</v>
      </c>
      <c r="T184" s="4" t="str">
        <f t="shared" si="124"/>
        <v>1+0,0005743939594147i</v>
      </c>
      <c r="U184" s="4">
        <f t="shared" si="133"/>
        <v>1.0000001649641967</v>
      </c>
      <c r="V184" s="4">
        <f t="shared" si="134"/>
        <v>5.7439389624508192E-4</v>
      </c>
      <c r="W184" t="str">
        <f t="shared" si="125"/>
        <v>1-0,00498605867547483i</v>
      </c>
      <c r="X184" s="4">
        <f t="shared" si="135"/>
        <v>1.0000124303133013</v>
      </c>
      <c r="Y184" s="4">
        <f t="shared" si="136"/>
        <v>-4.9860173569867012E-3</v>
      </c>
      <c r="Z184" t="str">
        <f t="shared" si="126"/>
        <v>0,999999164281548+0,00427504670835211i</v>
      </c>
      <c r="AA184" s="4">
        <f t="shared" si="137"/>
        <v>1.0000083022596127</v>
      </c>
      <c r="AB184" s="4">
        <f t="shared" si="138"/>
        <v>4.2750242376915406E-3</v>
      </c>
      <c r="AC184" s="48" t="str">
        <f t="shared" si="139"/>
        <v>0,0323599412759155-4,94368341817533i</v>
      </c>
      <c r="AD184" s="20">
        <f t="shared" si="140"/>
        <v>13.881199111022791</v>
      </c>
      <c r="AE184" s="44">
        <f t="shared" si="141"/>
        <v>-89.624963529431454</v>
      </c>
      <c r="AF184" t="str">
        <f t="shared" si="127"/>
        <v>-0,0000125211169631323</v>
      </c>
      <c r="AG184" t="str">
        <f t="shared" si="128"/>
        <v>0,0000138802300292562i</v>
      </c>
      <c r="AH184">
        <f t="shared" si="142"/>
        <v>1.38802300292562E-5</v>
      </c>
      <c r="AI184">
        <f t="shared" si="143"/>
        <v>1.5707963267948966</v>
      </c>
      <c r="AJ184" t="str">
        <f t="shared" si="129"/>
        <v>1+0,02221417830377i</v>
      </c>
      <c r="AK184">
        <f t="shared" si="144"/>
        <v>1.0002467044273187</v>
      </c>
      <c r="AL184">
        <f t="shared" si="145"/>
        <v>2.2210525377175293E-2</v>
      </c>
      <c r="AM184" t="str">
        <f t="shared" si="130"/>
        <v>1+3,25336738612486i</v>
      </c>
      <c r="AN184">
        <f t="shared" si="146"/>
        <v>3.4035862482242023</v>
      </c>
      <c r="AO184">
        <f t="shared" si="147"/>
        <v>1.2725883532008595</v>
      </c>
      <c r="AP184" s="42" t="str">
        <f t="shared" si="148"/>
        <v>-2,91333013782984+0,966800049094368i</v>
      </c>
      <c r="AQ184">
        <f t="shared" si="149"/>
        <v>9.7415208009537739</v>
      </c>
      <c r="AR184" s="44">
        <f t="shared" si="150"/>
        <v>161.64137233103264</v>
      </c>
      <c r="AS184" s="42" t="str">
        <f t="shared" si="151"/>
        <v>4,68527817922139+14,4338674868741i</v>
      </c>
      <c r="AT184" s="20">
        <f t="shared" si="152"/>
        <v>23.622719911976581</v>
      </c>
      <c r="AU184" s="44">
        <f t="shared" si="153"/>
        <v>72.016408801601216</v>
      </c>
    </row>
    <row r="185" spans="14:47" x14ac:dyDescent="0.3">
      <c r="N185" s="8">
        <v>67</v>
      </c>
      <c r="O185" s="35">
        <f t="shared" si="154"/>
        <v>467.7351412871983</v>
      </c>
      <c r="P185" s="34" t="str">
        <f t="shared" si="122"/>
        <v>324,571428571429</v>
      </c>
      <c r="Q185" s="4" t="str">
        <f t="shared" si="123"/>
        <v>1+67,1740929688523i</v>
      </c>
      <c r="R185" s="4">
        <f t="shared" si="131"/>
        <v>67.181535902270156</v>
      </c>
      <c r="S185" s="4">
        <f t="shared" si="132"/>
        <v>1.5559107348288117</v>
      </c>
      <c r="T185" s="4" t="str">
        <f t="shared" si="124"/>
        <v>1+0,000587773313477458i</v>
      </c>
      <c r="U185" s="4">
        <f t="shared" si="133"/>
        <v>1.0000001727387191</v>
      </c>
      <c r="V185" s="4">
        <f t="shared" si="134"/>
        <v>5.8777324578999327E-4</v>
      </c>
      <c r="W185" t="str">
        <f t="shared" si="125"/>
        <v>1-0,00510219890171405i</v>
      </c>
      <c r="X185" s="4">
        <f t="shared" si="135"/>
        <v>1.0000130161321066</v>
      </c>
      <c r="Y185" s="4">
        <f t="shared" si="136"/>
        <v>-5.1021546281874806E-3</v>
      </c>
      <c r="Z185" t="str">
        <f t="shared" si="126"/>
        <v>0,99999912489535+0,00437462533832962i</v>
      </c>
      <c r="AA185" s="4">
        <f t="shared" si="137"/>
        <v>1.0000086935313695</v>
      </c>
      <c r="AB185" s="4">
        <f t="shared" si="138"/>
        <v>4.3746012605942967E-3</v>
      </c>
      <c r="AC185" s="48" t="str">
        <f t="shared" si="139"/>
        <v>0,0289711319184669-4,83119427929053i</v>
      </c>
      <c r="AD185" s="20">
        <f t="shared" si="140"/>
        <v>13.681246217176504</v>
      </c>
      <c r="AE185" s="44">
        <f t="shared" si="141"/>
        <v>-89.656419594397974</v>
      </c>
      <c r="AF185" t="str">
        <f t="shared" si="127"/>
        <v>-0,0000125211169631323</v>
      </c>
      <c r="AG185" t="str">
        <f t="shared" si="128"/>
        <v>0,0000142035421201828i</v>
      </c>
      <c r="AH185">
        <f t="shared" si="142"/>
        <v>1.42035421201828E-5</v>
      </c>
      <c r="AI185">
        <f t="shared" si="143"/>
        <v>1.5707963267948966</v>
      </c>
      <c r="AJ185" t="str">
        <f t="shared" si="129"/>
        <v>1+0,022731612987523i</v>
      </c>
      <c r="AK185">
        <f t="shared" si="144"/>
        <v>1.0002583297473779</v>
      </c>
      <c r="AL185">
        <f t="shared" si="145"/>
        <v>2.2727698860751048E-2</v>
      </c>
      <c r="AM185" t="str">
        <f t="shared" si="130"/>
        <v>1+3,32914804753632i</v>
      </c>
      <c r="AN185">
        <f t="shared" si="146"/>
        <v>3.4760936009283312</v>
      </c>
      <c r="AO185">
        <f t="shared" si="147"/>
        <v>1.2789935597436979</v>
      </c>
      <c r="AP185" s="42" t="str">
        <f t="shared" si="148"/>
        <v>-2,91326241892667+0,947772056019387i</v>
      </c>
      <c r="AQ185">
        <f t="shared" si="149"/>
        <v>9.7245138887335809</v>
      </c>
      <c r="AR185" s="44">
        <f t="shared" si="150"/>
        <v>161.97873177496183</v>
      </c>
      <c r="AS185" s="42" t="str">
        <f t="shared" si="151"/>
        <v>4,49447042526045+14,1019947616542i</v>
      </c>
      <c r="AT185" s="20">
        <f t="shared" si="152"/>
        <v>23.405760105910083</v>
      </c>
      <c r="AU185" s="44">
        <f t="shared" si="153"/>
        <v>72.322312180563884</v>
      </c>
    </row>
    <row r="186" spans="14:47" x14ac:dyDescent="0.3">
      <c r="N186" s="8">
        <v>68</v>
      </c>
      <c r="O186" s="35">
        <f t="shared" si="154"/>
        <v>478.63009232263886</v>
      </c>
      <c r="P186" s="34" t="str">
        <f t="shared" si="122"/>
        <v>324,571428571429</v>
      </c>
      <c r="Q186" s="4" t="str">
        <f t="shared" si="123"/>
        <v>1+68,7387785978425i</v>
      </c>
      <c r="R186" s="4">
        <f t="shared" si="131"/>
        <v>68.746052127545553</v>
      </c>
      <c r="S186" s="4">
        <f t="shared" si="132"/>
        <v>1.5562495239143326</v>
      </c>
      <c r="T186" s="4" t="str">
        <f t="shared" si="124"/>
        <v>1+0,000601464312731122i</v>
      </c>
      <c r="U186" s="4">
        <f t="shared" si="133"/>
        <v>1.0000001808796433</v>
      </c>
      <c r="V186" s="4">
        <f t="shared" si="134"/>
        <v>6.0146424020269759E-4</v>
      </c>
      <c r="W186" t="str">
        <f t="shared" si="125"/>
        <v>1-0,00522104438134655i</v>
      </c>
      <c r="X186" s="4">
        <f t="shared" si="135"/>
        <v>1.0000136295593336</v>
      </c>
      <c r="Y186" s="4">
        <f t="shared" si="136"/>
        <v>-5.2209969414430402E-3</v>
      </c>
      <c r="Z186" t="str">
        <f t="shared" si="126"/>
        <v>0,999999083652939+0,00447652345256652i</v>
      </c>
      <c r="AA186" s="4">
        <f t="shared" si="137"/>
        <v>1.0000091032430349</v>
      </c>
      <c r="AB186" s="4">
        <f t="shared" si="138"/>
        <v>4.4764976528209434E-3</v>
      </c>
      <c r="AC186" s="48" t="str">
        <f t="shared" si="139"/>
        <v>0,0257347809526897-4,72126216220591i</v>
      </c>
      <c r="AD186" s="20">
        <f t="shared" si="140"/>
        <v>13.481291365553691</v>
      </c>
      <c r="AE186" s="44">
        <f t="shared" si="141"/>
        <v>-89.68769373914553</v>
      </c>
      <c r="AF186" t="str">
        <f t="shared" si="127"/>
        <v>-0,0000125211169631323</v>
      </c>
      <c r="AG186" t="str">
        <f t="shared" si="128"/>
        <v>0,0000145343851171476i</v>
      </c>
      <c r="AH186">
        <f t="shared" si="142"/>
        <v>1.4534385117147601E-5</v>
      </c>
      <c r="AI186">
        <f t="shared" si="143"/>
        <v>1.5707963267948966</v>
      </c>
      <c r="AJ186" t="str">
        <f t="shared" si="129"/>
        <v>1+0,0232611002733705i</v>
      </c>
      <c r="AK186">
        <f t="shared" si="144"/>
        <v>1.0002705028070797</v>
      </c>
      <c r="AL186">
        <f t="shared" si="145"/>
        <v>2.3256906272225601E-2</v>
      </c>
      <c r="AM186" t="str">
        <f t="shared" si="130"/>
        <v>1+3,40669386730907i</v>
      </c>
      <c r="AN186">
        <f t="shared" si="146"/>
        <v>3.5504313971067276</v>
      </c>
      <c r="AO186">
        <f t="shared" si="147"/>
        <v>1.2852768722672245</v>
      </c>
      <c r="AP186" s="42" t="str">
        <f t="shared" si="148"/>
        <v>-2,9131915119041+0,929246439178183i</v>
      </c>
      <c r="AQ186">
        <f t="shared" si="149"/>
        <v>9.7082014478000218</v>
      </c>
      <c r="AR186" s="44">
        <f t="shared" si="150"/>
        <v>162.30841771275715</v>
      </c>
      <c r="AS186" s="42" t="str">
        <f t="shared" si="151"/>
        <v>4,31224570722444+13,7778548099756i</v>
      </c>
      <c r="AT186" s="20">
        <f t="shared" si="152"/>
        <v>23.189492813353727</v>
      </c>
      <c r="AU186" s="44">
        <f t="shared" si="153"/>
        <v>72.620723973611646</v>
      </c>
    </row>
    <row r="187" spans="14:47" x14ac:dyDescent="0.3">
      <c r="N187" s="8">
        <v>69</v>
      </c>
      <c r="O187" s="35">
        <f t="shared" si="154"/>
        <v>489.77881936844625</v>
      </c>
      <c r="P187" s="34" t="str">
        <f t="shared" si="122"/>
        <v>324,571428571429</v>
      </c>
      <c r="Q187" s="4" t="str">
        <f t="shared" si="123"/>
        <v>1+70,3399104371106i</v>
      </c>
      <c r="R187" s="4">
        <f t="shared" si="131"/>
        <v>70.347018417987996</v>
      </c>
      <c r="S187" s="4">
        <f t="shared" si="132"/>
        <v>1.5565806044457404</v>
      </c>
      <c r="T187" s="4" t="str">
        <f t="shared" si="124"/>
        <v>1+0,000615474216324718i</v>
      </c>
      <c r="U187" s="4">
        <f t="shared" si="133"/>
        <v>1.0000001894042376</v>
      </c>
      <c r="V187" s="4">
        <f t="shared" si="134"/>
        <v>6.1547413860911179E-4</v>
      </c>
      <c r="W187" t="str">
        <f t="shared" si="125"/>
        <v>1-0,00534265812781873i</v>
      </c>
      <c r="X187" s="4">
        <f t="shared" si="135"/>
        <v>1.0000142718960918</v>
      </c>
      <c r="Y187" s="4">
        <f t="shared" si="136"/>
        <v>-5.3426072950854622E-3</v>
      </c>
      <c r="Z187" t="str">
        <f t="shared" si="126"/>
        <v>0,999999040466832+0,00458079507879178i</v>
      </c>
      <c r="AA187" s="4">
        <f t="shared" si="137"/>
        <v>1.0000095322636371</v>
      </c>
      <c r="AB187" s="4">
        <f t="shared" si="138"/>
        <v>4.5807674338805213E-3</v>
      </c>
      <c r="AC187" s="48" t="str">
        <f t="shared" si="139"/>
        <v>0,0226440325692964-4,61382908244864i</v>
      </c>
      <c r="AD187" s="20">
        <f t="shared" si="140"/>
        <v>13.281334651859931</v>
      </c>
      <c r="AE187" s="44">
        <f t="shared" si="141"/>
        <v>-89.718802526618333</v>
      </c>
      <c r="AF187" t="str">
        <f t="shared" si="127"/>
        <v>-0,0000125211169631323</v>
      </c>
      <c r="AG187" t="str">
        <f t="shared" si="128"/>
        <v>0,0000148729344374868i</v>
      </c>
      <c r="AH187">
        <f t="shared" si="142"/>
        <v>1.4872934437486801E-5</v>
      </c>
      <c r="AI187">
        <f t="shared" si="143"/>
        <v>1.5707963267948966</v>
      </c>
      <c r="AJ187" t="str">
        <f t="shared" si="129"/>
        <v>1+0,02380292090248i</v>
      </c>
      <c r="AK187">
        <f t="shared" si="144"/>
        <v>1.0002832494066316</v>
      </c>
      <c r="AL187">
        <f t="shared" si="145"/>
        <v>2.3798427018013168E-2</v>
      </c>
      <c r="AM187" t="str">
        <f t="shared" si="130"/>
        <v>1+3,4860459612632i</v>
      </c>
      <c r="AN187">
        <f t="shared" si="146"/>
        <v>3.6266398282762329</v>
      </c>
      <c r="AO187">
        <f t="shared" si="147"/>
        <v>1.2914396369965773</v>
      </c>
      <c r="AP187" s="42" t="str">
        <f t="shared" si="148"/>
        <v>-2,91311726683593+0,911213365680575i</v>
      </c>
      <c r="AQ187">
        <f t="shared" si="149"/>
        <v>9.6925567883954411</v>
      </c>
      <c r="AR187" s="44">
        <f t="shared" si="150"/>
        <v>162.63049126862873</v>
      </c>
      <c r="AS187" s="42" t="str">
        <f t="shared" si="151"/>
        <v>4,13821800462453+13,461258711441i</v>
      </c>
      <c r="AT187" s="20">
        <f t="shared" si="152"/>
        <v>22.973891440255393</v>
      </c>
      <c r="AU187" s="44">
        <f t="shared" si="153"/>
        <v>72.911688742010455</v>
      </c>
    </row>
    <row r="188" spans="14:47" x14ac:dyDescent="0.3">
      <c r="N188" s="8">
        <v>70</v>
      </c>
      <c r="O188" s="35">
        <f t="shared" si="154"/>
        <v>501.18723362727269</v>
      </c>
      <c r="P188" s="34" t="str">
        <f t="shared" si="122"/>
        <v>324,571428571429</v>
      </c>
      <c r="Q188" s="4" t="str">
        <f t="shared" si="123"/>
        <v>1+71,9783374279511i</v>
      </c>
      <c r="R188" s="4">
        <f t="shared" si="131"/>
        <v>71.985283627224703</v>
      </c>
      <c r="S188" s="4">
        <f t="shared" si="132"/>
        <v>1.5569041516758195</v>
      </c>
      <c r="T188" s="4" t="str">
        <f t="shared" si="124"/>
        <v>1+0,000629810452494572i</v>
      </c>
      <c r="U188" s="4">
        <f t="shared" si="133"/>
        <v>1.0000001983305833</v>
      </c>
      <c r="V188" s="4">
        <f t="shared" si="134"/>
        <v>6.298103692208006E-4</v>
      </c>
      <c r="W188" t="str">
        <f t="shared" si="125"/>
        <v>1-0,00546710462234872i</v>
      </c>
      <c r="X188" s="4">
        <f t="shared" si="135"/>
        <v>1.0000149445048068</v>
      </c>
      <c r="Y188" s="4">
        <f t="shared" si="136"/>
        <v>-5.4670501541376482E-3</v>
      </c>
      <c r="Z188" t="str">
        <f t="shared" si="126"/>
        <v>0,999998995245427+0,00468749550320178i</v>
      </c>
      <c r="AA188" s="4">
        <f t="shared" si="137"/>
        <v>1.0000099815031629</v>
      </c>
      <c r="AB188" s="4">
        <f t="shared" si="138"/>
        <v>4.6874658811615994E-3</v>
      </c>
      <c r="AC188" s="48" t="str">
        <f t="shared" si="139"/>
        <v>0,0196923390166092-4,50883836035912i</v>
      </c>
      <c r="AD188" s="20">
        <f t="shared" si="140"/>
        <v>13.081376167856247</v>
      </c>
      <c r="AE188" s="44">
        <f t="shared" si="141"/>
        <v>-89.749762433190881</v>
      </c>
      <c r="AF188" t="str">
        <f t="shared" si="127"/>
        <v>-0,0000125211169631323</v>
      </c>
      <c r="AG188" t="str">
        <f t="shared" si="128"/>
        <v>0,0000152193695845313i</v>
      </c>
      <c r="AH188">
        <f t="shared" si="142"/>
        <v>1.52193695845313E-5</v>
      </c>
      <c r="AI188">
        <f t="shared" si="143"/>
        <v>1.5707963267948966</v>
      </c>
      <c r="AJ188" t="str">
        <f t="shared" si="129"/>
        <v>1+0,0243573621553208i</v>
      </c>
      <c r="AK188">
        <f t="shared" si="144"/>
        <v>1.0002965965608228</v>
      </c>
      <c r="AL188">
        <f t="shared" si="145"/>
        <v>2.4352546948468178E-2</v>
      </c>
      <c r="AM188" t="str">
        <f t="shared" si="130"/>
        <v>1+3,56724640292926i</v>
      </c>
      <c r="AN188">
        <f t="shared" si="146"/>
        <v>3.7047600326082857</v>
      </c>
      <c r="AO188">
        <f t="shared" si="147"/>
        <v>1.2974832483131624</v>
      </c>
      <c r="AP188" s="42" t="str">
        <f t="shared" si="148"/>
        <v>-2,91303952676152+0,893663263049615i</v>
      </c>
      <c r="AQ188">
        <f t="shared" si="149"/>
        <v>9.6775540114037781</v>
      </c>
      <c r="AR188" s="44">
        <f t="shared" si="150"/>
        <v>162.94501595672745</v>
      </c>
      <c r="AS188" s="42" t="str">
        <f t="shared" si="151"/>
        <v>3,97201863975204+13,1520226834474i</v>
      </c>
      <c r="AT188" s="20">
        <f t="shared" si="152"/>
        <v>22.758930179260037</v>
      </c>
      <c r="AU188" s="44">
        <f t="shared" si="153"/>
        <v>73.195253523536593</v>
      </c>
    </row>
    <row r="189" spans="14:47" x14ac:dyDescent="0.3">
      <c r="N189" s="8">
        <v>71</v>
      </c>
      <c r="O189" s="35">
        <f t="shared" si="154"/>
        <v>512.86138399136519</v>
      </c>
      <c r="P189" s="34" t="str">
        <f t="shared" si="122"/>
        <v>324,571428571429</v>
      </c>
      <c r="Q189" s="4" t="str">
        <f t="shared" si="123"/>
        <v>1+73,6549282860418i</v>
      </c>
      <c r="R189" s="4">
        <f t="shared" si="131"/>
        <v>73.661716385256454</v>
      </c>
      <c r="S189" s="4">
        <f t="shared" si="132"/>
        <v>1.55722033688248</v>
      </c>
      <c r="T189" s="4" t="str">
        <f t="shared" si="124"/>
        <v>1+0,000644480622502866i</v>
      </c>
      <c r="U189" s="4">
        <f t="shared" si="133"/>
        <v>1.0000002076776149</v>
      </c>
      <c r="V189" s="4">
        <f t="shared" si="134"/>
        <v>6.4448053327341328E-4</v>
      </c>
      <c r="W189" t="str">
        <f t="shared" si="125"/>
        <v>1-0,00559444984811516i</v>
      </c>
      <c r="X189" s="4">
        <f t="shared" si="135"/>
        <v>1.0000156488121088</v>
      </c>
      <c r="Y189" s="4">
        <f t="shared" si="136"/>
        <v>-5.5943914844248021E-3</v>
      </c>
      <c r="Z189" t="str">
        <f t="shared" si="126"/>
        <v>0,999998947892803+0,00479668129977393i</v>
      </c>
      <c r="AA189" s="4">
        <f t="shared" si="137"/>
        <v>1.000010451914481</v>
      </c>
      <c r="AB189" s="4">
        <f t="shared" si="138"/>
        <v>4.7966495592038864E-3</v>
      </c>
      <c r="AC189" s="48" t="str">
        <f t="shared" si="139"/>
        <v>0,0168734467809306-4,40623459238611i</v>
      </c>
      <c r="AD189" s="20">
        <f t="shared" si="140"/>
        <v>12.881416001553351</v>
      </c>
      <c r="AE189" s="44">
        <f t="shared" si="141"/>
        <v>-89.780589857318574</v>
      </c>
      <c r="AF189" t="str">
        <f t="shared" si="127"/>
        <v>-0,0000125211169631323</v>
      </c>
      <c r="AG189" t="str">
        <f t="shared" si="128"/>
        <v>0,0000155738742427818i</v>
      </c>
      <c r="AH189">
        <f t="shared" si="142"/>
        <v>1.55738742427818E-5</v>
      </c>
      <c r="AI189">
        <f t="shared" si="143"/>
        <v>1.5707963267948966</v>
      </c>
      <c r="AJ189" t="str">
        <f t="shared" si="129"/>
        <v>1+0,0249247180039842i</v>
      </c>
      <c r="AK189">
        <f t="shared" si="144"/>
        <v>1.0003105725561328</v>
      </c>
      <c r="AL189">
        <f t="shared" si="145"/>
        <v>2.491955850339736E-2</v>
      </c>
      <c r="AM189" t="str">
        <f t="shared" si="130"/>
        <v>1+3,65033824585623i</v>
      </c>
      <c r="AN189">
        <f t="shared" si="146"/>
        <v>3.7848341191075652</v>
      </c>
      <c r="AO189">
        <f t="shared" si="147"/>
        <v>1.3034091439731761</v>
      </c>
      <c r="AP189" s="42" t="str">
        <f t="shared" si="148"/>
        <v>-2,91295812735721+0,876586814093394i</v>
      </c>
      <c r="AQ189">
        <f t="shared" si="149"/>
        <v>9.6631680002494811</v>
      </c>
      <c r="AR189" s="44">
        <f t="shared" si="150"/>
        <v>163.25205739884848</v>
      </c>
      <c r="AS189" s="42" t="str">
        <f t="shared" si="151"/>
        <v>3,8132954995508+12,8499679078901i</v>
      </c>
      <c r="AT189" s="20">
        <f t="shared" si="152"/>
        <v>22.54458400180285</v>
      </c>
      <c r="AU189" s="44">
        <f t="shared" si="153"/>
        <v>73.471467541529975</v>
      </c>
    </row>
    <row r="190" spans="14:47" x14ac:dyDescent="0.3">
      <c r="N190" s="8">
        <v>72</v>
      </c>
      <c r="O190" s="35">
        <f t="shared" si="154"/>
        <v>524.80746024977248</v>
      </c>
      <c r="P190" s="34" t="str">
        <f t="shared" si="122"/>
        <v>324,571428571429</v>
      </c>
      <c r="Q190" s="4" t="str">
        <f t="shared" si="123"/>
        <v>1+75,3705719620482i</v>
      </c>
      <c r="R190" s="4">
        <f t="shared" si="131"/>
        <v>75.377205559016886</v>
      </c>
      <c r="S190" s="4">
        <f t="shared" si="132"/>
        <v>1.557529327458278</v>
      </c>
      <c r="T190" s="4" t="str">
        <f t="shared" si="124"/>
        <v>1+0,000659492504667922i</v>
      </c>
      <c r="U190" s="4">
        <f t="shared" si="133"/>
        <v>1.0000002174651583</v>
      </c>
      <c r="V190" s="4">
        <f t="shared" si="134"/>
        <v>6.5949240905684191E-4</v>
      </c>
      <c r="W190" t="str">
        <f t="shared" si="125"/>
        <v>1-0,00572476132524238i</v>
      </c>
      <c r="X190" s="4">
        <f t="shared" si="135"/>
        <v>1.0000163863118599</v>
      </c>
      <c r="Y190" s="4">
        <f t="shared" si="136"/>
        <v>-5.7246987874767811E-3</v>
      </c>
      <c r="Z190" t="str">
        <f t="shared" si="126"/>
        <v>0,999998898308519+0,00490841036026281i</v>
      </c>
      <c r="AA190" s="4">
        <f t="shared" si="137"/>
        <v>1.0000109444953671</v>
      </c>
      <c r="AB190" s="4">
        <f t="shared" si="138"/>
        <v>4.9083763496492946E-3</v>
      </c>
      <c r="AC190" s="48" t="str">
        <f t="shared" si="139"/>
        <v>0,0141813833849628-4,30596362296865i</v>
      </c>
      <c r="AD190" s="20">
        <f t="shared" si="140"/>
        <v>12.681454237397872</v>
      </c>
      <c r="AE190" s="44">
        <f t="shared" si="141"/>
        <v>-89.811301128151825</v>
      </c>
      <c r="AF190" t="str">
        <f t="shared" si="127"/>
        <v>-0,0000125211169631323</v>
      </c>
      <c r="AG190" t="str">
        <f t="shared" si="128"/>
        <v>0,0000159366363753003i</v>
      </c>
      <c r="AH190">
        <f t="shared" si="142"/>
        <v>1.59366363753003E-5</v>
      </c>
      <c r="AI190">
        <f t="shared" si="143"/>
        <v>1.5707963267948966</v>
      </c>
      <c r="AJ190" t="str">
        <f t="shared" si="129"/>
        <v>1+0,025505289268051i</v>
      </c>
      <c r="AK190">
        <f t="shared" si="144"/>
        <v>1.0003252070105237</v>
      </c>
      <c r="AL190">
        <f t="shared" si="145"/>
        <v>2.5499760860633661E-2</v>
      </c>
      <c r="AM190" t="str">
        <f t="shared" si="130"/>
        <v>1+3,73536554643911i</v>
      </c>
      <c r="AN190">
        <f t="shared" si="146"/>
        <v>3.866905192207891</v>
      </c>
      <c r="AO190">
        <f t="shared" si="147"/>
        <v>1.3092188005396828</v>
      </c>
      <c r="AP190" s="42" t="str">
        <f t="shared" si="148"/>
        <v>-2,9128728965928+0,85997495190848i</v>
      </c>
      <c r="AQ190">
        <f t="shared" si="149"/>
        <v>9.6493744112725217</v>
      </c>
      <c r="AR190" s="44">
        <f t="shared" si="150"/>
        <v>163.55168305419653</v>
      </c>
      <c r="AS190" s="42" t="str">
        <f t="shared" si="151"/>
        <v>3,66171229228388+12,5549203655544i</v>
      </c>
      <c r="AT190" s="20">
        <f t="shared" si="152"/>
        <v>22.330828648670394</v>
      </c>
      <c r="AU190" s="44">
        <f t="shared" si="153"/>
        <v>73.740381926044719</v>
      </c>
    </row>
    <row r="191" spans="14:47" x14ac:dyDescent="0.3">
      <c r="N191" s="8">
        <v>73</v>
      </c>
      <c r="O191" s="35">
        <f t="shared" si="154"/>
        <v>537.03179637025301</v>
      </c>
      <c r="P191" s="34" t="str">
        <f t="shared" si="122"/>
        <v>324,571428571429</v>
      </c>
      <c r="Q191" s="4" t="str">
        <f t="shared" si="123"/>
        <v>1+77,1261781129561i</v>
      </c>
      <c r="R191" s="4">
        <f t="shared" si="131"/>
        <v>77.132660723661203</v>
      </c>
      <c r="S191" s="4">
        <f t="shared" si="132"/>
        <v>1.557831286997964</v>
      </c>
      <c r="T191" s="4" t="str">
        <f t="shared" si="124"/>
        <v>1+0,000674854058488366i</v>
      </c>
      <c r="U191" s="4">
        <f t="shared" si="133"/>
        <v>1.0000002277139741</v>
      </c>
      <c r="V191" s="4">
        <f t="shared" si="134"/>
        <v>6.7485395603924918E-4</v>
      </c>
      <c r="W191" t="str">
        <f t="shared" si="125"/>
        <v>1-0,0058581081466004i</v>
      </c>
      <c r="X191" s="4">
        <f t="shared" si="135"/>
        <v>1.0000171585683204</v>
      </c>
      <c r="Y191" s="4">
        <f t="shared" si="136"/>
        <v>-5.8580411362393527E-3</v>
      </c>
      <c r="Z191" t="str">
        <f t="shared" si="126"/>
        <v>0,999998846387399+0,00502274192489518i</v>
      </c>
      <c r="AA191" s="4">
        <f t="shared" si="137"/>
        <v>1.0000114602906174</v>
      </c>
      <c r="AB191" s="4">
        <f t="shared" si="138"/>
        <v>5.0227054818887127E-3</v>
      </c>
      <c r="AC191" s="48" t="str">
        <f t="shared" si="139"/>
        <v>0,01161044477681-4,20797251699593i</v>
      </c>
      <c r="AD191" s="20">
        <f t="shared" si="140"/>
        <v>12.48149095645115</v>
      </c>
      <c r="AE191" s="44">
        <f t="shared" si="141"/>
        <v>-89.841912514117837</v>
      </c>
      <c r="AF191" t="str">
        <f t="shared" si="127"/>
        <v>-0,0000125211169631323</v>
      </c>
      <c r="AG191" t="str">
        <f t="shared" si="128"/>
        <v>0,0000163078483233714i</v>
      </c>
      <c r="AH191">
        <f t="shared" si="142"/>
        <v>1.63078483233714E-5</v>
      </c>
      <c r="AI191">
        <f t="shared" si="143"/>
        <v>1.5707963267948966</v>
      </c>
      <c r="AJ191" t="str">
        <f t="shared" si="129"/>
        <v>1+0,0260993837740901i</v>
      </c>
      <c r="AK191">
        <f t="shared" si="144"/>
        <v>1.0003405309360345</v>
      </c>
      <c r="AL191">
        <f t="shared" si="145"/>
        <v>2.6093460087721339E-2</v>
      </c>
      <c r="AM191" t="str">
        <f t="shared" si="130"/>
        <v>1+3,8223733872781i</v>
      </c>
      <c r="AN191">
        <f t="shared" si="146"/>
        <v>3.9510173767995322</v>
      </c>
      <c r="AO191">
        <f t="shared" si="147"/>
        <v>1.3149137290278878</v>
      </c>
      <c r="AP191" s="42" t="str">
        <f t="shared" si="148"/>
        <v>-2,91278365437172+0,843818855011968i</v>
      </c>
      <c r="AQ191">
        <f t="shared" si="149"/>
        <v>9.6361496627357486</v>
      </c>
      <c r="AR191" s="44">
        <f t="shared" si="150"/>
        <v>163.8439619611872</v>
      </c>
      <c r="AS191" s="42" t="str">
        <f t="shared" si="151"/>
        <v>3,51694783744746+12,2667106777689i</v>
      </c>
      <c r="AT191" s="20">
        <f t="shared" si="152"/>
        <v>22.11764061918689</v>
      </c>
      <c r="AU191" s="44">
        <f t="shared" si="153"/>
        <v>74.002049447069339</v>
      </c>
    </row>
    <row r="192" spans="14:47" x14ac:dyDescent="0.3">
      <c r="N192" s="8">
        <v>74</v>
      </c>
      <c r="O192" s="35">
        <f t="shared" si="154"/>
        <v>549.54087385762534</v>
      </c>
      <c r="P192" s="34" t="str">
        <f t="shared" si="122"/>
        <v>324,571428571429</v>
      </c>
      <c r="Q192" s="4" t="str">
        <f t="shared" si="123"/>
        <v>1+78,9226775843854i</v>
      </c>
      <c r="R192" s="4">
        <f t="shared" si="131"/>
        <v>78.929012644837059</v>
      </c>
      <c r="S192" s="4">
        <f t="shared" si="132"/>
        <v>1.5581263753840962</v>
      </c>
      <c r="T192" s="4" t="str">
        <f t="shared" si="124"/>
        <v>1+0,000690573428863372i</v>
      </c>
      <c r="U192" s="4">
        <f t="shared" si="133"/>
        <v>1.0000002384458018</v>
      </c>
      <c r="V192" s="4">
        <f t="shared" si="134"/>
        <v>6.9057331908716694E-4</v>
      </c>
      <c r="W192" t="str">
        <f t="shared" si="125"/>
        <v>1-0,00599456101443899i</v>
      </c>
      <c r="X192" s="4">
        <f t="shared" si="135"/>
        <v>1.0000179672194673</v>
      </c>
      <c r="Y192" s="4">
        <f t="shared" si="136"/>
        <v>-5.9944892116131519E-3</v>
      </c>
      <c r="Z192" t="str">
        <f t="shared" si="126"/>
        <v>0,999998792019312+0,00513973661377999i</v>
      </c>
      <c r="AA192" s="4">
        <f t="shared" si="137"/>
        <v>1.0000120003942663</v>
      </c>
      <c r="AB192" s="4">
        <f t="shared" si="138"/>
        <v>5.1396975644202609E-3</v>
      </c>
      <c r="AC192" s="48" t="str">
        <f t="shared" si="139"/>
        <v>0,00915518328329337-4,11220953283596i</v>
      </c>
      <c r="AD192" s="20">
        <f t="shared" si="140"/>
        <v>12.281526236560707</v>
      </c>
      <c r="AE192" s="44">
        <f t="shared" si="141"/>
        <v>-89.872440231474371</v>
      </c>
      <c r="AF192" t="str">
        <f t="shared" si="127"/>
        <v>-0,0000125211169631323</v>
      </c>
      <c r="AG192" t="str">
        <f t="shared" si="128"/>
        <v>0,0000166877069084834i</v>
      </c>
      <c r="AH192">
        <f t="shared" si="142"/>
        <v>1.6687706908483401E-5</v>
      </c>
      <c r="AI192">
        <f t="shared" si="143"/>
        <v>1.5707963267948966</v>
      </c>
      <c r="AJ192" t="str">
        <f t="shared" si="129"/>
        <v>1+0,0267073165188725i</v>
      </c>
      <c r="AK192">
        <f t="shared" si="144"/>
        <v>1.0003565768043108</v>
      </c>
      <c r="AL192">
        <f t="shared" si="145"/>
        <v>2.6700969296759417E-2</v>
      </c>
      <c r="AM192" t="str">
        <f t="shared" si="130"/>
        <v>1+3,91140790108214i</v>
      </c>
      <c r="AN192">
        <f t="shared" si="146"/>
        <v>4.0372158437031569</v>
      </c>
      <c r="AO192">
        <f t="shared" si="147"/>
        <v>1.3204954707622132</v>
      </c>
      <c r="AP192" s="42" t="str">
        <f t="shared" si="148"/>
        <v>-2,91269021215507+0,828109942599455i</v>
      </c>
      <c r="AQ192">
        <f t="shared" si="149"/>
        <v>9.6234709226171926</v>
      </c>
      <c r="AR192" s="44">
        <f t="shared" si="150"/>
        <v>164.12896449120288</v>
      </c>
      <c r="AS192" s="42" t="str">
        <f t="shared" si="151"/>
        <v>3,37869538745398+11,9851739549253i</v>
      </c>
      <c r="AT192" s="20">
        <f t="shared" si="152"/>
        <v>21.90499715917791</v>
      </c>
      <c r="AU192" s="44">
        <f t="shared" si="153"/>
        <v>74.25652425972855</v>
      </c>
    </row>
    <row r="193" spans="14:47" x14ac:dyDescent="0.3">
      <c r="N193" s="8">
        <v>75</v>
      </c>
      <c r="O193" s="35">
        <f t="shared" si="154"/>
        <v>562.34132519034927</v>
      </c>
      <c r="P193" s="34" t="str">
        <f t="shared" si="122"/>
        <v>324,571428571429</v>
      </c>
      <c r="Q193" s="4" t="str">
        <f t="shared" si="123"/>
        <v>1+80,7610229041349i</v>
      </c>
      <c r="R193" s="4">
        <f t="shared" si="131"/>
        <v>80.767213772187304</v>
      </c>
      <c r="S193" s="4">
        <f t="shared" si="132"/>
        <v>1.5584147488707611</v>
      </c>
      <c r="T193" s="4" t="str">
        <f t="shared" si="124"/>
        <v>1+0,00070665895041118i</v>
      </c>
      <c r="U193" s="4">
        <f t="shared" si="133"/>
        <v>1.0000002496834051</v>
      </c>
      <c r="V193" s="4">
        <f t="shared" si="134"/>
        <v>7.0665883278385867E-4</v>
      </c>
      <c r="W193" t="str">
        <f t="shared" si="125"/>
        <v>1-0,00613419227787483i</v>
      </c>
      <c r="X193" s="4">
        <f t="shared" si="135"/>
        <v>1.000018813980468</v>
      </c>
      <c r="Y193" s="4">
        <f t="shared" si="136"/>
        <v>-6.1341153398389511E-3</v>
      </c>
      <c r="Z193" t="str">
        <f t="shared" si="126"/>
        <v>0,999998735088936+0,00525945645904987i</v>
      </c>
      <c r="AA193" s="4">
        <f t="shared" si="137"/>
        <v>1.0000125659519068</v>
      </c>
      <c r="AB193" s="4">
        <f t="shared" si="138"/>
        <v>5.2594146169353852E-3</v>
      </c>
      <c r="AC193" s="48" t="str">
        <f t="shared" si="139"/>
        <v>0,00681039610247992-4,01862409592412i</v>
      </c>
      <c r="AD193" s="20">
        <f t="shared" si="140"/>
        <v>12.081560152525155</v>
      </c>
      <c r="AE193" s="44">
        <f t="shared" si="141"/>
        <v>-89.902900452839575</v>
      </c>
      <c r="AF193" t="str">
        <f t="shared" si="127"/>
        <v>-0,0000125211169631323</v>
      </c>
      <c r="AG193" t="str">
        <f t="shared" si="128"/>
        <v>0,0000170764135366862i</v>
      </c>
      <c r="AH193">
        <f t="shared" si="142"/>
        <v>1.7076413536686201E-5</v>
      </c>
      <c r="AI193">
        <f t="shared" si="143"/>
        <v>1.5707963267948966</v>
      </c>
      <c r="AJ193" t="str">
        <f t="shared" si="129"/>
        <v>1+0,0273294098363862i</v>
      </c>
      <c r="AK193">
        <f t="shared" si="144"/>
        <v>1.0003733786152074</v>
      </c>
      <c r="AL193">
        <f t="shared" si="145"/>
        <v>2.7322608802449525E-2</v>
      </c>
      <c r="AM193" t="str">
        <f t="shared" si="130"/>
        <v>1+4,00251629512892i</v>
      </c>
      <c r="AN193">
        <f t="shared" si="146"/>
        <v>4.125546835605256</v>
      </c>
      <c r="AO193">
        <f t="shared" si="147"/>
        <v>1.3259655934427783</v>
      </c>
      <c r="AP193" s="42" t="str">
        <f t="shared" si="148"/>
        <v>-2,91259237256793+0,812839869925937i</v>
      </c>
      <c r="AQ193">
        <f t="shared" si="149"/>
        <v>9.611316095326238</v>
      </c>
      <c r="AR193" s="44">
        <f t="shared" si="150"/>
        <v>164.4067621141634</v>
      </c>
      <c r="AS193" s="42" t="str">
        <f t="shared" si="151"/>
        <v>3,24666197966995+11,7101496514884i</v>
      </c>
      <c r="AT193" s="20">
        <f t="shared" si="152"/>
        <v>21.692876247851416</v>
      </c>
      <c r="AU193" s="44">
        <f t="shared" si="153"/>
        <v>74.503861661323867</v>
      </c>
    </row>
    <row r="194" spans="14:47" x14ac:dyDescent="0.3">
      <c r="N194" s="8">
        <v>76</v>
      </c>
      <c r="O194" s="35">
        <f t="shared" si="154"/>
        <v>575.43993733715706</v>
      </c>
      <c r="P194" s="34" t="str">
        <f t="shared" si="122"/>
        <v>324,571428571429</v>
      </c>
      <c r="Q194" s="4" t="str">
        <f t="shared" si="123"/>
        <v>1+82,6421887872267i</v>
      </c>
      <c r="R194" s="4">
        <f t="shared" si="131"/>
        <v>82.648238744353279</v>
      </c>
      <c r="S194" s="4">
        <f t="shared" si="132"/>
        <v>1.558696560165441</v>
      </c>
      <c r="T194" s="4" t="str">
        <f t="shared" si="124"/>
        <v>1+0,000723119151888234i</v>
      </c>
      <c r="U194" s="4">
        <f t="shared" si="133"/>
        <v>1.0000002614506198</v>
      </c>
      <c r="V194" s="4">
        <f t="shared" si="134"/>
        <v>7.2311902584829013E-4</v>
      </c>
      <c r="W194" t="str">
        <f t="shared" si="125"/>
        <v>1-0,00627707597125203i</v>
      </c>
      <c r="X194" s="4">
        <f t="shared" si="135"/>
        <v>1.0000197006473168</v>
      </c>
      <c r="Y194" s="4">
        <f t="shared" si="136"/>
        <v>-6.2769935307489949E-3</v>
      </c>
      <c r="Z194" t="str">
        <f t="shared" si="126"/>
        <v>0,999998675475514+0,00538196493775149i</v>
      </c>
      <c r="AA194" s="4">
        <f t="shared" si="137"/>
        <v>1.0000131581631182</v>
      </c>
      <c r="AB194" s="4">
        <f t="shared" si="138"/>
        <v>5.3819201031498239E-3</v>
      </c>
      <c r="AC194" s="48" t="str">
        <f t="shared" si="139"/>
        <v>0,00457111431141203-3,92716677290231i</v>
      </c>
      <c r="AD194" s="20">
        <f t="shared" si="140"/>
        <v>11.881592776252525</v>
      </c>
      <c r="AE194" s="44">
        <f t="shared" si="141"/>
        <v>-89.933309315702189</v>
      </c>
      <c r="AF194" t="str">
        <f t="shared" si="127"/>
        <v>-0,0000125211169631323</v>
      </c>
      <c r="AG194" t="str">
        <f t="shared" si="128"/>
        <v>0,0000174741743053792i</v>
      </c>
      <c r="AH194">
        <f t="shared" si="142"/>
        <v>1.7474174305379201E-5</v>
      </c>
      <c r="AI194">
        <f t="shared" si="143"/>
        <v>1.5707963267948966</v>
      </c>
      <c r="AJ194" t="str">
        <f t="shared" si="129"/>
        <v>1+0,0279659935687427i</v>
      </c>
      <c r="AK194">
        <f t="shared" si="144"/>
        <v>1.0003909719686035</v>
      </c>
      <c r="AL194">
        <f t="shared" si="145"/>
        <v>2.7958706283396317E-2</v>
      </c>
      <c r="AM194" t="str">
        <f t="shared" si="130"/>
        <v>1+4,09574687629496i</v>
      </c>
      <c r="AN194">
        <f t="shared" si="146"/>
        <v>4.2160576934714644</v>
      </c>
      <c r="AO194">
        <f t="shared" si="147"/>
        <v>1.3313256874181407</v>
      </c>
      <c r="AP194" s="42" t="str">
        <f t="shared" si="148"/>
        <v>-2,91248992898786+0,798000523806983i</v>
      </c>
      <c r="AQ194">
        <f t="shared" si="149"/>
        <v>9.5996638074787501</v>
      </c>
      <c r="AR194" s="44">
        <f t="shared" si="150"/>
        <v>164.67742717572801</v>
      </c>
      <c r="AS194" s="42" t="str">
        <f t="shared" si="151"/>
        <v>3,12056781745718+11,4414814271486i</v>
      </c>
      <c r="AT194" s="20">
        <f t="shared" si="152"/>
        <v>21.481256583731266</v>
      </c>
      <c r="AU194" s="44">
        <f t="shared" si="153"/>
        <v>74.744117860025824</v>
      </c>
    </row>
    <row r="195" spans="14:47" x14ac:dyDescent="0.3">
      <c r="N195" s="8">
        <v>77</v>
      </c>
      <c r="O195" s="35">
        <f t="shared" si="154"/>
        <v>588.84365535558959</v>
      </c>
      <c r="P195" s="34" t="str">
        <f t="shared" si="122"/>
        <v>324,571428571429</v>
      </c>
      <c r="Q195" s="4" t="str">
        <f t="shared" si="123"/>
        <v>1+84,5671726527122i</v>
      </c>
      <c r="R195" s="4">
        <f t="shared" si="131"/>
        <v>84.573084905740757</v>
      </c>
      <c r="S195" s="4">
        <f t="shared" si="132"/>
        <v>1.5589719585090656</v>
      </c>
      <c r="T195" s="4" t="str">
        <f t="shared" si="124"/>
        <v>1+0,000739962760711232i</v>
      </c>
      <c r="U195" s="4">
        <f t="shared" si="133"/>
        <v>1.0000002737724061</v>
      </c>
      <c r="V195" s="4">
        <f t="shared" si="134"/>
        <v>7.3996262565700097E-4</v>
      </c>
      <c r="W195" t="str">
        <f t="shared" si="125"/>
        <v>1-0,00642328785339611i</v>
      </c>
      <c r="X195" s="4">
        <f t="shared" si="135"/>
        <v>1.0000206291006439</v>
      </c>
      <c r="Y195" s="4">
        <f t="shared" si="136"/>
        <v>-6.4231995169039919E-3</v>
      </c>
      <c r="Z195" t="str">
        <f t="shared" si="126"/>
        <v>0,999998613052598+0,00550732700550182i</v>
      </c>
      <c r="AA195" s="4">
        <f t="shared" si="137"/>
        <v>1.0000137782840119</v>
      </c>
      <c r="AB195" s="4">
        <f t="shared" si="138"/>
        <v>5.507278964396246E-3</v>
      </c>
      <c r="AC195" s="48" t="str">
        <f t="shared" si="139"/>
        <v>0,00243259236609572-3,83778924629951i</v>
      </c>
      <c r="AD195" s="20">
        <f t="shared" si="140"/>
        <v>11.681624176912415</v>
      </c>
      <c r="AE195" s="44">
        <f t="shared" si="141"/>
        <v>-89.963682930916121</v>
      </c>
      <c r="AF195" t="str">
        <f t="shared" si="127"/>
        <v>-0,0000125211169631323</v>
      </c>
      <c r="AG195" t="str">
        <f t="shared" si="128"/>
        <v>0,0000178812001125869i</v>
      </c>
      <c r="AH195">
        <f t="shared" si="142"/>
        <v>1.7881200112586899E-5</v>
      </c>
      <c r="AI195">
        <f t="shared" si="143"/>
        <v>1.5707963267948966</v>
      </c>
      <c r="AJ195" t="str">
        <f t="shared" si="129"/>
        <v>1+0,0286174052410631i</v>
      </c>
      <c r="AK195">
        <f t="shared" si="144"/>
        <v>1.0004093941395849</v>
      </c>
      <c r="AL195">
        <f t="shared" si="145"/>
        <v>2.8609596946703082E-2</v>
      </c>
      <c r="AM195" t="str">
        <f t="shared" si="130"/>
        <v>1+4,19114907666842i</v>
      </c>
      <c r="AN195">
        <f t="shared" si="146"/>
        <v>4.3087968834534953</v>
      </c>
      <c r="AO195">
        <f t="shared" si="147"/>
        <v>1.3365773621603636</v>
      </c>
      <c r="AP195" s="42" t="str">
        <f t="shared" si="148"/>
        <v>-2,91238266511418+0,783584018237383i</v>
      </c>
      <c r="AQ195">
        <f t="shared" si="149"/>
        <v>9.5884933928539251</v>
      </c>
      <c r="AR195" s="44">
        <f t="shared" si="150"/>
        <v>164.94103268590086</v>
      </c>
      <c r="AS195" s="42" t="str">
        <f t="shared" si="151"/>
        <v>3,00014567892528+11,1790170137853i</v>
      </c>
      <c r="AT195" s="20">
        <f t="shared" si="152"/>
        <v>21.270117569766363</v>
      </c>
      <c r="AU195" s="44">
        <f t="shared" si="153"/>
        <v>74.977349754984786</v>
      </c>
    </row>
    <row r="196" spans="14:47" x14ac:dyDescent="0.3">
      <c r="N196" s="8">
        <v>78</v>
      </c>
      <c r="O196" s="35">
        <f t="shared" si="154"/>
        <v>602.55958607435832</v>
      </c>
      <c r="P196" s="34" t="str">
        <f t="shared" si="122"/>
        <v>324,571428571429</v>
      </c>
      <c r="Q196" s="4" t="str">
        <f t="shared" si="123"/>
        <v>1+86,536995152517i</v>
      </c>
      <c r="R196" s="4">
        <f t="shared" si="131"/>
        <v>86.542772835325479</v>
      </c>
      <c r="S196" s="4">
        <f t="shared" si="132"/>
        <v>1.5592410897542865</v>
      </c>
      <c r="T196" s="4" t="str">
        <f t="shared" si="124"/>
        <v>1+0,000757198707584524i</v>
      </c>
      <c r="U196" s="4">
        <f t="shared" si="133"/>
        <v>1.0000002866749003</v>
      </c>
      <c r="V196" s="4">
        <f t="shared" si="134"/>
        <v>7.5719856287131038E-4</v>
      </c>
      <c r="W196" t="str">
        <f t="shared" si="125"/>
        <v>1-0,00657290544778233i</v>
      </c>
      <c r="X196" s="4">
        <f t="shared" si="135"/>
        <v>1.0000216013097045</v>
      </c>
      <c r="Y196" s="4">
        <f t="shared" si="136"/>
        <v>-6.5728107936360962E-3</v>
      </c>
      <c r="Z196" t="str">
        <f t="shared" si="126"/>
        <v>0,999998547687781+0,00563560913092856i</v>
      </c>
      <c r="AA196" s="4">
        <f t="shared" si="137"/>
        <v>1.0000144276298955</v>
      </c>
      <c r="AB196" s="4">
        <f t="shared" si="138"/>
        <v>5.6355576539964961E-3</v>
      </c>
      <c r="AC196" s="48" t="str">
        <f t="shared" si="139"/>
        <v>0,000390298071811733-3,75044428974479i</v>
      </c>
      <c r="AD196" s="20">
        <f t="shared" si="140"/>
        <v>11.481654421082666</v>
      </c>
      <c r="AE196" s="44">
        <f t="shared" si="141"/>
        <v>-89.994037391183952</v>
      </c>
      <c r="AF196" t="str">
        <f t="shared" si="127"/>
        <v>-0,0000125211169631323</v>
      </c>
      <c r="AG196" t="str">
        <f t="shared" si="128"/>
        <v>0,00001829770676878i</v>
      </c>
      <c r="AH196">
        <f t="shared" si="142"/>
        <v>1.8297706768780001E-5</v>
      </c>
      <c r="AI196">
        <f t="shared" si="143"/>
        <v>1.5707963267948966</v>
      </c>
      <c r="AJ196" t="str">
        <f t="shared" si="129"/>
        <v>1+0,0292839902404384i</v>
      </c>
      <c r="AK196">
        <f t="shared" si="144"/>
        <v>1.0004286841571477</v>
      </c>
      <c r="AL196">
        <f t="shared" si="145"/>
        <v>2.927562369590854E-2</v>
      </c>
      <c r="AM196" t="str">
        <f t="shared" si="130"/>
        <v>1+4,28877347975874i</v>
      </c>
      <c r="AN196">
        <f t="shared" si="146"/>
        <v>4.4038140243068735</v>
      </c>
      <c r="AO196">
        <f t="shared" si="147"/>
        <v>1.3417222429379352</v>
      </c>
      <c r="AP196" s="42" t="str">
        <f t="shared" si="148"/>
        <v>-2,91227035451768+0,7695826901246i</v>
      </c>
      <c r="AQ196">
        <f t="shared" si="149"/>
        <v>9.577784876650421</v>
      </c>
      <c r="AR196" s="44">
        <f t="shared" si="150"/>
        <v>165.19765211878143</v>
      </c>
      <c r="AS196" s="42" t="str">
        <f t="shared" si="151"/>
        <v>2,88514035216028+10,9226080879339i</v>
      </c>
      <c r="AT196" s="20">
        <f t="shared" si="152"/>
        <v>21.059439297733071</v>
      </c>
      <c r="AU196" s="44">
        <f t="shared" si="153"/>
        <v>75.203614727597454</v>
      </c>
    </row>
    <row r="197" spans="14:47" x14ac:dyDescent="0.3">
      <c r="N197" s="8">
        <v>79</v>
      </c>
      <c r="O197" s="35">
        <f t="shared" si="154"/>
        <v>616.59500186148273</v>
      </c>
      <c r="P197" s="34" t="str">
        <f t="shared" si="122"/>
        <v>324,571428571429</v>
      </c>
      <c r="Q197" s="4" t="str">
        <f t="shared" si="123"/>
        <v>1+88,5527007126043i</v>
      </c>
      <c r="R197" s="4">
        <f t="shared" si="131"/>
        <v>88.558346887778285</v>
      </c>
      <c r="S197" s="4">
        <f t="shared" si="132"/>
        <v>1.5595040964420146</v>
      </c>
      <c r="T197" s="4" t="str">
        <f t="shared" si="124"/>
        <v>1+0,000774836131235288i</v>
      </c>
      <c r="U197" s="4">
        <f t="shared" si="133"/>
        <v>1.00000030018547</v>
      </c>
      <c r="V197" s="4">
        <f t="shared" si="134"/>
        <v>7.7483597617228838E-4</v>
      </c>
      <c r="W197" t="str">
        <f t="shared" si="125"/>
        <v>1-0,00672600808363965i</v>
      </c>
      <c r="X197" s="4">
        <f t="shared" si="135"/>
        <v>1.0000226193365533</v>
      </c>
      <c r="Y197" s="4">
        <f t="shared" si="136"/>
        <v>-6.7259066600185401E-3</v>
      </c>
      <c r="Z197" t="str">
        <f t="shared" si="126"/>
        <v>0,999998479242415+0,00576687933091263i</v>
      </c>
      <c r="AA197" s="4">
        <f t="shared" si="137"/>
        <v>1.0000151075780606</v>
      </c>
      <c r="AB197" s="4">
        <f t="shared" si="138"/>
        <v>5.7668241724310324E-3</v>
      </c>
      <c r="AC197" s="48" t="str">
        <f t="shared" si="139"/>
        <v>-0,00156009699721913-3,6650857437032i</v>
      </c>
      <c r="AD197" s="20">
        <f t="shared" si="140"/>
        <v>11.281683572890147</v>
      </c>
      <c r="AE197" s="44">
        <f t="shared" si="141"/>
        <v>-90.024388779533069</v>
      </c>
      <c r="AF197" t="str">
        <f t="shared" si="127"/>
        <v>-0,0000125211169631323</v>
      </c>
      <c r="AG197" t="str">
        <f t="shared" si="128"/>
        <v>0,0000187239151113007i</v>
      </c>
      <c r="AH197">
        <f t="shared" si="142"/>
        <v>1.8723915111300702E-5</v>
      </c>
      <c r="AI197">
        <f t="shared" si="143"/>
        <v>1.5707963267948966</v>
      </c>
      <c r="AJ197" t="str">
        <f t="shared" si="129"/>
        <v>1+0,0299661019990586i</v>
      </c>
      <c r="AK197">
        <f t="shared" si="144"/>
        <v>1.0004488828865861</v>
      </c>
      <c r="AL197">
        <f t="shared" si="145"/>
        <v>2.9957137302307302E-2</v>
      </c>
      <c r="AM197" t="str">
        <f t="shared" si="130"/>
        <v>1+4,38867184731667i</v>
      </c>
      <c r="AN197">
        <f t="shared" si="146"/>
        <v>4.5011599153362578</v>
      </c>
      <c r="AO197">
        <f t="shared" si="147"/>
        <v>1.3467619676814975</v>
      </c>
      <c r="AP197" s="42" t="str">
        <f t="shared" si="148"/>
        <v>-2,91215276016953+0,755989095134373i</v>
      </c>
      <c r="AQ197">
        <f t="shared" si="149"/>
        <v>9.5675189591487442</v>
      </c>
      <c r="AR197" s="44">
        <f t="shared" si="150"/>
        <v>165.44735922316781</v>
      </c>
      <c r="AS197" s="42" t="str">
        <f t="shared" si="151"/>
        <v>2,77530809574866+10,672110148466i</v>
      </c>
      <c r="AT197" s="20">
        <f t="shared" si="152"/>
        <v>20.849202532038873</v>
      </c>
      <c r="AU197" s="44">
        <f t="shared" si="153"/>
        <v>75.422970443634711</v>
      </c>
    </row>
    <row r="198" spans="14:47" x14ac:dyDescent="0.3">
      <c r="N198" s="8">
        <v>80</v>
      </c>
      <c r="O198" s="35">
        <f t="shared" si="154"/>
        <v>630.95734448019323</v>
      </c>
      <c r="P198" s="34" t="str">
        <f t="shared" si="122"/>
        <v>324,571428571429</v>
      </c>
      <c r="Q198" s="4" t="str">
        <f t="shared" si="123"/>
        <v>1+90,6153580867429i</v>
      </c>
      <c r="R198" s="4">
        <f t="shared" si="131"/>
        <v>90.620875747195498</v>
      </c>
      <c r="S198" s="4">
        <f t="shared" si="132"/>
        <v>1.5597611178762503</v>
      </c>
      <c r="T198" s="4" t="str">
        <f t="shared" si="124"/>
        <v>1+0,000792884383259i</v>
      </c>
      <c r="U198" s="4">
        <f t="shared" si="133"/>
        <v>1.0000003143327734</v>
      </c>
      <c r="V198" s="4">
        <f t="shared" si="134"/>
        <v>7.9288421710600526E-4</v>
      </c>
      <c r="W198" t="str">
        <f t="shared" si="125"/>
        <v>1-0,00688267693801215i</v>
      </c>
      <c r="X198" s="4">
        <f t="shared" si="135"/>
        <v>1.0000236853404187</v>
      </c>
      <c r="Y198" s="4">
        <f t="shared" si="136"/>
        <v>-6.882568260783142E-3</v>
      </c>
      <c r="Z198" t="str">
        <f t="shared" si="126"/>
        <v>0,999998407571318+0,00590120720665161i</v>
      </c>
      <c r="AA198" s="4">
        <f t="shared" si="137"/>
        <v>1.0000158195707045</v>
      </c>
      <c r="AB198" s="4">
        <f t="shared" si="138"/>
        <v>5.9011481033240942E-3</v>
      </c>
      <c r="AC198" s="48" t="str">
        <f t="shared" si="139"/>
        <v>-0,00342272664885578-3,58166849172573i</v>
      </c>
      <c r="AD198" s="20">
        <f t="shared" si="140"/>
        <v>11.081711694146641</v>
      </c>
      <c r="AE198" s="44">
        <f t="shared" si="141"/>
        <v>-90.054753177789394</v>
      </c>
      <c r="AF198" t="str">
        <f t="shared" si="127"/>
        <v>-0,0000125211169631323</v>
      </c>
      <c r="AG198" t="str">
        <f t="shared" si="128"/>
        <v>0,0000191600511214537i</v>
      </c>
      <c r="AH198">
        <f t="shared" si="142"/>
        <v>1.9160051121453699E-5</v>
      </c>
      <c r="AI198">
        <f t="shared" si="143"/>
        <v>1.5707963267948966</v>
      </c>
      <c r="AJ198" t="str">
        <f t="shared" si="129"/>
        <v>1+0,0306641021816069i</v>
      </c>
      <c r="AK198">
        <f t="shared" si="144"/>
        <v>1.000470033115737</v>
      </c>
      <c r="AL198">
        <f t="shared" si="145"/>
        <v>3.0654496579694608E-2</v>
      </c>
      <c r="AM198" t="str">
        <f t="shared" si="130"/>
        <v>1+4,49089714677898i</v>
      </c>
      <c r="AN198">
        <f t="shared" si="146"/>
        <v>4.6008865648859008</v>
      </c>
      <c r="AO198">
        <f t="shared" si="147"/>
        <v>1.3516981840369477</v>
      </c>
      <c r="AP198" s="42" t="str">
        <f t="shared" si="148"/>
        <v>-2,91202963394863+0,742796003645812i</v>
      </c>
      <c r="AQ198">
        <f t="shared" si="149"/>
        <v>9.5576769988802255</v>
      </c>
      <c r="AR198" s="44">
        <f t="shared" si="150"/>
        <v>165.69022784370003</v>
      </c>
      <c r="AS198" s="42" t="str">
        <f t="shared" si="151"/>
        <v>2,67041612346837+10,4273823992091i</v>
      </c>
      <c r="AT198" s="20">
        <f t="shared" si="152"/>
        <v>20.639388693026884</v>
      </c>
      <c r="AU198" s="44">
        <f t="shared" si="153"/>
        <v>75.635474665910635</v>
      </c>
    </row>
    <row r="199" spans="14:47" x14ac:dyDescent="0.3">
      <c r="N199" s="8">
        <v>81</v>
      </c>
      <c r="O199" s="35">
        <f t="shared" si="154"/>
        <v>645.65422903465594</v>
      </c>
      <c r="P199" s="34" t="str">
        <f t="shared" si="122"/>
        <v>324,571428571429</v>
      </c>
      <c r="Q199" s="4" t="str">
        <f t="shared" si="123"/>
        <v>1+92,7260609231751i</v>
      </c>
      <c r="R199" s="4">
        <f t="shared" si="131"/>
        <v>92.731452993730116</v>
      </c>
      <c r="S199" s="4">
        <f t="shared" si="132"/>
        <v>1.5600122901972513</v>
      </c>
      <c r="T199" s="4" t="str">
        <f t="shared" si="124"/>
        <v>1+0,000811353033077782i</v>
      </c>
      <c r="U199" s="4">
        <f t="shared" si="133"/>
        <v>1.000000329146818</v>
      </c>
      <c r="V199" s="4">
        <f t="shared" si="134"/>
        <v>8.113528550416436E-4</v>
      </c>
      <c r="W199" t="str">
        <f t="shared" si="125"/>
        <v>1-0,00704299507880019i</v>
      </c>
      <c r="X199" s="4">
        <f t="shared" si="135"/>
        <v>1.0000248015822808</v>
      </c>
      <c r="Y199" s="4">
        <f t="shared" si="136"/>
        <v>-7.0428786292072495E-3</v>
      </c>
      <c r="Z199" t="str">
        <f t="shared" si="126"/>
        <v>0,999998332522466+0,00603866398056328i</v>
      </c>
      <c r="AA199" s="4">
        <f t="shared" si="137"/>
        <v>1.0000165651179895</v>
      </c>
      <c r="AB199" s="4">
        <f t="shared" si="138"/>
        <v>6.0386006502633535E-3</v>
      </c>
      <c r="AC199" s="48" t="str">
        <f t="shared" si="139"/>
        <v>-0,00520153881389764-3,50014843720405i</v>
      </c>
      <c r="AD199" s="20">
        <f t="shared" si="140"/>
        <v>10.881738844479909</v>
      </c>
      <c r="AE199" s="44">
        <f t="shared" si="141"/>
        <v>-90.08514667505203</v>
      </c>
      <c r="AF199" t="str">
        <f t="shared" si="127"/>
        <v>-0,0000125211169631323</v>
      </c>
      <c r="AG199" t="str">
        <f t="shared" si="128"/>
        <v>0,0000196063460443246i</v>
      </c>
      <c r="AH199">
        <f t="shared" si="142"/>
        <v>1.9606346044324599E-5</v>
      </c>
      <c r="AI199">
        <f t="shared" si="143"/>
        <v>1.5707963267948966</v>
      </c>
      <c r="AJ199" t="str">
        <f t="shared" si="129"/>
        <v>1+0,0313783608770193i</v>
      </c>
      <c r="AK199">
        <f t="shared" si="144"/>
        <v>1.0004921796452626</v>
      </c>
      <c r="AL199">
        <f t="shared" si="145"/>
        <v>3.1368068562575895E-2</v>
      </c>
      <c r="AM199" t="str">
        <f t="shared" si="130"/>
        <v>1+4,59550357935256i</v>
      </c>
      <c r="AN199">
        <f t="shared" si="146"/>
        <v>4.7030472193932082</v>
      </c>
      <c r="AO199">
        <f t="shared" si="147"/>
        <v>1.3565325466001235</v>
      </c>
      <c r="AP199" s="42" t="str">
        <f t="shared" si="148"/>
        <v>-2,91190071612638+0,729996396813394i</v>
      </c>
      <c r="AQ199">
        <f t="shared" si="149"/>
        <v>9.5482409953945471</v>
      </c>
      <c r="AR199" s="44">
        <f t="shared" si="150"/>
        <v>165.92633175220817</v>
      </c>
      <c r="AS199" s="42" t="str">
        <f t="shared" si="151"/>
        <v>2,57024211206814+10,1882876362511i</v>
      </c>
      <c r="AT199" s="20">
        <f t="shared" si="152"/>
        <v>20.429979839874477</v>
      </c>
      <c r="AU199" s="44">
        <f t="shared" si="153"/>
        <v>75.841185077156155</v>
      </c>
    </row>
    <row r="200" spans="14:47" x14ac:dyDescent="0.3">
      <c r="N200" s="8">
        <v>82</v>
      </c>
      <c r="O200" s="35">
        <f t="shared" si="154"/>
        <v>660.69344800759643</v>
      </c>
      <c r="P200" s="34" t="str">
        <f t="shared" si="122"/>
        <v>324,571428571429</v>
      </c>
      <c r="Q200" s="4" t="str">
        <f t="shared" si="123"/>
        <v>1+94,8859283444834i</v>
      </c>
      <c r="R200" s="4">
        <f t="shared" si="131"/>
        <v>94.89119768342286</v>
      </c>
      <c r="S200" s="4">
        <f t="shared" si="132"/>
        <v>1.5602577464530678</v>
      </c>
      <c r="T200" s="4" t="str">
        <f t="shared" si="124"/>
        <v>1+0,00083025187301423i</v>
      </c>
      <c r="U200" s="4">
        <f t="shared" si="133"/>
        <v>1.0000003446590269</v>
      </c>
      <c r="V200" s="4">
        <f t="shared" si="134"/>
        <v>8.3025168224507419E-4</v>
      </c>
      <c r="W200" t="str">
        <f t="shared" si="125"/>
        <v>1-0,00720704750880408i</v>
      </c>
      <c r="X200" s="4">
        <f t="shared" si="135"/>
        <v>1.0000259704296655</v>
      </c>
      <c r="Y200" s="4">
        <f t="shared" si="136"/>
        <v>-7.2069227309921689E-3</v>
      </c>
      <c r="Z200" t="str">
        <f t="shared" si="126"/>
        <v>0,999998253936671+0,00617932253404861i</v>
      </c>
      <c r="AA200" s="4">
        <f t="shared" si="137"/>
        <v>1.0000173458012469</v>
      </c>
      <c r="AB200" s="4">
        <f t="shared" si="138"/>
        <v>6.1792546744730333E-3</v>
      </c>
      <c r="AC200" s="48" t="str">
        <f t="shared" si="139"/>
        <v>-0,00690030389509433-3,42048248062072i</v>
      </c>
      <c r="AD200" s="20">
        <f t="shared" si="140"/>
        <v>10.681765081459639</v>
      </c>
      <c r="AE200" s="44">
        <f t="shared" si="141"/>
        <v>-90.115585376173925</v>
      </c>
      <c r="AF200" t="str">
        <f t="shared" si="127"/>
        <v>-0,0000125211169631323</v>
      </c>
      <c r="AG200" t="str">
        <f t="shared" si="128"/>
        <v>0,0000200630365113889i</v>
      </c>
      <c r="AH200">
        <f t="shared" si="142"/>
        <v>2.0063036511388901E-5</v>
      </c>
      <c r="AI200">
        <f t="shared" si="143"/>
        <v>1.5707963267948966</v>
      </c>
      <c r="AJ200" t="str">
        <f t="shared" si="129"/>
        <v>1+0,0321092567947105i</v>
      </c>
      <c r="AK200">
        <f t="shared" si="144"/>
        <v>1.0005153693831537</v>
      </c>
      <c r="AL200">
        <f t="shared" si="145"/>
        <v>3.2098228687878212E-2</v>
      </c>
      <c r="AM200" t="str">
        <f t="shared" si="130"/>
        <v>1+4,7025466087526i</v>
      </c>
      <c r="AN200">
        <f t="shared" si="146"/>
        <v>4.8076963930234387</v>
      </c>
      <c r="AO200">
        <f t="shared" si="147"/>
        <v>1.3612667143270032</v>
      </c>
      <c r="AP200" s="42" t="str">
        <f t="shared" si="148"/>
        <v>-2,91176573482796+0,717583462733311i</v>
      </c>
      <c r="AQ200">
        <f t="shared" si="149"/>
        <v>9.5391935717107277</v>
      </c>
      <c r="AR200" s="44">
        <f t="shared" si="150"/>
        <v>166.15574448891681</v>
      </c>
      <c r="AS200" s="42" t="str">
        <f t="shared" si="151"/>
        <v>2,47457373110408+9,9546921396878i</v>
      </c>
      <c r="AT200" s="20">
        <f t="shared" si="152"/>
        <v>20.220958653170371</v>
      </c>
      <c r="AU200" s="44">
        <f t="shared" si="153"/>
        <v>76.04015911274287</v>
      </c>
    </row>
    <row r="201" spans="14:47" x14ac:dyDescent="0.3">
      <c r="N201" s="8">
        <v>83</v>
      </c>
      <c r="O201" s="35">
        <f t="shared" si="154"/>
        <v>676.08297539198213</v>
      </c>
      <c r="P201" s="34" t="str">
        <f t="shared" si="122"/>
        <v>324,571428571429</v>
      </c>
      <c r="Q201" s="4" t="str">
        <f t="shared" si="123"/>
        <v>1+97,0961055409637i</v>
      </c>
      <c r="R201" s="4">
        <f t="shared" si="131"/>
        <v>97.101254941540091</v>
      </c>
      <c r="S201" s="4">
        <f t="shared" si="132"/>
        <v>1.5604976166694797</v>
      </c>
      <c r="T201" s="4" t="str">
        <f t="shared" si="124"/>
        <v>1+0,000849590923483432i</v>
      </c>
      <c r="U201" s="4">
        <f t="shared" si="133"/>
        <v>1.0000003609023036</v>
      </c>
      <c r="V201" s="4">
        <f t="shared" si="134"/>
        <v>8.4959071907060276E-4</v>
      </c>
      <c r="W201" t="str">
        <f t="shared" si="125"/>
        <v>1-0,00737492121079368i</v>
      </c>
      <c r="X201" s="4">
        <f t="shared" si="135"/>
        <v>1.0000271943616661</v>
      </c>
      <c r="Y201" s="4">
        <f t="shared" si="136"/>
        <v>-7.3747875091557192E-3</v>
      </c>
      <c r="Z201" t="str">
        <f t="shared" si="126"/>
        <v>0,999998171647242+0,0063232574461345i</v>
      </c>
      <c r="AA201" s="4">
        <f t="shared" si="137"/>
        <v>1.0000181632763263</v>
      </c>
      <c r="AB201" s="4">
        <f t="shared" si="138"/>
        <v>6.3231847333603576E-3</v>
      </c>
      <c r="AC201" s="48" t="str">
        <f t="shared" si="139"/>
        <v>-0,00852262274179859-3,34262849728628i</v>
      </c>
      <c r="AD201" s="20">
        <f t="shared" si="140"/>
        <v>10.481790460719733</v>
      </c>
      <c r="AE201" s="44">
        <f t="shared" si="141"/>
        <v>-90.146085410252255</v>
      </c>
      <c r="AF201" t="str">
        <f t="shared" si="127"/>
        <v>-0,0000125211169631323</v>
      </c>
      <c r="AG201" t="str">
        <f t="shared" si="128"/>
        <v>0,0000205303646659771i</v>
      </c>
      <c r="AH201">
        <f t="shared" si="142"/>
        <v>2.0530364665977101E-5</v>
      </c>
      <c r="AI201">
        <f t="shared" si="143"/>
        <v>1.5707963267948966</v>
      </c>
      <c r="AJ201" t="str">
        <f t="shared" si="129"/>
        <v>1+0,0328571774653704i</v>
      </c>
      <c r="AK201">
        <f t="shared" si="144"/>
        <v>1.0005396514436551</v>
      </c>
      <c r="AL201">
        <f t="shared" si="145"/>
        <v>3.2845360980199412E-2</v>
      </c>
      <c r="AM201" t="str">
        <f t="shared" si="130"/>
        <v>1+4,81208299061016i</v>
      </c>
      <c r="AN201">
        <f t="shared" si="146"/>
        <v>4.9148898979040849</v>
      </c>
      <c r="AO201">
        <f t="shared" si="147"/>
        <v>1.3659023481131554</v>
      </c>
      <c r="AP201" s="42" t="str">
        <f t="shared" si="148"/>
        <v>-2,91162440546899+0,705550592711577i</v>
      </c>
      <c r="AQ201">
        <f t="shared" si="149"/>
        <v>9.5305179565286924</v>
      </c>
      <c r="AR201" s="44">
        <f t="shared" si="150"/>
        <v>166.37853921314365</v>
      </c>
      <c r="AS201" s="42" t="str">
        <f t="shared" si="151"/>
        <v>2,38320819384857+9,72646556958794i</v>
      </c>
      <c r="AT201" s="20">
        <f t="shared" si="152"/>
        <v>20.012308417248427</v>
      </c>
      <c r="AU201" s="44">
        <f t="shared" si="153"/>
        <v>76.232453802891399</v>
      </c>
    </row>
    <row r="202" spans="14:47" x14ac:dyDescent="0.3">
      <c r="N202" s="8">
        <v>84</v>
      </c>
      <c r="O202" s="35">
        <f t="shared" si="154"/>
        <v>691.83097091893671</v>
      </c>
      <c r="P202" s="34" t="str">
        <f t="shared" si="122"/>
        <v>324,571428571429</v>
      </c>
      <c r="Q202" s="4" t="str">
        <f t="shared" si="123"/>
        <v>1+99,3577643778206i</v>
      </c>
      <c r="R202" s="4">
        <f t="shared" si="131"/>
        <v>99.362796569734869</v>
      </c>
      <c r="S202" s="4">
        <f t="shared" si="132"/>
        <v>1.5607320279183752</v>
      </c>
      <c r="T202" s="4" t="str">
        <f t="shared" si="124"/>
        <v>1+0,00086938043830593i</v>
      </c>
      <c r="U202" s="4">
        <f t="shared" si="133"/>
        <v>1.0000003779111017</v>
      </c>
      <c r="V202" s="4">
        <f t="shared" si="134"/>
        <v>8.6938021927364167E-4</v>
      </c>
      <c r="W202" t="str">
        <f t="shared" si="125"/>
        <v>1-0,00754670519362786i</v>
      </c>
      <c r="X202" s="4">
        <f t="shared" si="135"/>
        <v>1.0000284759741993</v>
      </c>
      <c r="Y202" s="4">
        <f t="shared" si="136"/>
        <v>-7.5465619299619697E-3</v>
      </c>
      <c r="Z202" t="str">
        <f t="shared" si="126"/>
        <v>0,999998085479631+0,00647054503301652i</v>
      </c>
      <c r="AA202" s="4">
        <f t="shared" si="137"/>
        <v>1.0000190192771095</v>
      </c>
      <c r="AB202" s="4">
        <f t="shared" si="138"/>
        <v>6.4704671199551098E-3</v>
      </c>
      <c r="AC202" s="48" t="str">
        <f t="shared" si="139"/>
        <v>-0,0100719342669878-3,26654531555376i</v>
      </c>
      <c r="AD202" s="20">
        <f t="shared" si="140"/>
        <v>10.281815036076019</v>
      </c>
      <c r="AE202" s="44">
        <f t="shared" si="141"/>
        <v>-90.176662939133053</v>
      </c>
      <c r="AF202" t="str">
        <f t="shared" si="127"/>
        <v>-0,0000125211169631323</v>
      </c>
      <c r="AG202" t="str">
        <f t="shared" si="128"/>
        <v>0,0000210085782916628i</v>
      </c>
      <c r="AH202">
        <f t="shared" si="142"/>
        <v>2.1008578291662799E-5</v>
      </c>
      <c r="AI202">
        <f t="shared" si="143"/>
        <v>1.5707963267948966</v>
      </c>
      <c r="AJ202" t="str">
        <f t="shared" si="129"/>
        <v>1+0,0336225194464387i</v>
      </c>
      <c r="AK202">
        <f t="shared" si="144"/>
        <v>1.0005650772508135</v>
      </c>
      <c r="AL202">
        <f t="shared" si="145"/>
        <v>3.3609858240629308E-2</v>
      </c>
      <c r="AM202" t="str">
        <f t="shared" si="130"/>
        <v>1+4,92417080256479i</v>
      </c>
      <c r="AN202">
        <f t="shared" si="146"/>
        <v>5.024684874977889</v>
      </c>
      <c r="AO202">
        <f t="shared" si="147"/>
        <v>1.3704411085360284</v>
      </c>
      <c r="AP202" s="42" t="str">
        <f t="shared" si="148"/>
        <v>-2,91147643016638+0,693891377631353i</v>
      </c>
      <c r="AQ202">
        <f t="shared" si="149"/>
        <v>9.5221979662716318</v>
      </c>
      <c r="AR202" s="44">
        <f t="shared" si="150"/>
        <v>166.59478856312336</v>
      </c>
      <c r="AS202" s="42" t="str">
        <f t="shared" si="151"/>
        <v>2,29595182832936+9,50348086596124i</v>
      </c>
      <c r="AT202" s="20">
        <f t="shared" si="152"/>
        <v>19.804013002347652</v>
      </c>
      <c r="AU202" s="44">
        <f t="shared" si="153"/>
        <v>76.418125623990306</v>
      </c>
    </row>
    <row r="203" spans="14:47" x14ac:dyDescent="0.3">
      <c r="N203" s="8">
        <v>85</v>
      </c>
      <c r="O203" s="35">
        <f t="shared" si="154"/>
        <v>707.94578438413873</v>
      </c>
      <c r="P203" s="34" t="str">
        <f t="shared" si="122"/>
        <v>324,571428571429</v>
      </c>
      <c r="Q203" s="4" t="str">
        <f t="shared" si="123"/>
        <v>1+101,672104016506i</v>
      </c>
      <c r="R203" s="4">
        <f t="shared" si="131"/>
        <v>101.67702166735222</v>
      </c>
      <c r="S203" s="4">
        <f t="shared" si="132"/>
        <v>1.560961104384597</v>
      </c>
      <c r="T203" s="4" t="str">
        <f t="shared" si="124"/>
        <v>1+0,00088963091014443i</v>
      </c>
      <c r="U203" s="4">
        <f t="shared" si="133"/>
        <v>1.0000003957214998</v>
      </c>
      <c r="V203" s="4">
        <f t="shared" si="134"/>
        <v>8.8963067544710957E-4</v>
      </c>
      <c r="W203" t="str">
        <f t="shared" si="125"/>
        <v>1-0,00772249053944818i</v>
      </c>
      <c r="X203" s="4">
        <f t="shared" si="135"/>
        <v>1.0000298179855098</v>
      </c>
      <c r="Y203" s="4">
        <f t="shared" si="136"/>
        <v>-7.7223370299116479E-3</v>
      </c>
      <c r="Z203" t="str">
        <f t="shared" si="126"/>
        <v>0,999997995251065+0,00662126338852286i</v>
      </c>
      <c r="AA203" s="4">
        <f t="shared" si="137"/>
        <v>1.0000199156191887</v>
      </c>
      <c r="AB203" s="4">
        <f t="shared" si="138"/>
        <v>6.6211799032629901E-3</v>
      </c>
      <c r="AC203" s="48" t="str">
        <f t="shared" si="139"/>
        <v>-0,0115515227226299-3,1921926955019i</v>
      </c>
      <c r="AD203" s="20">
        <f t="shared" si="140"/>
        <v>10.081838859640264</v>
      </c>
      <c r="AE203" s="44">
        <f t="shared" si="141"/>
        <v>-90.207334165934185</v>
      </c>
      <c r="AF203" t="str">
        <f t="shared" si="127"/>
        <v>-0,0000125211169631323</v>
      </c>
      <c r="AG203" t="str">
        <f t="shared" si="128"/>
        <v>0,0000214979309436401i</v>
      </c>
      <c r="AH203">
        <f t="shared" si="142"/>
        <v>2.1497930943640099E-5</v>
      </c>
      <c r="AI203">
        <f t="shared" si="143"/>
        <v>1.5707963267948966</v>
      </c>
      <c r="AJ203" t="str">
        <f t="shared" si="129"/>
        <v>1+0,0344056885323641i</v>
      </c>
      <c r="AK203">
        <f t="shared" si="144"/>
        <v>1.0005917006468652</v>
      </c>
      <c r="AL203">
        <f t="shared" si="145"/>
        <v>3.4392122239170958E-2</v>
      </c>
      <c r="AM203" t="str">
        <f t="shared" si="130"/>
        <v>1+5,03886947505805i</v>
      </c>
      <c r="AN203">
        <f t="shared" si="146"/>
        <v>5.1371398254935388</v>
      </c>
      <c r="AO203">
        <f t="shared" si="147"/>
        <v>1.3748846537535704</v>
      </c>
      <c r="AP203" s="42" t="str">
        <f t="shared" si="148"/>
        <v>-2,91132149712262+0,68259960441702i</v>
      </c>
      <c r="AQ203">
        <f t="shared" si="149"/>
        <v>9.5142179870242121</v>
      </c>
      <c r="AR203" s="44">
        <f t="shared" si="150"/>
        <v>166.80456452458256</v>
      </c>
      <c r="AS203" s="42" t="str">
        <f t="shared" si="151"/>
        <v>2,21261966759939+9,2856141525316i</v>
      </c>
      <c r="AT203" s="20">
        <f t="shared" si="152"/>
        <v>19.596056846664474</v>
      </c>
      <c r="AU203" s="44">
        <f t="shared" si="153"/>
        <v>76.59723035864836</v>
      </c>
    </row>
    <row r="204" spans="14:47" x14ac:dyDescent="0.3">
      <c r="N204" s="8">
        <v>86</v>
      </c>
      <c r="O204" s="35">
        <f t="shared" si="154"/>
        <v>724.43596007499025</v>
      </c>
      <c r="P204" s="34" t="str">
        <f t="shared" si="122"/>
        <v>324,571428571429</v>
      </c>
      <c r="Q204" s="4" t="str">
        <f t="shared" si="123"/>
        <v>1+104,040351550531i</v>
      </c>
      <c r="R204" s="4">
        <f t="shared" si="131"/>
        <v>104.04515726720815</v>
      </c>
      <c r="S204" s="4">
        <f t="shared" si="132"/>
        <v>1.5611849674312968</v>
      </c>
      <c r="T204" s="4" t="str">
        <f t="shared" si="124"/>
        <v>1+0,000910353076067144i</v>
      </c>
      <c r="U204" s="4">
        <f t="shared" si="133"/>
        <v>1.0000004143712757</v>
      </c>
      <c r="V204" s="4">
        <f t="shared" si="134"/>
        <v>9.1035282458444002E-4</v>
      </c>
      <c r="W204" t="str">
        <f t="shared" si="125"/>
        <v>1-0,00790237045197173i</v>
      </c>
      <c r="X204" s="4">
        <f t="shared" si="135"/>
        <v>1.0000312232419346</v>
      </c>
      <c r="Y204" s="4">
        <f t="shared" si="136"/>
        <v>-7.9022059638171709E-3</v>
      </c>
      <c r="Z204" t="str">
        <f t="shared" si="126"/>
        <v>0,999997900770159+0,00677549242552056i</v>
      </c>
      <c r="AA204" s="4">
        <f t="shared" si="137"/>
        <v>1.0000208542037177</v>
      </c>
      <c r="AB204" s="4">
        <f t="shared" si="138"/>
        <v>6.775402969553387E-3</v>
      </c>
      <c r="AC204" s="48" t="str">
        <f t="shared" si="139"/>
        <v>-0,0129645246486675-3,11953130807814i</v>
      </c>
      <c r="AD204" s="20">
        <f t="shared" si="140"/>
        <v>9.8818619819304363</v>
      </c>
      <c r="AE204" s="44">
        <f t="shared" si="141"/>
        <v>-90.238115343591332</v>
      </c>
      <c r="AF204" t="str">
        <f t="shared" si="127"/>
        <v>-0,0000125211169631323</v>
      </c>
      <c r="AG204" t="str">
        <f t="shared" si="128"/>
        <v>0,0000219986820831625i</v>
      </c>
      <c r="AH204">
        <f t="shared" si="142"/>
        <v>2.1998682083162498E-5</v>
      </c>
      <c r="AI204">
        <f t="shared" si="143"/>
        <v>1.5707963267948966</v>
      </c>
      <c r="AJ204" t="str">
        <f t="shared" si="129"/>
        <v>1+0,0352070999697625i</v>
      </c>
      <c r="AK204">
        <f t="shared" si="144"/>
        <v>1.0006195780056879</v>
      </c>
      <c r="AL204">
        <f t="shared" si="145"/>
        <v>3.5192563910792535E-2</v>
      </c>
      <c r="AM204" t="str">
        <f t="shared" si="130"/>
        <v>1+5,1562398228443i</v>
      </c>
      <c r="AN204">
        <f t="shared" si="146"/>
        <v>5.2523146431535706</v>
      </c>
      <c r="AO204">
        <f t="shared" si="147"/>
        <v>1.3792346375526314</v>
      </c>
      <c r="AP204" s="42" t="str">
        <f t="shared" si="148"/>
        <v>-2,91115927998187+0,671669252592407i</v>
      </c>
      <c r="AQ204">
        <f t="shared" si="149"/>
        <v>9.5065629564229219</v>
      </c>
      <c r="AR204" s="44">
        <f t="shared" si="150"/>
        <v>167.00793830768876</v>
      </c>
      <c r="AS204" s="42" t="str">
        <f t="shared" si="151"/>
        <v>2,13303505837698+9,07274464412467i</v>
      </c>
      <c r="AT204" s="20">
        <f t="shared" si="152"/>
        <v>19.388424938353356</v>
      </c>
      <c r="AU204" s="44">
        <f t="shared" si="153"/>
        <v>76.769822964097429</v>
      </c>
    </row>
    <row r="205" spans="14:47" x14ac:dyDescent="0.3">
      <c r="N205" s="8">
        <v>87</v>
      </c>
      <c r="O205" s="35">
        <f t="shared" si="154"/>
        <v>741.31024130091828</v>
      </c>
      <c r="P205" s="34" t="str">
        <f t="shared" si="122"/>
        <v>324,571428571429</v>
      </c>
      <c r="Q205" s="4" t="str">
        <f t="shared" si="123"/>
        <v>1+106,463762656084i</v>
      </c>
      <c r="R205" s="4">
        <f t="shared" si="131"/>
        <v>106.46845898617575</v>
      </c>
      <c r="S205" s="4">
        <f t="shared" si="132"/>
        <v>1.5614037356638224</v>
      </c>
      <c r="T205" s="4" t="str">
        <f t="shared" si="124"/>
        <v>1+0,000931557923240736i</v>
      </c>
      <c r="U205" s="4">
        <f t="shared" si="133"/>
        <v>1.0000004338999882</v>
      </c>
      <c r="V205" s="4">
        <f t="shared" si="134"/>
        <v>9.3155765377217004E-4</v>
      </c>
      <c r="W205" t="str">
        <f t="shared" si="125"/>
        <v>1-0,00808644030590917i</v>
      </c>
      <c r="X205" s="4">
        <f t="shared" si="135"/>
        <v>1.000032694723938</v>
      </c>
      <c r="Y205" s="4">
        <f t="shared" si="136"/>
        <v>-8.0862640539872913E-3</v>
      </c>
      <c r="Z205" t="str">
        <f t="shared" si="126"/>
        <v>0,999997801836505+0,00693331391828651i</v>
      </c>
      <c r="AA205" s="4">
        <f t="shared" si="137"/>
        <v>1.000021837021438</v>
      </c>
      <c r="AB205" s="4">
        <f t="shared" si="138"/>
        <v>6.9332180646034577E-3</v>
      </c>
      <c r="AC205" s="48" t="str">
        <f t="shared" si="139"/>
        <v>-0,0143139355102095-3,04852271469283i</v>
      </c>
      <c r="AD205" s="20">
        <f t="shared" si="140"/>
        <v>9.6818844519781422</v>
      </c>
      <c r="AE205" s="44">
        <f t="shared" si="141"/>
        <v>-90.269022783430643</v>
      </c>
      <c r="AF205" t="str">
        <f t="shared" si="127"/>
        <v>-0,0000125211169631323</v>
      </c>
      <c r="AG205" t="str">
        <f t="shared" si="128"/>
        <v>0,0000225110972151124i</v>
      </c>
      <c r="AH205">
        <f t="shared" si="142"/>
        <v>2.25110972151124E-5</v>
      </c>
      <c r="AI205">
        <f t="shared" si="143"/>
        <v>1.5707963267948966</v>
      </c>
      <c r="AJ205" t="str">
        <f t="shared" si="129"/>
        <v>1+0,0360271786775859i</v>
      </c>
      <c r="AK205">
        <f t="shared" si="144"/>
        <v>1.0006487683515464</v>
      </c>
      <c r="AL205">
        <f t="shared" si="145"/>
        <v>3.6011603555131652E-2</v>
      </c>
      <c r="AM205" t="str">
        <f t="shared" si="130"/>
        <v>1+5,27634407723553i</v>
      </c>
      <c r="AN205">
        <f t="shared" si="146"/>
        <v>5.370270646939356</v>
      </c>
      <c r="AO205">
        <f t="shared" si="147"/>
        <v>1.3834927075406052</v>
      </c>
      <c r="AP205" s="42" t="str">
        <f t="shared" si="148"/>
        <v>-2,91098943715698+0,661094490930732i</v>
      </c>
      <c r="AQ205">
        <f t="shared" si="149"/>
        <v>9.4992183455514372</v>
      </c>
      <c r="AR205" s="44">
        <f t="shared" si="150"/>
        <v>167.20498023199644</v>
      </c>
      <c r="AS205" s="42" t="str">
        <f t="shared" si="151"/>
        <v>2,057029287235+8,86475455749461i</v>
      </c>
      <c r="AT205" s="20">
        <f t="shared" si="152"/>
        <v>19.181102797529576</v>
      </c>
      <c r="AU205" s="44">
        <f t="shared" si="153"/>
        <v>76.935957448565787</v>
      </c>
    </row>
    <row r="206" spans="14:47" x14ac:dyDescent="0.3">
      <c r="N206" s="8">
        <v>88</v>
      </c>
      <c r="O206" s="35">
        <f t="shared" si="154"/>
        <v>758.57757502918378</v>
      </c>
      <c r="P206" s="34" t="str">
        <f t="shared" si="122"/>
        <v>324,571428571429</v>
      </c>
      <c r="Q206" s="4" t="str">
        <f t="shared" si="123"/>
        <v>1+108,943622257812i</v>
      </c>
      <c r="R206" s="4">
        <f t="shared" si="131"/>
        <v>108.94821169093518</v>
      </c>
      <c r="S206" s="4">
        <f t="shared" si="132"/>
        <v>1.5616175249921775</v>
      </c>
      <c r="T206" s="4" t="str">
        <f t="shared" si="124"/>
        <v>1+0,000953256694755858i</v>
      </c>
      <c r="U206" s="4">
        <f t="shared" si="133"/>
        <v>1.0000004543490599</v>
      </c>
      <c r="V206" s="4">
        <f t="shared" si="134"/>
        <v>9.5325640601509447E-4</v>
      </c>
      <c r="W206" t="str">
        <f t="shared" si="125"/>
        <v>1-0,00827479769753349i</v>
      </c>
      <c r="X206" s="4">
        <f t="shared" si="135"/>
        <v>1.000034235552431</v>
      </c>
      <c r="Y206" s="4">
        <f t="shared" si="136"/>
        <v>-8.2746088405458006E-3</v>
      </c>
      <c r="Z206" t="str">
        <f t="shared" si="126"/>
        <v>0,999997698240251+0,00709481154586521i</v>
      </c>
      <c r="AA206" s="4">
        <f t="shared" si="137"/>
        <v>1.0000228661569053</v>
      </c>
      <c r="AB206" s="4">
        <f t="shared" si="138"/>
        <v>7.0947088369198441E-3</v>
      </c>
      <c r="AC206" s="48" t="str">
        <f t="shared" si="139"/>
        <v>-0,0156026160368798-2,97912934725547i</v>
      </c>
      <c r="AD206" s="20">
        <f t="shared" si="140"/>
        <v>9.4819063174320544</v>
      </c>
      <c r="AE206" s="44">
        <f t="shared" si="141"/>
        <v>-90.300072863773238</v>
      </c>
      <c r="AF206" t="str">
        <f t="shared" si="127"/>
        <v>-0,0000125211169631323</v>
      </c>
      <c r="AG206" t="str">
        <f t="shared" si="128"/>
        <v>0,0000230354480287753i</v>
      </c>
      <c r="AH206">
        <f t="shared" si="142"/>
        <v>2.3035448028775299E-5</v>
      </c>
      <c r="AI206">
        <f t="shared" si="143"/>
        <v>1.5707963267948966</v>
      </c>
      <c r="AJ206" t="str">
        <f t="shared" si="129"/>
        <v>1+0,0368663594724202i</v>
      </c>
      <c r="AK206">
        <f t="shared" si="144"/>
        <v>1.0006793334833841</v>
      </c>
      <c r="AL206">
        <f t="shared" si="145"/>
        <v>3.6849671039874243E-2</v>
      </c>
      <c r="AM206" t="str">
        <f t="shared" si="130"/>
        <v>1+5,39924591909718i</v>
      </c>
      <c r="AN206">
        <f t="shared" si="146"/>
        <v>5.4910706146331387</v>
      </c>
      <c r="AO206">
        <f t="shared" si="147"/>
        <v>1.3876605034737832</v>
      </c>
      <c r="AP206" s="42" t="str">
        <f t="shared" si="148"/>
        <v>-2,91081161112599+0,650869674193702i</v>
      </c>
      <c r="AQ206">
        <f t="shared" si="149"/>
        <v>9.4921701408866266</v>
      </c>
      <c r="AR206" s="44">
        <f t="shared" si="150"/>
        <v>167.39575961901647</v>
      </c>
      <c r="AS206" s="42" t="str">
        <f t="shared" si="151"/>
        <v>1,98444122355315+8,66152902542092i</v>
      </c>
      <c r="AT206" s="20">
        <f t="shared" si="152"/>
        <v>18.974076458318685</v>
      </c>
      <c r="AU206" s="44">
        <f t="shared" si="153"/>
        <v>77.09568675524325</v>
      </c>
    </row>
    <row r="207" spans="14:47" x14ac:dyDescent="0.3">
      <c r="N207" s="8">
        <v>89</v>
      </c>
      <c r="O207" s="35">
        <f t="shared" si="154"/>
        <v>776.24711662869231</v>
      </c>
      <c r="P207" s="34" t="str">
        <f t="shared" si="122"/>
        <v>324,571428571429</v>
      </c>
      <c r="Q207" s="4" t="str">
        <f t="shared" si="123"/>
        <v>1+111,481245210101i</v>
      </c>
      <c r="R207" s="4">
        <f t="shared" si="131"/>
        <v>111.48573017922367</v>
      </c>
      <c r="S207" s="4">
        <f t="shared" si="132"/>
        <v>1.5618264486920777</v>
      </c>
      <c r="T207" s="4" t="str">
        <f t="shared" si="124"/>
        <v>1+0,000975460895588384i</v>
      </c>
      <c r="U207" s="4">
        <f t="shared" si="133"/>
        <v>1.0000004757618661</v>
      </c>
      <c r="V207" s="4">
        <f t="shared" si="134"/>
        <v>9.7546058619708961E-4</v>
      </c>
      <c r="W207" t="str">
        <f t="shared" si="125"/>
        <v>1-0,00846754249642694i</v>
      </c>
      <c r="X207" s="4">
        <f t="shared" si="135"/>
        <v>1.0000358489953891</v>
      </c>
      <c r="Y207" s="4">
        <f t="shared" si="136"/>
        <v>-8.4673401329104954E-3</v>
      </c>
      <c r="Z207" t="str">
        <f t="shared" si="126"/>
        <v>0,999997589761656+0,00726007093643646i</v>
      </c>
      <c r="AA207" s="4">
        <f t="shared" si="137"/>
        <v>1.000023943792909</v>
      </c>
      <c r="AB207" s="4">
        <f t="shared" si="138"/>
        <v>7.2599608819606176E-3</v>
      </c>
      <c r="AC207" s="48" t="str">
        <f t="shared" si="139"/>
        <v>-0,0168332982776392-2,91131448864487i</v>
      </c>
      <c r="AD207" s="20">
        <f t="shared" si="140"/>
        <v>9.2819276246589162</v>
      </c>
      <c r="AE207" s="44">
        <f t="shared" si="141"/>
        <v>-90.331282038575139</v>
      </c>
      <c r="AF207" t="str">
        <f t="shared" si="127"/>
        <v>-0,0000125211169631323</v>
      </c>
      <c r="AG207" t="str">
        <f t="shared" si="128"/>
        <v>0,0000235720125418933i</v>
      </c>
      <c r="AH207">
        <f t="shared" si="142"/>
        <v>2.3572012541893299E-5</v>
      </c>
      <c r="AI207">
        <f t="shared" si="143"/>
        <v>1.5707963267948966</v>
      </c>
      <c r="AJ207" t="str">
        <f t="shared" si="129"/>
        <v>1+0,0377250872990308i</v>
      </c>
      <c r="AK207">
        <f t="shared" si="144"/>
        <v>1.00071133810491</v>
      </c>
      <c r="AL207">
        <f t="shared" si="145"/>
        <v>3.7707206007823936E-2</v>
      </c>
      <c r="AM207" t="str">
        <f t="shared" si="130"/>
        <v>1+5,52501051261261i</v>
      </c>
      <c r="AN207">
        <f t="shared" si="146"/>
        <v>5.6147788170576991</v>
      </c>
      <c r="AO207">
        <f t="shared" si="147"/>
        <v>1.3917396557159865</v>
      </c>
      <c r="AP207" s="42" t="str">
        <f t="shared" si="148"/>
        <v>-2,91062542769687+0,640989339957283i</v>
      </c>
      <c r="AQ207">
        <f t="shared" si="149"/>
        <v>9.4854048263365023</v>
      </c>
      <c r="AR207" s="44">
        <f t="shared" si="150"/>
        <v>167.58034469203761</v>
      </c>
      <c r="AS207" s="42" t="str">
        <f t="shared" si="151"/>
        <v>1,91511697848345+8,46295601391978i</v>
      </c>
      <c r="AT207" s="20">
        <f t="shared" si="152"/>
        <v>18.767332450995418</v>
      </c>
      <c r="AU207" s="44">
        <f t="shared" si="153"/>
        <v>77.249062653462474</v>
      </c>
    </row>
    <row r="208" spans="14:47" x14ac:dyDescent="0.3">
      <c r="N208" s="8">
        <v>90</v>
      </c>
      <c r="O208" s="35">
        <f t="shared" si="154"/>
        <v>794.32823472428208</v>
      </c>
      <c r="P208" s="34" t="str">
        <f t="shared" si="122"/>
        <v>324,571428571429</v>
      </c>
      <c r="Q208" s="4" t="str">
        <f t="shared" si="123"/>
        <v>1+114,077976994229i</v>
      </c>
      <c r="R208" s="4">
        <f t="shared" si="131"/>
        <v>114.08235987695838</v>
      </c>
      <c r="S208" s="4">
        <f t="shared" si="132"/>
        <v>1.562030617464637</v>
      </c>
      <c r="T208" s="4" t="str">
        <f t="shared" si="124"/>
        <v>1+0,000998182298699502i</v>
      </c>
      <c r="U208" s="4">
        <f t="shared" si="133"/>
        <v>1.0000004981838266</v>
      </c>
      <c r="V208" s="4">
        <f t="shared" si="134"/>
        <v>9.9818196718076614E-4</v>
      </c>
      <c r="W208" t="str">
        <f t="shared" si="125"/>
        <v>1-0,00866477689843318i</v>
      </c>
      <c r="X208" s="4">
        <f t="shared" si="135"/>
        <v>1.0000375384747813</v>
      </c>
      <c r="Y208" s="4">
        <f t="shared" si="136"/>
        <v>-8.6645600624582313E-3</v>
      </c>
      <c r="Z208" t="str">
        <f t="shared" si="126"/>
        <v>0,999997476170622+0,0074291797127166i</v>
      </c>
      <c r="AA208" s="4">
        <f t="shared" si="137"/>
        <v>1.0000250722151007</v>
      </c>
      <c r="AB208" s="4">
        <f t="shared" si="138"/>
        <v>7.4290617873803647E-3</v>
      </c>
      <c r="AC208" s="48" t="str">
        <f t="shared" si="139"/>
        <v>-0,0180085913838209-2,84504225360473i</v>
      </c>
      <c r="AD208" s="20">
        <f t="shared" si="140"/>
        <v>9.0819484188423818</v>
      </c>
      <c r="AE208" s="44">
        <f t="shared" si="141"/>
        <v>-90.36266684610743</v>
      </c>
      <c r="AF208" t="str">
        <f t="shared" si="127"/>
        <v>-0,0000125211169631323</v>
      </c>
      <c r="AG208" t="str">
        <f t="shared" si="128"/>
        <v>0,0000241210752480734i</v>
      </c>
      <c r="AH208">
        <f t="shared" si="142"/>
        <v>2.4121075248073399E-5</v>
      </c>
      <c r="AI208">
        <f t="shared" si="143"/>
        <v>1.5707963267948966</v>
      </c>
      <c r="AJ208" t="str">
        <f t="shared" si="129"/>
        <v>1+0,038603817466278i</v>
      </c>
      <c r="AK208">
        <f t="shared" si="144"/>
        <v>1.000744849960753</v>
      </c>
      <c r="AL208">
        <f t="shared" si="145"/>
        <v>3.8584658087673897E-2</v>
      </c>
      <c r="AM208" t="str">
        <f t="shared" si="130"/>
        <v>1+5,65370453983398i</v>
      </c>
      <c r="AN208">
        <f t="shared" si="146"/>
        <v>5.7414610530542962</v>
      </c>
      <c r="AO208">
        <f t="shared" si="147"/>
        <v>1.395731783821111</v>
      </c>
      <c r="AP208" s="42" t="str">
        <f t="shared" si="148"/>
        <v>-2,91043049523915+0,631448205521616i</v>
      </c>
      <c r="AQ208">
        <f t="shared" si="149"/>
        <v>9.4789093654061816</v>
      </c>
      <c r="AR208" s="44">
        <f t="shared" si="150"/>
        <v>167.75880248283644</v>
      </c>
      <c r="AS208" s="42" t="str">
        <f t="shared" si="151"/>
        <v>1,84890957921165+8,26892624242184i</v>
      </c>
      <c r="AT208" s="20">
        <f t="shared" si="152"/>
        <v>18.560857784248562</v>
      </c>
      <c r="AU208" s="44">
        <f t="shared" si="153"/>
        <v>77.396135636729056</v>
      </c>
    </row>
    <row r="209" spans="14:47" x14ac:dyDescent="0.3">
      <c r="N209" s="8">
        <v>91</v>
      </c>
      <c r="O209" s="35">
        <f t="shared" si="154"/>
        <v>812.83051616409978</v>
      </c>
      <c r="P209" s="34" t="str">
        <f t="shared" si="122"/>
        <v>324,571428571429</v>
      </c>
      <c r="Q209" s="4" t="str">
        <f t="shared" si="123"/>
        <v>1+116,735194431759i</v>
      </c>
      <c r="R209" s="4">
        <f t="shared" si="131"/>
        <v>116.73947755160026</v>
      </c>
      <c r="S209" s="4">
        <f t="shared" si="132"/>
        <v>1.5622301394947165</v>
      </c>
      <c r="T209" s="4" t="str">
        <f t="shared" si="124"/>
        <v>1+0,00102143295127789i</v>
      </c>
      <c r="U209" s="4">
        <f t="shared" si="133"/>
        <v>1.000000521662501</v>
      </c>
      <c r="V209" s="4">
        <f t="shared" si="134"/>
        <v>1.0214325960491745E-3</v>
      </c>
      <c r="W209" t="str">
        <f t="shared" si="125"/>
        <v>1-0,00886660547984283i</v>
      </c>
      <c r="X209" s="4">
        <f t="shared" si="135"/>
        <v>1.000039307573825</v>
      </c>
      <c r="Y209" s="4">
        <f t="shared" si="136"/>
        <v>-8.8663731364028373E-3</v>
      </c>
      <c r="Z209" t="str">
        <f t="shared" si="126"/>
        <v>0,999997357226208+0,00760222753841724i</v>
      </c>
      <c r="AA209" s="4">
        <f t="shared" si="137"/>
        <v>1.0000262538168416</v>
      </c>
      <c r="AB209" s="4">
        <f t="shared" si="138"/>
        <v>7.6021011793215723E-3</v>
      </c>
      <c r="AC209" s="48" t="str">
        <f t="shared" si="139"/>
        <v>-0,0191309871325365-2,78027757005556i</v>
      </c>
      <c r="AD209" s="20">
        <f t="shared" si="140"/>
        <v>8.8819687440778576</v>
      </c>
      <c r="AE209" s="44">
        <f t="shared" si="141"/>
        <v>-90.39424391768101</v>
      </c>
      <c r="AF209" t="str">
        <f t="shared" si="127"/>
        <v>-0,0000125211169631323</v>
      </c>
      <c r="AG209" t="str">
        <f t="shared" si="128"/>
        <v>0,0000246829272676303i</v>
      </c>
      <c r="AH209">
        <f t="shared" si="142"/>
        <v>2.46829272676303E-5</v>
      </c>
      <c r="AI209">
        <f t="shared" si="143"/>
        <v>1.5707963267948966</v>
      </c>
      <c r="AJ209" t="str">
        <f t="shared" si="129"/>
        <v>1+0,0395030158885276i</v>
      </c>
      <c r="AK209">
        <f t="shared" si="144"/>
        <v>1.0007799399789592</v>
      </c>
      <c r="AL209">
        <f t="shared" si="145"/>
        <v>3.9482487108488611E-2</v>
      </c>
      <c r="AM209" t="str">
        <f t="shared" si="130"/>
        <v>1+5,78539623603799i</v>
      </c>
      <c r="AN209">
        <f t="shared" si="146"/>
        <v>5.8711846852200571</v>
      </c>
      <c r="AO209">
        <f t="shared" si="147"/>
        <v>1.3996384952333645</v>
      </c>
      <c r="AP209" s="42" t="str">
        <f t="shared" si="148"/>
        <v>-2,91022640388086+0,622241164902537i</v>
      </c>
      <c r="AQ209">
        <f t="shared" si="149"/>
        <v>9.4726711835229711</v>
      </c>
      <c r="AR209" s="44">
        <f t="shared" si="150"/>
        <v>167.93119874491708</v>
      </c>
      <c r="AS209" s="42" t="str">
        <f t="shared" si="151"/>
        <v>1,78567865782918+8,07933310677432i</v>
      </c>
      <c r="AT209" s="20">
        <f t="shared" si="152"/>
        <v>18.354639927600825</v>
      </c>
      <c r="AU209" s="44">
        <f t="shared" si="153"/>
        <v>77.536954827236073</v>
      </c>
    </row>
    <row r="210" spans="14:47" x14ac:dyDescent="0.3">
      <c r="N210" s="8">
        <v>92</v>
      </c>
      <c r="O210" s="35">
        <f t="shared" si="154"/>
        <v>831.7637711026714</v>
      </c>
      <c r="P210" s="34" t="str">
        <f t="shared" si="122"/>
        <v>324,571428571429</v>
      </c>
      <c r="Q210" s="4" t="str">
        <f t="shared" si="123"/>
        <v>1+119,454306414551i</v>
      </c>
      <c r="R210" s="4">
        <f t="shared" si="131"/>
        <v>119.45849204213755</v>
      </c>
      <c r="S210" s="4">
        <f t="shared" si="132"/>
        <v>1.5624251205079587</v>
      </c>
      <c r="T210" s="4" t="str">
        <f t="shared" si="124"/>
        <v>1+0,00104522518112732i</v>
      </c>
      <c r="U210" s="4">
        <f t="shared" si="133"/>
        <v>1.0000005462476904</v>
      </c>
      <c r="V210" s="4">
        <f t="shared" si="134"/>
        <v>1.0452248004929048E-3</v>
      </c>
      <c r="W210" t="str">
        <f t="shared" si="125"/>
        <v>1-0,0090731352528413i</v>
      </c>
      <c r="X210" s="4">
        <f t="shared" si="135"/>
        <v>1.0000411600445835</v>
      </c>
      <c r="Y210" s="4">
        <f t="shared" si="136"/>
        <v>-9.0728862929133174E-3</v>
      </c>
      <c r="Z210" t="str">
        <f t="shared" si="126"/>
        <v>0,999997232676116+0,00777930616578613i</v>
      </c>
      <c r="AA210" s="4">
        <f t="shared" si="137"/>
        <v>1.0000274911042752</v>
      </c>
      <c r="AB210" s="4">
        <f t="shared" si="138"/>
        <v>7.7791707697762212E-3</v>
      </c>
      <c r="AC210" s="48" t="str">
        <f t="shared" si="139"/>
        <v>-0,020202865202082-2,7169861608156i</v>
      </c>
      <c r="AD210" s="20">
        <f t="shared" si="140"/>
        <v>8.6819886434664166</v>
      </c>
      <c r="AE210" s="44">
        <f t="shared" si="141"/>
        <v>-90.426029986420161</v>
      </c>
      <c r="AF210" t="str">
        <f t="shared" si="127"/>
        <v>-0,0000125211169631323</v>
      </c>
      <c r="AG210" t="str">
        <f t="shared" si="128"/>
        <v>0,0000252578665019416i</v>
      </c>
      <c r="AH210">
        <f t="shared" si="142"/>
        <v>2.5257866501941599E-5</v>
      </c>
      <c r="AI210">
        <f t="shared" si="143"/>
        <v>1.5707963267948966</v>
      </c>
      <c r="AJ210" t="str">
        <f t="shared" si="129"/>
        <v>1+0,0404231593326856i</v>
      </c>
      <c r="AK210">
        <f t="shared" si="144"/>
        <v>1.0008166824201301</v>
      </c>
      <c r="AL210">
        <f t="shared" si="145"/>
        <v>4.0401163317898461E-2</v>
      </c>
      <c r="AM210" t="str">
        <f t="shared" si="130"/>
        <v>1+5,92015542590513i</v>
      </c>
      <c r="AN210">
        <f t="shared" si="146"/>
        <v>6.0040186764261447</v>
      </c>
      <c r="AO210">
        <f t="shared" si="147"/>
        <v>1.4034613840990884</v>
      </c>
      <c r="AP210" s="42" t="str">
        <f t="shared" si="148"/>
        <v>-2,91001272466966+0,613363285902168i</v>
      </c>
      <c r="AQ210">
        <f t="shared" si="149"/>
        <v>9.4666781505488213</v>
      </c>
      <c r="AR210" s="44">
        <f t="shared" si="150"/>
        <v>168.09759787293234</v>
      </c>
      <c r="AS210" s="42" t="str">
        <f t="shared" si="151"/>
        <v>1,72529015416142+7,89407260493977i</v>
      </c>
      <c r="AT210" s="20">
        <f t="shared" si="152"/>
        <v>18.148666794015234</v>
      </c>
      <c r="AU210" s="44">
        <f t="shared" si="153"/>
        <v>77.671567886512136</v>
      </c>
    </row>
    <row r="211" spans="14:47" x14ac:dyDescent="0.3">
      <c r="N211" s="8">
        <v>93</v>
      </c>
      <c r="O211" s="35">
        <f t="shared" si="154"/>
        <v>851.13803820237763</v>
      </c>
      <c r="P211" s="34" t="str">
        <f t="shared" ref="P211:P274" si="155">COMPLEX(Adc,0)</f>
        <v>324,571428571429</v>
      </c>
      <c r="Q211" s="4" t="str">
        <f t="shared" ref="Q211:Q274" si="156">IMSUM(COMPLEX(1,0),IMDIV(COMPLEX(0,2*PI()*O211),COMPLEX(wp_lf,0)))</f>
        <v>1+122,236754651768i</v>
      </c>
      <c r="R211" s="4">
        <f t="shared" si="131"/>
        <v>122.24084500606385</v>
      </c>
      <c r="S211" s="4">
        <f t="shared" si="132"/>
        <v>1.5626156638265416</v>
      </c>
      <c r="T211" s="4" t="str">
        <f t="shared" ref="T211:T274" si="157">IMSUM(COMPLEX(1,0),IMDIV(COMPLEX(0,2*PI()*O211),COMPLEX(wz_esr,0)))</f>
        <v>1+0,00106957160320297i</v>
      </c>
      <c r="U211" s="4">
        <f t="shared" si="133"/>
        <v>1.0000005719915437</v>
      </c>
      <c r="V211" s="4">
        <f t="shared" si="134"/>
        <v>1.0695711953458585E-3</v>
      </c>
      <c r="W211" t="str">
        <f t="shared" ref="W211:W274" si="158">IMSUB(COMPLEX(1,0),IMDIV(COMPLEX(0,2*PI()*O211),COMPLEX(wz_rhp,0)))</f>
        <v>1-0,00928447572224799i</v>
      </c>
      <c r="X211" s="4">
        <f t="shared" si="135"/>
        <v>1.0000430998159213</v>
      </c>
      <c r="Y211" s="4">
        <f t="shared" si="136"/>
        <v>-9.2842089574998645E-3</v>
      </c>
      <c r="Z211" t="str">
        <f t="shared" ref="Z211:Z274" si="159">IMSUM(COMPLEX(1,0),IMDIV(COMPLEX(0,2*PI()*O211),COMPLEX(Q*(wsl/2),0)),IMDIV(IMPOWER(COMPLEX(0,2*PI()*O211),2),IMPOWER(COMPLEX(wsl/2,0),2)))</f>
        <v>0,99999710225616+0,00796050948425542i</v>
      </c>
      <c r="AA211" s="4">
        <f t="shared" si="137"/>
        <v>1.0000287867016457</v>
      </c>
      <c r="AB211" s="4">
        <f t="shared" si="138"/>
        <v>7.9603644050418969E-3</v>
      </c>
      <c r="AC211" s="48" t="str">
        <f t="shared" si="139"/>
        <v>-0,0212264982104431-2,65513452572206i</v>
      </c>
      <c r="AD211" s="20">
        <f t="shared" si="140"/>
        <v>8.4820081592064867</v>
      </c>
      <c r="AE211" s="44">
        <f t="shared" si="141"/>
        <v>-90.458041896089583</v>
      </c>
      <c r="AF211" t="str">
        <f t="shared" ref="AF211:AF274" si="160">COMPLEX(Adc_ea,0)</f>
        <v>-0,0000125211169631323</v>
      </c>
      <c r="AG211" t="str">
        <f t="shared" ref="AG211:AG274" si="161">COMPLEX(0,2*PI()*O211*wp0_ea)</f>
        <v>0,0000258461977913997i</v>
      </c>
      <c r="AH211">
        <f t="shared" si="142"/>
        <v>2.58461977913997E-5</v>
      </c>
      <c r="AI211">
        <f t="shared" si="143"/>
        <v>1.5707963267948966</v>
      </c>
      <c r="AJ211" t="str">
        <f t="shared" ref="AJ211:AJ274" si="162">IMSUM(COMPLEX(1,0),IMDIV(COMPLEX(0,2*PI()*O211),COMPLEX(wp1_ea,0)))</f>
        <v>1+0,0413647356709856i</v>
      </c>
      <c r="AK211">
        <f t="shared" si="144"/>
        <v>1.0008551550334996</v>
      </c>
      <c r="AL211">
        <f t="shared" si="145"/>
        <v>4.1341167604000799E-2</v>
      </c>
      <c r="AM211" t="str">
        <f t="shared" ref="AM211:AM274" si="163">IMSUM(COMPLEX(1,0),IMDIV(COMPLEX(0,2*PI()*O211),COMPLEX(wz_ea,0)))</f>
        <v>1+6,05805356054161i</v>
      </c>
      <c r="AN211">
        <f t="shared" si="146"/>
        <v>6.1400336271384441</v>
      </c>
      <c r="AO211">
        <f t="shared" si="147"/>
        <v>1.407202030184231</v>
      </c>
      <c r="AP211" s="42" t="str">
        <f t="shared" si="148"/>
        <v>-2,90978900869615+0,604809807255969i</v>
      </c>
      <c r="AQ211">
        <f t="shared" si="149"/>
        <v>9.4609185635020214</v>
      </c>
      <c r="AR211" s="44">
        <f t="shared" si="150"/>
        <v>168.25806282794531</v>
      </c>
      <c r="AS211" s="42" t="str">
        <f t="shared" si="151"/>
        <v>1,66761603192648+7,71304326526434i</v>
      </c>
      <c r="AT211" s="20">
        <f t="shared" si="152"/>
        <v>17.94292672270851</v>
      </c>
      <c r="AU211" s="44">
        <f t="shared" si="153"/>
        <v>77.800020931855784</v>
      </c>
    </row>
    <row r="212" spans="14:47" x14ac:dyDescent="0.3">
      <c r="N212" s="8">
        <v>94</v>
      </c>
      <c r="O212" s="35">
        <f t="shared" si="154"/>
        <v>870.96358995608091</v>
      </c>
      <c r="P212" s="34" t="str">
        <f t="shared" si="155"/>
        <v>324,571428571429</v>
      </c>
      <c r="Q212" s="4" t="str">
        <f t="shared" si="156"/>
        <v>1+125,084014434296i</v>
      </c>
      <c r="R212" s="4">
        <f t="shared" ref="R212:R275" si="164">IMABS(Q212)</f>
        <v>125.08801168377076</v>
      </c>
      <c r="S212" s="4">
        <f t="shared" ref="S212:S275" si="165">IMARGUMENT(Q212)</f>
        <v>1.5628018704236795</v>
      </c>
      <c r="T212" s="4" t="str">
        <f t="shared" si="157"/>
        <v>1+0,00109448512630009i</v>
      </c>
      <c r="U212" s="4">
        <f t="shared" ref="U212:U275" si="166">IMABS(T212)</f>
        <v>1.0000005989486664</v>
      </c>
      <c r="V212" s="4">
        <f t="shared" ref="V212:V275" si="167">IMARGUMENT(T212)</f>
        <v>1.0944846892733354E-3</v>
      </c>
      <c r="W212" t="str">
        <f t="shared" si="158"/>
        <v>1-0,00950073894357714i</v>
      </c>
      <c r="X212" s="4">
        <f t="shared" ref="X212:X275" si="168">IMABS(W212)</f>
        <v>1.0000451310018335</v>
      </c>
      <c r="Y212" s="4">
        <f t="shared" ref="Y212:Y275" si="169">IMARGUMENT(W212)</f>
        <v>-9.500453100696268E-3</v>
      </c>
      <c r="Z212" t="str">
        <f t="shared" si="159"/>
        <v>0,9999969656897+0,00814593357022303i</v>
      </c>
      <c r="AA212" s="4">
        <f t="shared" ref="AA212:AA275" si="170">IMABS(Z212)</f>
        <v>1.0000301433568579</v>
      </c>
      <c r="AB212" s="4">
        <f t="shared" ref="AB212:AB275" si="171">IMARGUMENT(Z212)</f>
        <v>8.1457781152973509E-3</v>
      </c>
      <c r="AC212" s="48" t="str">
        <f t="shared" ref="AC212:AC275" si="172">(IMDIV(IMPRODUCT(P212,T212,W212),IMPRODUCT(Q212,Z212)))</f>
        <v>-0,0222040565275141-2,59468992414422i</v>
      </c>
      <c r="AD212" s="20">
        <f t="shared" ref="AD212:AD275" si="173">20*LOG(IMABS(AC212))</f>
        <v>8.2820273326822615</v>
      </c>
      <c r="AE212" s="44">
        <f t="shared" ref="AE212:AE275" si="174">(180/PI())*IMARGUMENT(AC212)</f>
        <v>-90.490296609979183</v>
      </c>
      <c r="AF212" t="str">
        <f t="shared" si="160"/>
        <v>-0,0000125211169631323</v>
      </c>
      <c r="AG212" t="str">
        <f t="shared" si="161"/>
        <v>0,0000264482330770416i</v>
      </c>
      <c r="AH212">
        <f t="shared" ref="AH212:AH275" si="175">IMABS(AG212)</f>
        <v>2.6448233077041599E-5</v>
      </c>
      <c r="AI212">
        <f t="shared" ref="AI212:AI275" si="176">IMARGUMENT(AG212)</f>
        <v>1.5707963267948966</v>
      </c>
      <c r="AJ212" t="str">
        <f t="shared" si="162"/>
        <v>1+0,0423282441396652i</v>
      </c>
      <c r="AK212">
        <f t="shared" ref="AK212:AK275" si="177">IMABS(AJ212)</f>
        <v>1.0008954392202749</v>
      </c>
      <c r="AL212">
        <f t="shared" ref="AL212:AL275" si="178">IMARGUMENT(AJ212)</f>
        <v>4.2302991720959394E-2</v>
      </c>
      <c r="AM212" t="str">
        <f t="shared" si="163"/>
        <v>1+6,19916375536369i</v>
      </c>
      <c r="AN212">
        <f t="shared" ref="AN212:AN275" si="179">IMABS(AM212)</f>
        <v>6.2793018135629417</v>
      </c>
      <c r="AO212">
        <f t="shared" ref="AO212:AO275" si="180">IMARGUMENT(AM212)</f>
        <v>1.4108619978916985</v>
      </c>
      <c r="AP212" s="42" t="str">
        <f t="shared" ref="AP212:AP275" si="181">IMPRODUCT(AF212,IMDIV(AM212,IMPRODUCT(AG212,AJ212)))</f>
        <v>-2,90955478617819+0,596576135853704i</v>
      </c>
      <c r="AQ212">
        <f t="shared" ref="AQ212:AQ275" si="182">20*LOG(IMABS(AP212))</f>
        <v>9.4553811295089591</v>
      </c>
      <c r="AR212" s="44">
        <f t="shared" ref="AR212:AR275" si="183">(180/PI())*IMARGUMENT(AP212)</f>
        <v>168.41265506820173</v>
      </c>
      <c r="AS212" s="42" t="str">
        <f t="shared" ref="AS212:AS275" si="184">IMPRODUCT(AC212,AP212)</f>
        <v>1,6125340076267+7,53614607719868i</v>
      </c>
      <c r="AT212" s="20">
        <f t="shared" ref="AT212:AT275" si="185">20*LOG(IMABS(AS212))</f>
        <v>17.737408462191226</v>
      </c>
      <c r="AU212" s="44">
        <f t="shared" ref="AU212:AU275" si="186">(180/PI())*IMARGUMENT(AS212)</f>
        <v>77.922358458222533</v>
      </c>
    </row>
    <row r="213" spans="14:47" x14ac:dyDescent="0.3">
      <c r="N213" s="8">
        <v>95</v>
      </c>
      <c r="O213" s="35">
        <f t="shared" si="154"/>
        <v>891.25093813374656</v>
      </c>
      <c r="P213" s="34" t="str">
        <f t="shared" si="155"/>
        <v>324,571428571429</v>
      </c>
      <c r="Q213" s="4" t="str">
        <f t="shared" si="156"/>
        <v>1+127,99759541696i</v>
      </c>
      <c r="R213" s="4">
        <f t="shared" si="164"/>
        <v>128.00150168073725</v>
      </c>
      <c r="S213" s="4">
        <f t="shared" si="165"/>
        <v>1.5629838389768944</v>
      </c>
      <c r="T213" s="4" t="str">
        <f t="shared" si="157"/>
        <v>1+0,0011199789598984i</v>
      </c>
      <c r="U213" s="4">
        <f t="shared" si="166"/>
        <v>1.0000006271762387</v>
      </c>
      <c r="V213" s="4">
        <f t="shared" si="167"/>
        <v>1.1199784916158112E-3</v>
      </c>
      <c r="W213" t="str">
        <f t="shared" si="158"/>
        <v>1-0,00972203958245135i</v>
      </c>
      <c r="X213" s="4">
        <f t="shared" si="168"/>
        <v>1.0000472579101662</v>
      </c>
      <c r="Y213" s="4">
        <f t="shared" si="169"/>
        <v>-9.7217332970679377E-3</v>
      </c>
      <c r="Z213" t="str">
        <f t="shared" si="159"/>
        <v>0,999996822687061+0,00833567673799378i</v>
      </c>
      <c r="AA213" s="4">
        <f t="shared" si="170"/>
        <v>1.0000315639473074</v>
      </c>
      <c r="AB213" s="4">
        <f t="shared" si="171"/>
        <v>8.3355101653230183E-3</v>
      </c>
      <c r="AC213" s="48" t="str">
        <f t="shared" si="172"/>
        <v>-0,0231376128711669-2,53562035788151i</v>
      </c>
      <c r="AD213" s="20">
        <f t="shared" si="173"/>
        <v>8.0820462045524923</v>
      </c>
      <c r="AE213" s="44">
        <f t="shared" si="174"/>
        <v>-90.522811219851292</v>
      </c>
      <c r="AF213" t="str">
        <f t="shared" si="160"/>
        <v>-0,0000125211169631323</v>
      </c>
      <c r="AG213" t="str">
        <f t="shared" si="161"/>
        <v>0,0000270642915659447i</v>
      </c>
      <c r="AH213">
        <f t="shared" si="175"/>
        <v>2.7064291565944701E-5</v>
      </c>
      <c r="AI213">
        <f t="shared" si="176"/>
        <v>1.5707963267948966</v>
      </c>
      <c r="AJ213" t="str">
        <f t="shared" si="162"/>
        <v>1+0,0433141956036683i</v>
      </c>
      <c r="AK213">
        <f t="shared" si="177"/>
        <v>1.0009376202045723</v>
      </c>
      <c r="AL213">
        <f t="shared" si="178"/>
        <v>4.3287138518284786E-2</v>
      </c>
      <c r="AM213" t="str">
        <f t="shared" si="163"/>
        <v>1+6,34356082886451i</v>
      </c>
      <c r="AN213">
        <f t="shared" si="179"/>
        <v>6.4218972266382606</v>
      </c>
      <c r="AO213">
        <f t="shared" si="180"/>
        <v>1.4144428353729945</v>
      </c>
      <c r="AP213" s="42" t="str">
        <f t="shared" si="181"/>
        <v>-2,90930956550449+0,588657844031602i</v>
      </c>
      <c r="AQ213">
        <f t="shared" si="182"/>
        <v>9.4500549490017853</v>
      </c>
      <c r="AR213" s="44">
        <f t="shared" si="183"/>
        <v>168.5614344850942</v>
      </c>
      <c r="AS213" s="42" t="str">
        <f t="shared" si="184"/>
        <v>1,55992729160219+7,36328442436382i</v>
      </c>
      <c r="AT213" s="20">
        <f t="shared" si="185"/>
        <v>17.532101153554283</v>
      </c>
      <c r="AU213" s="44">
        <f t="shared" si="186"/>
        <v>78.038623265242961</v>
      </c>
    </row>
    <row r="214" spans="14:47" x14ac:dyDescent="0.3">
      <c r="N214" s="8">
        <v>96</v>
      </c>
      <c r="O214" s="35">
        <f t="shared" si="154"/>
        <v>912.01083935590987</v>
      </c>
      <c r="P214" s="34" t="str">
        <f t="shared" si="155"/>
        <v>324,571428571429</v>
      </c>
      <c r="Q214" s="4" t="str">
        <f t="shared" si="156"/>
        <v>1+130,979042418962i</v>
      </c>
      <c r="R214" s="4">
        <f t="shared" si="164"/>
        <v>130.98285976794156</v>
      </c>
      <c r="S214" s="4">
        <f t="shared" si="165"/>
        <v>1.5631616659200906</v>
      </c>
      <c r="T214" s="4" t="str">
        <f t="shared" si="157"/>
        <v>1+0,00114606662116591i</v>
      </c>
      <c r="U214" s="4">
        <f t="shared" si="166"/>
        <v>1.0000006567341344</v>
      </c>
      <c r="V214" s="4">
        <f t="shared" si="167"/>
        <v>1.1460661193920937E-3</v>
      </c>
      <c r="W214" t="str">
        <f t="shared" si="158"/>
        <v>1-0,00994849497539856i</v>
      </c>
      <c r="X214" s="4">
        <f t="shared" si="168"/>
        <v>1.0000494850517525</v>
      </c>
      <c r="Y214" s="4">
        <f t="shared" si="169"/>
        <v>-9.9481667855744037E-3</v>
      </c>
      <c r="Z214" t="str">
        <f t="shared" si="159"/>
        <v>0,999996672944916+0,00852983959190672i</v>
      </c>
      <c r="AA214" s="4">
        <f t="shared" si="170"/>
        <v>1.0000330514859821</v>
      </c>
      <c r="AB214" s="4">
        <f t="shared" si="171"/>
        <v>8.5296611063920176E-3</v>
      </c>
      <c r="AC214" s="48" t="str">
        <f t="shared" si="172"/>
        <v>-0,0240291466968507-2,47789455443752i</v>
      </c>
      <c r="AD214" s="20">
        <f t="shared" si="173"/>
        <v>7.8820648148358829</v>
      </c>
      <c r="AE214" s="44">
        <f t="shared" si="174"/>
        <v>-90.555602954954637</v>
      </c>
      <c r="AF214" t="str">
        <f t="shared" si="160"/>
        <v>-0,0000125211169631323</v>
      </c>
      <c r="AG214" t="str">
        <f t="shared" si="161"/>
        <v>0,0000276946999004743i</v>
      </c>
      <c r="AH214">
        <f t="shared" si="175"/>
        <v>2.7694699900474301E-5</v>
      </c>
      <c r="AI214">
        <f t="shared" si="176"/>
        <v>1.5707963267948966</v>
      </c>
      <c r="AJ214" t="str">
        <f t="shared" si="162"/>
        <v>1+0,0443231128275116i</v>
      </c>
      <c r="AK214">
        <f t="shared" si="177"/>
        <v>1.000981787212295</v>
      </c>
      <c r="AL214">
        <f t="shared" si="178"/>
        <v>4.4294122173768533E-2</v>
      </c>
      <c r="AM214" t="str">
        <f t="shared" si="163"/>
        <v>1+6,49132134228374i</v>
      </c>
      <c r="AN214">
        <f t="shared" si="179"/>
        <v>6.5678956118979528</v>
      </c>
      <c r="AO214">
        <f t="shared" si="180"/>
        <v>1.4179460737287328</v>
      </c>
      <c r="AP214" s="42" t="str">
        <f t="shared" si="181"/>
        <v>-2,90905283223553+0,581050666933114i</v>
      </c>
      <c r="AQ214">
        <f t="shared" si="182"/>
        <v>9.4449294991744441</v>
      </c>
      <c r="AR214" s="44">
        <f t="shared" si="183"/>
        <v>168.70445934400846</v>
      </c>
      <c r="AS214" s="42" t="str">
        <f t="shared" si="184"/>
        <v>1,50968434070053+7,19436401985342i</v>
      </c>
      <c r="AT214" s="20">
        <f t="shared" si="185"/>
        <v>17.326994314010321</v>
      </c>
      <c r="AU214" s="44">
        <f t="shared" si="186"/>
        <v>78.148856389053805</v>
      </c>
    </row>
    <row r="215" spans="14:47" x14ac:dyDescent="0.3">
      <c r="N215" s="8">
        <v>97</v>
      </c>
      <c r="O215" s="35">
        <f t="shared" si="154"/>
        <v>933.25430079699106</v>
      </c>
      <c r="P215" s="34" t="str">
        <f t="shared" si="155"/>
        <v>324,571428571429</v>
      </c>
      <c r="Q215" s="4" t="str">
        <f t="shared" si="156"/>
        <v>1+134,029936242967i</v>
      </c>
      <c r="R215" s="4">
        <f t="shared" si="164"/>
        <v>134.03366670092183</v>
      </c>
      <c r="S215" s="4">
        <f t="shared" si="165"/>
        <v>1.5633354454944548</v>
      </c>
      <c r="T215" s="4" t="str">
        <f t="shared" si="157"/>
        <v>1+0,00117276194212596i</v>
      </c>
      <c r="U215" s="4">
        <f t="shared" si="166"/>
        <v>1.00000068768505</v>
      </c>
      <c r="V215" s="4">
        <f t="shared" si="167"/>
        <v>1.1727614044656489E-3</v>
      </c>
      <c r="W215" t="str">
        <f t="shared" si="158"/>
        <v>1-0,0101802251920656i</v>
      </c>
      <c r="X215" s="4">
        <f t="shared" si="168"/>
        <v>1.0000518171499722</v>
      </c>
      <c r="Y215" s="4">
        <f t="shared" si="169"/>
        <v>-1.0179873531317333E-2</v>
      </c>
      <c r="Z215" t="str">
        <f t="shared" si="159"/>
        <v>0,99999651614564+0,00872852507967707i</v>
      </c>
      <c r="AA215" s="4">
        <f t="shared" si="170"/>
        <v>1.000034609127846</v>
      </c>
      <c r="AB215" s="4">
        <f t="shared" si="171"/>
        <v>8.7283338293588832E-3</v>
      </c>
      <c r="AC215" s="48" t="str">
        <f t="shared" si="172"/>
        <v>-0,0248805483899808-2,42148195066307i</v>
      </c>
      <c r="AD215" s="20">
        <f t="shared" si="173"/>
        <v>7.6820832029961439</v>
      </c>
      <c r="AE215" s="44">
        <f t="shared" si="174"/>
        <v>-90.58868919110985</v>
      </c>
      <c r="AF215" t="str">
        <f t="shared" si="160"/>
        <v>-0,0000125211169631323</v>
      </c>
      <c r="AG215" t="str">
        <f t="shared" si="161"/>
        <v>0,0000283397923314739i</v>
      </c>
      <c r="AH215">
        <f t="shared" si="175"/>
        <v>2.83397923314739E-5</v>
      </c>
      <c r="AI215">
        <f t="shared" si="176"/>
        <v>1.5707963267948966</v>
      </c>
      <c r="AJ215" t="str">
        <f t="shared" si="162"/>
        <v>1+0,0453555307524618i</v>
      </c>
      <c r="AK215">
        <f t="shared" si="177"/>
        <v>1.0010280336583175</v>
      </c>
      <c r="AL215">
        <f t="shared" si="178"/>
        <v>4.5324468430041301E-2</v>
      </c>
      <c r="AM215" t="str">
        <f t="shared" si="163"/>
        <v>1+6,64252364020145i</v>
      </c>
      <c r="AN215">
        <f t="shared" si="179"/>
        <v>6.717374510226084</v>
      </c>
      <c r="AO215">
        <f t="shared" si="180"/>
        <v>1.4213732262928258</v>
      </c>
      <c r="AP215" s="42" t="str">
        <f t="shared" si="181"/>
        <v>-2,90878404806044+0,573750499935456i</v>
      </c>
      <c r="AQ215">
        <f t="shared" si="182"/>
        <v>9.4399946177082104</v>
      </c>
      <c r="AR215" s="44">
        <f t="shared" si="183"/>
        <v>168.84178622975691</v>
      </c>
      <c r="AS215" s="42" t="str">
        <f t="shared" si="184"/>
        <v>1,46169862204139+7,0292928436776i</v>
      </c>
      <c r="AT215" s="20">
        <f t="shared" si="185"/>
        <v>17.122077820704359</v>
      </c>
      <c r="AU215" s="44">
        <f t="shared" si="186"/>
        <v>78.253097038647084</v>
      </c>
    </row>
    <row r="216" spans="14:47" x14ac:dyDescent="0.3">
      <c r="N216" s="8">
        <v>98</v>
      </c>
      <c r="O216" s="35">
        <f t="shared" si="154"/>
        <v>954.99258602143675</v>
      </c>
      <c r="P216" s="34" t="str">
        <f t="shared" si="155"/>
        <v>324,571428571429</v>
      </c>
      <c r="Q216" s="4" t="str">
        <f t="shared" si="156"/>
        <v>1+137,151894513265i</v>
      </c>
      <c r="R216" s="4">
        <f t="shared" si="164"/>
        <v>137.15554005791299</v>
      </c>
      <c r="S216" s="4">
        <f t="shared" si="165"/>
        <v>1.5635052697982095</v>
      </c>
      <c r="T216" s="4" t="str">
        <f t="shared" si="157"/>
        <v>1+0,00120007907699107i</v>
      </c>
      <c r="U216" s="4">
        <f t="shared" si="166"/>
        <v>1.0000007200946361</v>
      </c>
      <c r="V216" s="4">
        <f t="shared" si="167"/>
        <v>1.2000785008776894E-3</v>
      </c>
      <c r="W216" t="str">
        <f t="shared" si="158"/>
        <v>1-0,0104173530988808i</v>
      </c>
      <c r="X216" s="4">
        <f t="shared" si="168"/>
        <v>1.0000542591507657</v>
      </c>
      <c r="Y216" s="4">
        <f t="shared" si="169"/>
        <v>-1.0416976288704305E-2</v>
      </c>
      <c r="Z216" t="str">
        <f t="shared" si="159"/>
        <v>0,999996351956643+0,00893183854698037i</v>
      </c>
      <c r="AA216" s="4">
        <f t="shared" si="170"/>
        <v>1.0000362401765366</v>
      </c>
      <c r="AB216" s="4">
        <f t="shared" si="171"/>
        <v>8.931633618972314E-3</v>
      </c>
      <c r="AC216" s="48" t="str">
        <f t="shared" si="172"/>
        <v>-0,0256936232699505-2,36635267676038i</v>
      </c>
      <c r="AD216" s="20">
        <f t="shared" si="173"/>
        <v>7.4821014080256232</v>
      </c>
      <c r="AE216" s="44">
        <f t="shared" si="174"/>
        <v>-90.622087459870698</v>
      </c>
      <c r="AF216" t="str">
        <f t="shared" si="160"/>
        <v>-0,0000125211169631323</v>
      </c>
      <c r="AG216" t="str">
        <f t="shared" si="161"/>
        <v>0,0000289999108954891i</v>
      </c>
      <c r="AH216">
        <f t="shared" si="175"/>
        <v>2.8999910895489101E-5</v>
      </c>
      <c r="AI216">
        <f t="shared" si="176"/>
        <v>1.5707963267948966</v>
      </c>
      <c r="AJ216" t="str">
        <f t="shared" si="162"/>
        <v>1+0,0464119967801685i</v>
      </c>
      <c r="AK216">
        <f t="shared" si="177"/>
        <v>1.0010764573423563</v>
      </c>
      <c r="AL216">
        <f t="shared" si="178"/>
        <v>4.6378714834710566E-2</v>
      </c>
      <c r="AM216" t="str">
        <f t="shared" si="163"/>
        <v>1+6,7972478920774i</v>
      </c>
      <c r="AN216">
        <f t="shared" si="179"/>
        <v>6.8704132995294138</v>
      </c>
      <c r="AO216">
        <f t="shared" si="180"/>
        <v>1.4247257879953226</v>
      </c>
      <c r="AP216" s="42" t="str">
        <f t="shared" si="181"/>
        <v>-2,90850264970774+0,566753396139231i</v>
      </c>
      <c r="AQ216">
        <f t="shared" si="182"/>
        <v>9.4352404867735657</v>
      </c>
      <c r="AR216" s="44">
        <f t="shared" si="183"/>
        <v>168.97346999631276</v>
      </c>
      <c r="AS216" s="42" t="str">
        <f t="shared" si="184"/>
        <v>1,41586838737835+6,8679810822532i</v>
      </c>
      <c r="AT216" s="20">
        <f t="shared" si="185"/>
        <v>16.917341894799186</v>
      </c>
      <c r="AU216" s="44">
        <f t="shared" si="186"/>
        <v>78.351382536442046</v>
      </c>
    </row>
    <row r="217" spans="14:47" x14ac:dyDescent="0.3">
      <c r="N217" s="8">
        <v>99</v>
      </c>
      <c r="O217" s="35">
        <f t="shared" si="154"/>
        <v>977.23722095581138</v>
      </c>
      <c r="P217" s="34" t="str">
        <f t="shared" si="155"/>
        <v>324,571428571429</v>
      </c>
      <c r="Q217" s="4" t="str">
        <f t="shared" si="156"/>
        <v>1+140,346572533453i</v>
      </c>
      <c r="R217" s="4">
        <f t="shared" si="164"/>
        <v>140.35013509750459</v>
      </c>
      <c r="S217" s="4">
        <f t="shared" si="165"/>
        <v>1.5636712288352435</v>
      </c>
      <c r="T217" s="4" t="str">
        <f t="shared" si="157"/>
        <v>1+0,00122803250966771i</v>
      </c>
      <c r="U217" s="4">
        <f t="shared" si="166"/>
        <v>1.000000754031638</v>
      </c>
      <c r="V217" s="4">
        <f t="shared" si="167"/>
        <v>1.2280318923511258E-3</v>
      </c>
      <c r="W217" t="str">
        <f t="shared" si="158"/>
        <v>1-0,0106600044241989i</v>
      </c>
      <c r="X217" s="4">
        <f t="shared" si="168"/>
        <v>1.0000568162331198</v>
      </c>
      <c r="Y217" s="4">
        <f t="shared" si="169"/>
        <v>-1.0659600666059265E-2</v>
      </c>
      <c r="Z217" t="str">
        <f t="shared" si="159"/>
        <v>0,999996180029656+0,00913988779330813i</v>
      </c>
      <c r="AA217" s="4">
        <f t="shared" si="170"/>
        <v>1.0000379480913604</v>
      </c>
      <c r="AB217" s="4">
        <f t="shared" si="171"/>
        <v>9.1396682094401441E-3</v>
      </c>
      <c r="AC217" s="48" t="str">
        <f t="shared" si="172"/>
        <v>-0,0264700954142125-2,31247754064091i</v>
      </c>
      <c r="AD217" s="20">
        <f t="shared" si="173"/>
        <v>7.2821194685279718</v>
      </c>
      <c r="AE217" s="44">
        <f t="shared" si="174"/>
        <v>-90.655815457766252</v>
      </c>
      <c r="AF217" t="str">
        <f t="shared" si="160"/>
        <v>-0,0000125211169631323</v>
      </c>
      <c r="AG217" t="str">
        <f t="shared" si="161"/>
        <v>0,0000296754055961203i</v>
      </c>
      <c r="AH217">
        <f t="shared" si="175"/>
        <v>2.9675405596120302E-5</v>
      </c>
      <c r="AI217">
        <f t="shared" si="176"/>
        <v>1.5707963267948966</v>
      </c>
      <c r="AJ217" t="str">
        <f t="shared" si="162"/>
        <v>1+0,0474930710629033i</v>
      </c>
      <c r="AK217">
        <f t="shared" si="177"/>
        <v>1.0011271606539232</v>
      </c>
      <c r="AL217">
        <f t="shared" si="178"/>
        <v>4.7457410984026373E-2</v>
      </c>
      <c r="AM217" t="str">
        <f t="shared" si="163"/>
        <v>1+6,95557613475793i</v>
      </c>
      <c r="AN217">
        <f t="shared" si="179"/>
        <v>7.0270932373502824</v>
      </c>
      <c r="AO217">
        <f t="shared" si="180"/>
        <v>1.428005234799087</v>
      </c>
      <c r="AP217" s="42" t="str">
        <f t="shared" si="181"/>
        <v>-2,90820804780817+0,560055563918192i</v>
      </c>
      <c r="AQ217">
        <f t="shared" si="182"/>
        <v>9.4306576173136509</v>
      </c>
      <c r="AR217" s="44">
        <f t="shared" si="183"/>
        <v>169.09956372057337</v>
      </c>
      <c r="AS217" s="42" t="str">
        <f t="shared" si="184"/>
        <v>1,37209645758166+6,71034106985336i</v>
      </c>
      <c r="AT217" s="20">
        <f t="shared" si="185"/>
        <v>16.712777085841616</v>
      </c>
      <c r="AU217" s="44">
        <f t="shared" si="186"/>
        <v>78.443748262807119</v>
      </c>
    </row>
    <row r="218" spans="14:47" x14ac:dyDescent="0.3">
      <c r="N218" s="8">
        <v>100</v>
      </c>
      <c r="O218" s="35">
        <f t="shared" si="154"/>
        <v>1000</v>
      </c>
      <c r="P218" s="34" t="str">
        <f t="shared" si="155"/>
        <v>324,571428571429</v>
      </c>
      <c r="Q218" s="4" t="str">
        <f t="shared" si="156"/>
        <v>1+143,615664164105i</v>
      </c>
      <c r="R218" s="4">
        <f t="shared" si="164"/>
        <v>143.61914563628693</v>
      </c>
      <c r="S218" s="4">
        <f t="shared" si="165"/>
        <v>1.5638334105626466</v>
      </c>
      <c r="T218" s="4" t="str">
        <f t="shared" si="157"/>
        <v>1+0,00125663706143592i</v>
      </c>
      <c r="U218" s="4">
        <f t="shared" si="166"/>
        <v>1.0000007895680403</v>
      </c>
      <c r="V218" s="4">
        <f t="shared" si="167"/>
        <v>1.2566363999693109E-3</v>
      </c>
      <c r="W218" t="str">
        <f t="shared" si="158"/>
        <v>1-0,0109083078249646i</v>
      </c>
      <c r="X218" s="4">
        <f t="shared" si="168"/>
        <v>1.0000594938200449</v>
      </c>
      <c r="Y218" s="4">
        <f t="shared" si="169"/>
        <v>-1.0907875191713377E-2</v>
      </c>
      <c r="Z218" t="str">
        <f t="shared" si="159"/>
        <v>0,999996+0,00935278312912461i</v>
      </c>
      <c r="AA218" s="4">
        <f t="shared" si="170"/>
        <v>1.0000397364946358</v>
      </c>
      <c r="AB218" s="4">
        <f t="shared" si="171"/>
        <v>9.3525478412745337E-3</v>
      </c>
      <c r="AC218" s="48" t="str">
        <f t="shared" si="172"/>
        <v>-0,0272116113104985-2,25982801262944i</v>
      </c>
      <c r="AD218" s="20">
        <f t="shared" si="173"/>
        <v>7.0821374227996534</v>
      </c>
      <c r="AE218" s="44">
        <f t="shared" si="174"/>
        <v>-90.689891055628038</v>
      </c>
      <c r="AF218" t="str">
        <f t="shared" si="160"/>
        <v>-0,0000125211169631323</v>
      </c>
      <c r="AG218" t="str">
        <f t="shared" si="161"/>
        <v>0,0000303666345895989i</v>
      </c>
      <c r="AH218">
        <f t="shared" si="175"/>
        <v>3.0366634589598901E-5</v>
      </c>
      <c r="AI218">
        <f t="shared" si="176"/>
        <v>1.5707963267948966</v>
      </c>
      <c r="AJ218" t="str">
        <f t="shared" si="162"/>
        <v>1+0,0485993268005608i</v>
      </c>
      <c r="AK218">
        <f t="shared" si="177"/>
        <v>1.001180250786774</v>
      </c>
      <c r="AL218">
        <f t="shared" si="178"/>
        <v>4.8561118770014691E-2</v>
      </c>
      <c r="AM218" t="str">
        <f t="shared" si="163"/>
        <v>1+7,11759231597304i</v>
      </c>
      <c r="AN218">
        <f t="shared" si="179"/>
        <v>7.1874975044446776</v>
      </c>
      <c r="AO218">
        <f t="shared" si="180"/>
        <v>1.4312130232057054</v>
      </c>
      <c r="AP218" s="42" t="str">
        <f t="shared" si="181"/>
        <v>-2,90789962570767+0,553653364526318i</v>
      </c>
      <c r="AQ218">
        <f t="shared" si="182"/>
        <v>9.4262368336122702</v>
      </c>
      <c r="AR218" s="44">
        <f t="shared" si="183"/>
        <v>169.22011865989072</v>
      </c>
      <c r="AS218" s="42" t="str">
        <f t="shared" si="184"/>
        <v>1,33029001678781+6,55628723193262i</v>
      </c>
      <c r="AT218" s="20">
        <f t="shared" si="185"/>
        <v>16.508374256411926</v>
      </c>
      <c r="AU218" s="44">
        <f t="shared" si="186"/>
        <v>78.53022760426272</v>
      </c>
    </row>
    <row r="219" spans="14:47" x14ac:dyDescent="0.3">
      <c r="N219" s="8">
        <v>1</v>
      </c>
      <c r="O219" s="35">
        <f>10^(3+(N219/100))</f>
        <v>1023.2929922807547</v>
      </c>
      <c r="P219" s="34" t="str">
        <f t="shared" si="155"/>
        <v>324,571428571429</v>
      </c>
      <c r="Q219" s="4" t="str">
        <f t="shared" si="156"/>
        <v>1+146,960902720875i</v>
      </c>
      <c r="R219" s="4">
        <f t="shared" si="164"/>
        <v>146.96430494693087</v>
      </c>
      <c r="S219" s="4">
        <f t="shared" si="165"/>
        <v>1.563991900937171</v>
      </c>
      <c r="T219" s="4" t="str">
        <f t="shared" si="157"/>
        <v>1+0,00128590789880765i</v>
      </c>
      <c r="U219" s="4">
        <f t="shared" si="166"/>
        <v>1.0000008267792204</v>
      </c>
      <c r="V219" s="4">
        <f t="shared" si="167"/>
        <v>1.2859071900334401E-3</v>
      </c>
      <c r="W219" t="str">
        <f t="shared" si="158"/>
        <v>1-0,0111623949549276i</v>
      </c>
      <c r="X219" s="4">
        <f t="shared" si="168"/>
        <v>1.0000622975900701</v>
      </c>
      <c r="Y219" s="4">
        <f t="shared" si="169"/>
        <v>-1.1161931381606472E-2</v>
      </c>
      <c r="Z219" t="str">
        <f t="shared" si="159"/>
        <v>0,999995811485808+0,00957063743435487i</v>
      </c>
      <c r="AA219" s="4">
        <f t="shared" si="170"/>
        <v>1.0000416091793678</v>
      </c>
      <c r="AB219" s="4">
        <f t="shared" si="171"/>
        <v>9.5703853194462531E-3</v>
      </c>
      <c r="AC219" s="48" t="str">
        <f t="shared" si="172"/>
        <v>-0,0279197433448782-2,20837621050737i</v>
      </c>
      <c r="AD219" s="20">
        <f t="shared" si="173"/>
        <v>6.8821553089113987</v>
      </c>
      <c r="AE219" s="44">
        <f t="shared" si="174"/>
        <v>-90.724332308007106</v>
      </c>
      <c r="AF219" t="str">
        <f t="shared" si="160"/>
        <v>-0,0000125211169631323</v>
      </c>
      <c r="AG219" t="str">
        <f t="shared" si="161"/>
        <v>0,000031073964374687i</v>
      </c>
      <c r="AH219">
        <f t="shared" si="175"/>
        <v>3.1073964374686999E-5</v>
      </c>
      <c r="AI219">
        <f t="shared" si="176"/>
        <v>1.5707963267948966</v>
      </c>
      <c r="AJ219" t="str">
        <f t="shared" si="162"/>
        <v>1+0,0497313505445761i</v>
      </c>
      <c r="AK219">
        <f t="shared" si="177"/>
        <v>1.0012358399632864</v>
      </c>
      <c r="AL219">
        <f t="shared" si="178"/>
        <v>4.9690412631001657E-2</v>
      </c>
      <c r="AM219" t="str">
        <f t="shared" si="163"/>
        <v>1+7,28338233884655i</v>
      </c>
      <c r="AN219">
        <f t="shared" si="179"/>
        <v>7.3517112493501706</v>
      </c>
      <c r="AO219">
        <f t="shared" si="180"/>
        <v>1.4343505898262028</v>
      </c>
      <c r="AP219" s="42" t="str">
        <f t="shared" si="181"/>
        <v>-2,90757673822854+0,547543309759107i</v>
      </c>
      <c r="AQ219">
        <f t="shared" si="182"/>
        <v>9.421969258147211</v>
      </c>
      <c r="AR219" s="44">
        <f t="shared" si="183"/>
        <v>169.33518421312175</v>
      </c>
      <c r="AS219" s="42" t="str">
        <f t="shared" si="184"/>
        <v>1,29036041578136+6,40573603024984i</v>
      </c>
      <c r="AT219" s="20">
        <f t="shared" si="185"/>
        <v>16.304124567058608</v>
      </c>
      <c r="AU219" s="44">
        <f t="shared" si="186"/>
        <v>78.610851905114643</v>
      </c>
    </row>
    <row r="220" spans="14:47" x14ac:dyDescent="0.3">
      <c r="N220" s="8">
        <v>2</v>
      </c>
      <c r="O220" s="35">
        <f t="shared" ref="O220:O283" si="187">10^(3+(N220/100))</f>
        <v>1047.1285480509</v>
      </c>
      <c r="P220" s="34" t="str">
        <f t="shared" si="155"/>
        <v>324,571428571429</v>
      </c>
      <c r="Q220" s="4" t="str">
        <f t="shared" si="156"/>
        <v>1+150,384061893525i</v>
      </c>
      <c r="R220" s="4">
        <f t="shared" si="164"/>
        <v>150.38738667719298</v>
      </c>
      <c r="S220" s="4">
        <f t="shared" si="165"/>
        <v>1.5641467839606438</v>
      </c>
      <c r="T220" s="4" t="str">
        <f t="shared" si="157"/>
        <v>1+0,00131586054156834i</v>
      </c>
      <c r="U220" s="4">
        <f t="shared" si="166"/>
        <v>1.0000008657441077</v>
      </c>
      <c r="V220" s="4">
        <f t="shared" si="167"/>
        <v>1.3158597821031266E-3</v>
      </c>
      <c r="W220" t="str">
        <f t="shared" si="158"/>
        <v>1-0,0114224005344474i</v>
      </c>
      <c r="X220" s="4">
        <f t="shared" si="168"/>
        <v>1.0000652334892806</v>
      </c>
      <c r="Y220" s="4">
        <f t="shared" si="169"/>
        <v>-1.1421903808434353E-2</v>
      </c>
      <c r="Z220" t="str">
        <f t="shared" si="159"/>
        <v>0,999995614087215+0,0097935662182352i</v>
      </c>
      <c r="AA220" s="4">
        <f t="shared" si="170"/>
        <v>1.0000435701172909</v>
      </c>
      <c r="AB220" s="4">
        <f t="shared" si="171"/>
        <v>9.793296072877461E-3</v>
      </c>
      <c r="AC220" s="48" t="str">
        <f t="shared" si="172"/>
        <v>-0,0285959931330261-2,15809488488786i</v>
      </c>
      <c r="AD220" s="20">
        <f t="shared" si="173"/>
        <v>6.682173164788729</v>
      </c>
      <c r="AE220" s="44">
        <f t="shared" si="174"/>
        <v>-90.759157462685948</v>
      </c>
      <c r="AF220" t="str">
        <f t="shared" si="160"/>
        <v>-0,0000125211169631323</v>
      </c>
      <c r="AG220" t="str">
        <f t="shared" si="161"/>
        <v>0,000031797769986999i</v>
      </c>
      <c r="AH220">
        <f t="shared" si="175"/>
        <v>3.1797769986999E-5</v>
      </c>
      <c r="AI220">
        <f t="shared" si="176"/>
        <v>1.5707963267948966</v>
      </c>
      <c r="AJ220" t="str">
        <f t="shared" si="162"/>
        <v>1+0,0508897425089224i</v>
      </c>
      <c r="AK220">
        <f t="shared" si="177"/>
        <v>1.0012940456692152</v>
      </c>
      <c r="AL220">
        <f t="shared" si="178"/>
        <v>5.084587980544527E-2</v>
      </c>
      <c r="AM220" t="str">
        <f t="shared" si="163"/>
        <v>1+7,45303410744309i</v>
      </c>
      <c r="AN220">
        <f t="shared" si="179"/>
        <v>7.5198216339691202</v>
      </c>
      <c r="AO220">
        <f t="shared" si="180"/>
        <v>1.437419351012361</v>
      </c>
      <c r="AP220" s="42" t="str">
        <f t="shared" si="181"/>
        <v>-2,90723871037669+0,541722059666101i</v>
      </c>
      <c r="AQ220">
        <f t="shared" si="182"/>
        <v>9.4178462967278893</v>
      </c>
      <c r="AR220" s="44">
        <f t="shared" si="183"/>
        <v>169.44480788496062</v>
      </c>
      <c r="AS220" s="42" t="str">
        <f t="shared" si="184"/>
        <v>1,25222298419433+6,25860590971369i</v>
      </c>
      <c r="AT220" s="20">
        <f t="shared" si="185"/>
        <v>16.100019461516617</v>
      </c>
      <c r="AU220" s="44">
        <f t="shared" si="186"/>
        <v>78.685650422274648</v>
      </c>
    </row>
    <row r="221" spans="14:47" x14ac:dyDescent="0.3">
      <c r="N221" s="8">
        <v>3</v>
      </c>
      <c r="O221" s="35">
        <f t="shared" si="187"/>
        <v>1071.5193052376069</v>
      </c>
      <c r="P221" s="34" t="str">
        <f t="shared" si="155"/>
        <v>324,571428571429</v>
      </c>
      <c r="Q221" s="4" t="str">
        <f t="shared" si="156"/>
        <v>1+153,886956686359i</v>
      </c>
      <c r="R221" s="4">
        <f t="shared" si="164"/>
        <v>153.89020579032746</v>
      </c>
      <c r="S221" s="4">
        <f t="shared" si="165"/>
        <v>1.5642981417243533</v>
      </c>
      <c r="T221" s="4" t="str">
        <f t="shared" si="157"/>
        <v>1+0,00134651087100564i</v>
      </c>
      <c r="U221" s="4">
        <f t="shared" si="166"/>
        <v>1.0000009065453519</v>
      </c>
      <c r="V221" s="4">
        <f t="shared" si="167"/>
        <v>1.3465100572240421E-3</v>
      </c>
      <c r="W221" t="str">
        <f t="shared" si="158"/>
        <v>1-0,011688462421924i</v>
      </c>
      <c r="X221" s="4">
        <f t="shared" si="168"/>
        <v>1.0000683077439203</v>
      </c>
      <c r="Y221" s="4">
        <f t="shared" si="169"/>
        <v>-1.1687930172375049E-2</v>
      </c>
      <c r="Z221" t="str">
        <f t="shared" si="159"/>
        <v>0,999995407385514+0,0100216876805576i</v>
      </c>
      <c r="AA221" s="4">
        <f t="shared" si="170"/>
        <v>1.000045623467293</v>
      </c>
      <c r="AB221" s="4">
        <f t="shared" si="171"/>
        <v>1.0021398215302882E-2</v>
      </c>
      <c r="AC221" s="48" t="str">
        <f t="shared" si="172"/>
        <v>-0,0292417947017222-2,10895740491594i</v>
      </c>
      <c r="AD221" s="20">
        <f t="shared" si="173"/>
        <v>6.4821910282922524</v>
      </c>
      <c r="AE221" s="44">
        <f t="shared" si="174"/>
        <v>-90.794384970289585</v>
      </c>
      <c r="AF221" t="str">
        <f t="shared" si="160"/>
        <v>-0,0000125211169631323</v>
      </c>
      <c r="AG221" t="str">
        <f t="shared" si="161"/>
        <v>0,0000325384351978513i</v>
      </c>
      <c r="AH221">
        <f t="shared" si="175"/>
        <v>3.25384351978513E-5</v>
      </c>
      <c r="AI221">
        <f t="shared" si="176"/>
        <v>1.5707963267948966</v>
      </c>
      <c r="AJ221" t="str">
        <f t="shared" si="162"/>
        <v>1+0,0520751168883523i</v>
      </c>
      <c r="AK221">
        <f t="shared" si="177"/>
        <v>1.0013549908992991</v>
      </c>
      <c r="AL221">
        <f t="shared" si="178"/>
        <v>5.2028120588973728E-2</v>
      </c>
      <c r="AM221" t="str">
        <f t="shared" si="163"/>
        <v>1+7,62663757337596i</v>
      </c>
      <c r="AN221">
        <f t="shared" si="179"/>
        <v>7.6919178801928165</v>
      </c>
      <c r="AO221">
        <f t="shared" si="180"/>
        <v>1.4404207025446134</v>
      </c>
      <c r="AP221" s="42" t="str">
        <f t="shared" si="181"/>
        <v>-2,90688483599285+0,536186420311361i</v>
      </c>
      <c r="AQ221">
        <f t="shared" si="182"/>
        <v>9.4138596239144654</v>
      </c>
      <c r="AR221" s="44">
        <f t="shared" si="183"/>
        <v>169.54903525332938</v>
      </c>
      <c r="AS221" s="42" t="str">
        <f t="shared" si="184"/>
        <v>1,21579685112667+6,11481724688038i</v>
      </c>
      <c r="AT221" s="20">
        <f t="shared" si="185"/>
        <v>15.896050652206714</v>
      </c>
      <c r="AU221" s="44">
        <f t="shared" si="186"/>
        <v>78.754650283039794</v>
      </c>
    </row>
    <row r="222" spans="14:47" x14ac:dyDescent="0.3">
      <c r="N222" s="8">
        <v>4</v>
      </c>
      <c r="O222" s="35">
        <f t="shared" si="187"/>
        <v>1096.4781961431863</v>
      </c>
      <c r="P222" s="34" t="str">
        <f t="shared" si="155"/>
        <v>324,571428571429</v>
      </c>
      <c r="Q222" s="4" t="str">
        <f t="shared" si="156"/>
        <v>1+157,471444380563i</v>
      </c>
      <c r="R222" s="4">
        <f t="shared" si="164"/>
        <v>157.47461952740434</v>
      </c>
      <c r="S222" s="4">
        <f t="shared" si="165"/>
        <v>1.5644460544524337</v>
      </c>
      <c r="T222" s="4" t="str">
        <f t="shared" si="157"/>
        <v>1+0,00137787513832993i</v>
      </c>
      <c r="U222" s="4">
        <f t="shared" si="166"/>
        <v>1.0000009492694979</v>
      </c>
      <c r="V222" s="4">
        <f t="shared" si="167"/>
        <v>1.3778742663472822E-3</v>
      </c>
      <c r="W222" t="str">
        <f t="shared" si="158"/>
        <v>1-0,0119607216868917i</v>
      </c>
      <c r="X222" s="4">
        <f t="shared" si="168"/>
        <v>1.0000715268735889</v>
      </c>
      <c r="Y222" s="4">
        <f t="shared" si="169"/>
        <v>-1.1960151373427794E-2</v>
      </c>
      <c r="Z222" t="str">
        <f t="shared" si="159"/>
        <v>0,999995190942262+0,010255122774341i</v>
      </c>
      <c r="AA222" s="4">
        <f t="shared" si="170"/>
        <v>1.0000477735842261</v>
      </c>
      <c r="AB222" s="4">
        <f t="shared" si="171"/>
        <v>1.0254812607530485E-2</v>
      </c>
      <c r="AC222" s="48" t="str">
        <f t="shared" si="172"/>
        <v>-0,0298585175273068-2,06093774428669i</v>
      </c>
      <c r="AD222" s="20">
        <f t="shared" si="173"/>
        <v>6.2822089372977485</v>
      </c>
      <c r="AE222" s="44">
        <f t="shared" si="174"/>
        <v>-90.830033494000887</v>
      </c>
      <c r="AF222" t="str">
        <f t="shared" si="160"/>
        <v>-0,0000125211169631323</v>
      </c>
      <c r="AG222" t="str">
        <f t="shared" si="161"/>
        <v>0,0000332963527177427i</v>
      </c>
      <c r="AH222">
        <f t="shared" si="175"/>
        <v>3.3296352717742703E-5</v>
      </c>
      <c r="AI222">
        <f t="shared" si="176"/>
        <v>1.5707963267948966</v>
      </c>
      <c r="AJ222" t="str">
        <f t="shared" si="162"/>
        <v>1+0,0532881021840521i</v>
      </c>
      <c r="AK222">
        <f t="shared" si="177"/>
        <v>1.0014188044142061</v>
      </c>
      <c r="AL222">
        <f t="shared" si="178"/>
        <v>5.3237748594517374E-2</v>
      </c>
      <c r="AM222" t="str">
        <f t="shared" si="163"/>
        <v>1+7,80428478350071i</v>
      </c>
      <c r="AN222">
        <f t="shared" si="179"/>
        <v>7.8680913175928957</v>
      </c>
      <c r="AO222">
        <f t="shared" si="180"/>
        <v>1.4433560193726975</v>
      </c>
      <c r="AP222" s="42" t="str">
        <f t="shared" si="181"/>
        <v>-2,90651437634554+0,530933341578668i</v>
      </c>
      <c r="AQ222">
        <f t="shared" si="182"/>
        <v>9.4100011687142153</v>
      </c>
      <c r="AR222" s="44">
        <f t="shared" si="183"/>
        <v>169.64790993961387</v>
      </c>
      <c r="AS222" s="42" t="str">
        <f t="shared" si="184"/>
        <v>1,18100477380922+5,97429230003705i</v>
      </c>
      <c r="AT222" s="20">
        <f t="shared" si="185"/>
        <v>15.692210106011956</v>
      </c>
      <c r="AU222" s="44">
        <f t="shared" si="186"/>
        <v>78.817876445612967</v>
      </c>
    </row>
    <row r="223" spans="14:47" x14ac:dyDescent="0.3">
      <c r="N223" s="8">
        <v>5</v>
      </c>
      <c r="O223" s="35">
        <f t="shared" si="187"/>
        <v>1122.0184543019636</v>
      </c>
      <c r="P223" s="34" t="str">
        <f t="shared" si="155"/>
        <v>324,571428571429</v>
      </c>
      <c r="Q223" s="4" t="str">
        <f t="shared" si="156"/>
        <v>1+161,139425518959i</v>
      </c>
      <c r="R223" s="4">
        <f t="shared" si="164"/>
        <v>161.14252839204224</v>
      </c>
      <c r="S223" s="4">
        <f t="shared" si="165"/>
        <v>1.5645906005442676</v>
      </c>
      <c r="T223" s="4" t="str">
        <f t="shared" si="157"/>
        <v>1+0,00140996997329089i</v>
      </c>
      <c r="U223" s="4">
        <f t="shared" si="166"/>
        <v>1.0000009940071688</v>
      </c>
      <c r="V223" s="4">
        <f t="shared" si="167"/>
        <v>1.4099690389446993E-3</v>
      </c>
      <c r="W223" t="str">
        <f t="shared" si="158"/>
        <v>1-0,0122393226848168i</v>
      </c>
      <c r="X223" s="4">
        <f t="shared" si="168"/>
        <v>1.0000748977050584</v>
      </c>
      <c r="Y223" s="4">
        <f t="shared" si="169"/>
        <v>-1.2238711585401968E-2</v>
      </c>
      <c r="Z223" t="str">
        <f t="shared" si="159"/>
        <v>0,999994964298353+0,0104939952699619i</v>
      </c>
      <c r="AA223" s="4">
        <f t="shared" si="170"/>
        <v>1.0000500250281432</v>
      </c>
      <c r="AB223" s="4">
        <f t="shared" si="171"/>
        <v>1.0493662921132088E-2</v>
      </c>
      <c r="AC223" s="48" t="str">
        <f t="shared" si="172"/>
        <v>-0,0304474694375094-2,01401046757483i</v>
      </c>
      <c r="AD223" s="20">
        <f t="shared" si="173"/>
        <v>6.0822269297766525</v>
      </c>
      <c r="AE223" s="44">
        <f t="shared" si="174"/>
        <v>-90.866121919384952</v>
      </c>
      <c r="AF223" t="str">
        <f t="shared" si="160"/>
        <v>-0,0000125211169631323</v>
      </c>
      <c r="AG223" t="str">
        <f t="shared" si="161"/>
        <v>0,0000340719244045743i</v>
      </c>
      <c r="AH223">
        <f t="shared" si="175"/>
        <v>3.4071924404574297E-5</v>
      </c>
      <c r="AI223">
        <f t="shared" si="176"/>
        <v>1.5707963267948966</v>
      </c>
      <c r="AJ223" t="str">
        <f t="shared" si="162"/>
        <v>1+0,0545293415368812i</v>
      </c>
      <c r="AK223">
        <f t="shared" si="177"/>
        <v>1.0014856210093313</v>
      </c>
      <c r="AL223">
        <f t="shared" si="178"/>
        <v>5.4475391015404252E-2</v>
      </c>
      <c r="AM223" t="str">
        <f t="shared" si="163"/>
        <v>1+7,9860699287196i</v>
      </c>
      <c r="AN223">
        <f t="shared" si="179"/>
        <v>8.0484354322066523</v>
      </c>
      <c r="AO223">
        <f t="shared" si="180"/>
        <v>1.4462266554054248</v>
      </c>
      <c r="AP223" s="42" t="str">
        <f t="shared" si="181"/>
        <v>-2,90612655866378+0,525959915018028i</v>
      </c>
      <c r="AQ223">
        <f t="shared" si="182"/>
        <v>9.40626310055017</v>
      </c>
      <c r="AR223" s="44">
        <f t="shared" si="183"/>
        <v>169.74147358154417</v>
      </c>
      <c r="AS223" s="42" t="str">
        <f t="shared" si="184"/>
        <v>1,14777297394753+5,8369551608082i</v>
      </c>
      <c r="AT223" s="20">
        <f t="shared" si="185"/>
        <v>15.488490030326819</v>
      </c>
      <c r="AU223" s="44">
        <f t="shared" si="186"/>
        <v>78.875351662159161</v>
      </c>
    </row>
    <row r="224" spans="14:47" x14ac:dyDescent="0.3">
      <c r="N224" s="8">
        <v>6</v>
      </c>
      <c r="O224" s="35">
        <f t="shared" si="187"/>
        <v>1148.1536214968839</v>
      </c>
      <c r="P224" s="34" t="str">
        <f t="shared" si="155"/>
        <v>324,571428571429</v>
      </c>
      <c r="Q224" s="4" t="str">
        <f t="shared" si="156"/>
        <v>1+164,892844913697i</v>
      </c>
      <c r="R224" s="4">
        <f t="shared" si="164"/>
        <v>164.89587715807974</v>
      </c>
      <c r="S224" s="4">
        <f t="shared" si="165"/>
        <v>1.5647318566159321</v>
      </c>
      <c r="T224" s="4" t="str">
        <f t="shared" si="157"/>
        <v>1+0,00144281239299485i</v>
      </c>
      <c r="U224" s="4">
        <f t="shared" si="166"/>
        <v>1.0000010408532589</v>
      </c>
      <c r="V224" s="4">
        <f t="shared" si="167"/>
        <v>1.4428113918249252E-3</v>
      </c>
      <c r="W224" t="str">
        <f t="shared" si="158"/>
        <v>1-0,0125244131336359i</v>
      </c>
      <c r="X224" s="4">
        <f t="shared" si="168"/>
        <v>1.0000784273867436</v>
      </c>
      <c r="Y224" s="4">
        <f t="shared" si="169"/>
        <v>-1.2523758331588848E-2</v>
      </c>
      <c r="Z224" t="str">
        <f t="shared" si="159"/>
        <v>0,999994726973046+0,0107384318207794i</v>
      </c>
      <c r="AA224" s="4">
        <f t="shared" si="170"/>
        <v>1.0000523825739662</v>
      </c>
      <c r="AB224" s="4">
        <f t="shared" si="171"/>
        <v>1.0738075703596937E-2</v>
      </c>
      <c r="AC224" s="48" t="str">
        <f t="shared" si="172"/>
        <v>-0,0310098993827741-1,96815071686889i</v>
      </c>
      <c r="AD224" s="20">
        <f t="shared" si="173"/>
        <v>5.8822450438762806</v>
      </c>
      <c r="AE224" s="44">
        <f t="shared" si="174"/>
        <v>-90.902669364327323</v>
      </c>
      <c r="AF224" t="str">
        <f t="shared" si="160"/>
        <v>-0,0000125211169631323</v>
      </c>
      <c r="AG224" t="str">
        <f t="shared" si="161"/>
        <v>0,0000348655614767206i</v>
      </c>
      <c r="AH224">
        <f t="shared" si="175"/>
        <v>3.4865561476720599E-5</v>
      </c>
      <c r="AI224">
        <f t="shared" si="176"/>
        <v>1.5707963267948966</v>
      </c>
      <c r="AJ224" t="str">
        <f t="shared" si="162"/>
        <v>1+0,0557994930683744i</v>
      </c>
      <c r="AK224">
        <f t="shared" si="177"/>
        <v>1.0015555817959818</v>
      </c>
      <c r="AL224">
        <f t="shared" si="178"/>
        <v>5.5741688891274517E-2</v>
      </c>
      <c r="AM224" t="str">
        <f t="shared" si="163"/>
        <v>1+8,17208939392283i</v>
      </c>
      <c r="AN224">
        <f t="shared" si="179"/>
        <v>8.2330459164434409</v>
      </c>
      <c r="AO224">
        <f t="shared" si="180"/>
        <v>1.449033943346113</v>
      </c>
      <c r="AP224" s="42" t="str">
        <f t="shared" si="181"/>
        <v>-2,90572057460686+0,521263371729916i</v>
      </c>
      <c r="AQ224">
        <f t="shared" si="182"/>
        <v>9.4026378154940531</v>
      </c>
      <c r="AR224" s="44">
        <f t="shared" si="183"/>
        <v>169.82976580852983</v>
      </c>
      <c r="AS224" s="42" t="str">
        <f t="shared" si="184"/>
        <v>1,11603098140074+5,7027317072239i</v>
      </c>
      <c r="AT224" s="20">
        <f t="shared" si="185"/>
        <v>15.284882859370324</v>
      </c>
      <c r="AU224" s="44">
        <f t="shared" si="186"/>
        <v>78.927096444202519</v>
      </c>
    </row>
    <row r="225" spans="14:47" x14ac:dyDescent="0.3">
      <c r="N225" s="8">
        <v>7</v>
      </c>
      <c r="O225" s="35">
        <f t="shared" si="187"/>
        <v>1174.8975549395295</v>
      </c>
      <c r="P225" s="34" t="str">
        <f t="shared" si="155"/>
        <v>324,571428571429</v>
      </c>
      <c r="Q225" s="4" t="str">
        <f t="shared" si="156"/>
        <v>1+168,733692677423i</v>
      </c>
      <c r="R225" s="4">
        <f t="shared" si="164"/>
        <v>168.73665590072309</v>
      </c>
      <c r="S225" s="4">
        <f t="shared" si="165"/>
        <v>1.5648698975407045</v>
      </c>
      <c r="T225" s="4" t="str">
        <f t="shared" si="157"/>
        <v>1+0,00147641981092745i</v>
      </c>
      <c r="U225" s="4">
        <f t="shared" si="166"/>
        <v>1.0000010899071352</v>
      </c>
      <c r="V225" s="4">
        <f t="shared" si="167"/>
        <v>1.476418738154611E-3</v>
      </c>
      <c r="W225" t="str">
        <f t="shared" si="158"/>
        <v>1-0,0128161441920786i</v>
      </c>
      <c r="X225" s="4">
        <f t="shared" si="168"/>
        <v>1.0000821234038493</v>
      </c>
      <c r="Y225" s="4">
        <f t="shared" si="169"/>
        <v>-1.2815442562155799E-2</v>
      </c>
      <c r="Z225" t="str">
        <f t="shared" si="159"/>
        <v>0,999994478462942+0,0109885620302882i</v>
      </c>
      <c r="AA225" s="4">
        <f t="shared" si="170"/>
        <v>1.0000548512216041</v>
      </c>
      <c r="AB225" s="4">
        <f t="shared" si="171"/>
        <v>1.0988180444979607E-2</v>
      </c>
      <c r="AC225" s="48" t="str">
        <f t="shared" si="172"/>
        <v>-0,0315470000829445-1,92333419870361i</v>
      </c>
      <c r="AD225" s="20">
        <f t="shared" si="173"/>
        <v>5.6822633180006168</v>
      </c>
      <c r="AE225" s="44">
        <f t="shared" si="174"/>
        <v>-90.939695189090997</v>
      </c>
      <c r="AF225" t="str">
        <f t="shared" si="160"/>
        <v>-0,0000125211169631323</v>
      </c>
      <c r="AG225" t="str">
        <f t="shared" si="161"/>
        <v>0,0000356776847310619i</v>
      </c>
      <c r="AH225">
        <f t="shared" si="175"/>
        <v>3.5677684731061901E-5</v>
      </c>
      <c r="AI225">
        <f t="shared" si="176"/>
        <v>1.5707963267948966</v>
      </c>
      <c r="AJ225" t="str">
        <f t="shared" si="162"/>
        <v>1+0,057099230229686i</v>
      </c>
      <c r="AK225">
        <f t="shared" si="177"/>
        <v>1.0016288344955044</v>
      </c>
      <c r="AL225">
        <f t="shared" si="178"/>
        <v>5.7037297376647686E-2</v>
      </c>
      <c r="AM225" t="str">
        <f t="shared" si="163"/>
        <v>1+8,3624418090931i</v>
      </c>
      <c r="AN225">
        <f t="shared" si="179"/>
        <v>8.422020720140047</v>
      </c>
      <c r="AO225">
        <f t="shared" si="180"/>
        <v>1.4517791945704144</v>
      </c>
      <c r="AP225" s="42" t="str">
        <f t="shared" si="181"/>
        <v>-2,90529557866923+0,516841080283644i</v>
      </c>
      <c r="AQ225">
        <f t="shared" si="182"/>
        <v>9.3991179227567692</v>
      </c>
      <c r="AR225" s="44">
        <f t="shared" si="183"/>
        <v>169.91282421927215</v>
      </c>
      <c r="AS225" s="42" t="str">
        <f t="shared" si="184"/>
        <v>1,08571148486571+5,57154955819435i</v>
      </c>
      <c r="AT225" s="20">
        <f t="shared" si="185"/>
        <v>15.08138124075739</v>
      </c>
      <c r="AU225" s="44">
        <f t="shared" si="186"/>
        <v>78.973129030181155</v>
      </c>
    </row>
    <row r="226" spans="14:47" x14ac:dyDescent="0.3">
      <c r="N226" s="8">
        <v>8</v>
      </c>
      <c r="O226" s="35">
        <f t="shared" si="187"/>
        <v>1202.2644346174138</v>
      </c>
      <c r="P226" s="34" t="str">
        <f t="shared" si="155"/>
        <v>324,571428571429</v>
      </c>
      <c r="Q226" s="4" t="str">
        <f t="shared" si="156"/>
        <v>1+172,664005278462i</v>
      </c>
      <c r="R226" s="4">
        <f t="shared" si="164"/>
        <v>172.66690105170926</v>
      </c>
      <c r="S226" s="4">
        <f t="shared" si="165"/>
        <v>1.5650047964886553</v>
      </c>
      <c r="T226" s="4" t="str">
        <f t="shared" si="157"/>
        <v>1+0,00151081004618654i</v>
      </c>
      <c r="U226" s="4">
        <f t="shared" si="166"/>
        <v>1.0000011412728467</v>
      </c>
      <c r="V226" s="4">
        <f t="shared" si="167"/>
        <v>1.5108088966898038E-3</v>
      </c>
      <c r="W226" t="str">
        <f t="shared" si="158"/>
        <v>1-0,0131146705398137i</v>
      </c>
      <c r="X226" s="4">
        <f t="shared" si="168"/>
        <v>1.0000859935942348</v>
      </c>
      <c r="Y226" s="4">
        <f t="shared" si="169"/>
        <v>-1.3113918733297664E-2</v>
      </c>
      <c r="Z226" t="str">
        <f t="shared" si="159"/>
        <v>0,999994218240917+0,0112445185208363i</v>
      </c>
      <c r="AA226" s="4">
        <f t="shared" si="170"/>
        <v>1.0000574362065553</v>
      </c>
      <c r="AB226" s="4">
        <f t="shared" si="171"/>
        <v>1.1244109646076446E-2</v>
      </c>
      <c r="AC226" s="48" t="str">
        <f t="shared" si="172"/>
        <v>-0,0320599105548942-1,87953717128411i</v>
      </c>
      <c r="AD226" s="20">
        <f t="shared" si="173"/>
        <v>5.4822817908915766</v>
      </c>
      <c r="AE226" s="44">
        <f t="shared" si="174"/>
        <v>-90.977219006497137</v>
      </c>
      <c r="AF226" t="str">
        <f t="shared" si="160"/>
        <v>-0,0000125211169631323</v>
      </c>
      <c r="AG226" t="str">
        <f t="shared" si="161"/>
        <v>0,0000365087247660978i</v>
      </c>
      <c r="AH226">
        <f t="shared" si="175"/>
        <v>3.6508724766097801E-5</v>
      </c>
      <c r="AI226">
        <f t="shared" si="176"/>
        <v>1.5707963267948966</v>
      </c>
      <c r="AJ226" t="str">
        <f t="shared" si="162"/>
        <v>1+0,0584292421586632i</v>
      </c>
      <c r="AK226">
        <f t="shared" si="177"/>
        <v>1.0017055337469369</v>
      </c>
      <c r="AL226">
        <f t="shared" si="178"/>
        <v>5.8362886011961802E-2</v>
      </c>
      <c r="AM226" t="str">
        <f t="shared" si="163"/>
        <v>1+8,55722810160057i</v>
      </c>
      <c r="AN226">
        <f t="shared" si="179"/>
        <v>8.6154601027932625</v>
      </c>
      <c r="AO226">
        <f t="shared" si="180"/>
        <v>1.4544636990434354</v>
      </c>
      <c r="AP226" s="42" t="str">
        <f t="shared" si="181"/>
        <v>-2,90485068651775+0,512690544665958i</v>
      </c>
      <c r="AQ226">
        <f t="shared" si="182"/>
        <v>9.3956962314264381</v>
      </c>
      <c r="AR226" s="44">
        <f t="shared" si="183"/>
        <v>169.99068436148627</v>
      </c>
      <c r="AS226" s="42" t="str">
        <f t="shared" si="184"/>
        <v>1,05675018925065+5,44333802933595i</v>
      </c>
      <c r="AT226" s="20">
        <f t="shared" si="185"/>
        <v>14.877978022318024</v>
      </c>
      <c r="AU226" s="44">
        <f t="shared" si="186"/>
        <v>79.013465354989094</v>
      </c>
    </row>
    <row r="227" spans="14:47" x14ac:dyDescent="0.3">
      <c r="N227" s="8">
        <v>9</v>
      </c>
      <c r="O227" s="35">
        <f t="shared" si="187"/>
        <v>1230.2687708123824</v>
      </c>
      <c r="P227" s="34" t="str">
        <f t="shared" si="155"/>
        <v>324,571428571429</v>
      </c>
      <c r="Q227" s="4" t="str">
        <f t="shared" si="156"/>
        <v>1+176,685866620577i</v>
      </c>
      <c r="R227" s="4">
        <f t="shared" si="164"/>
        <v>176.68869647904569</v>
      </c>
      <c r="S227" s="4">
        <f t="shared" si="165"/>
        <v>1.565136624965342</v>
      </c>
      <c r="T227" s="4" t="str">
        <f t="shared" si="157"/>
        <v>1+0,00154600133293005i</v>
      </c>
      <c r="U227" s="4">
        <f t="shared" si="166"/>
        <v>1.0000011950593466</v>
      </c>
      <c r="V227" s="4">
        <f t="shared" si="167"/>
        <v>1.5460001012221852E-3</v>
      </c>
      <c r="W227" t="str">
        <f t="shared" si="158"/>
        <v>1-0,0134201504594622i</v>
      </c>
      <c r="X227" s="4">
        <f t="shared" si="168"/>
        <v>1.0000900461650213</v>
      </c>
      <c r="Y227" s="4">
        <f t="shared" si="169"/>
        <v>-1.3419344888183807E-2</v>
      </c>
      <c r="Z227" t="str">
        <f t="shared" si="159"/>
        <v>0,999993945755006+0,0115064370039429i</v>
      </c>
      <c r="AA227" s="4">
        <f t="shared" si="170"/>
        <v>1.000060143011005</v>
      </c>
      <c r="AB227" s="4">
        <f t="shared" si="171"/>
        <v>1.1505998888163518E-2</v>
      </c>
      <c r="AC227" s="48" t="str">
        <f t="shared" si="172"/>
        <v>-0,0325497185264491-1,83673643199562i</v>
      </c>
      <c r="AD227" s="20">
        <f t="shared" si="173"/>
        <v>5.2823005017111937</v>
      </c>
      <c r="AE227" s="44">
        <f t="shared" si="174"/>
        <v>-91.015260692234591</v>
      </c>
      <c r="AF227" t="str">
        <f t="shared" si="160"/>
        <v>-0,0000125211169631323</v>
      </c>
      <c r="AG227" t="str">
        <f t="shared" si="161"/>
        <v>0,0000373591222102547i</v>
      </c>
      <c r="AH227">
        <f t="shared" si="175"/>
        <v>3.7359122210254699E-5</v>
      </c>
      <c r="AI227">
        <f t="shared" si="176"/>
        <v>1.5707963267948966</v>
      </c>
      <c r="AJ227" t="str">
        <f t="shared" si="162"/>
        <v>1+0,0597902340452352i</v>
      </c>
      <c r="AK227">
        <f t="shared" si="177"/>
        <v>1.0017858414287877</v>
      </c>
      <c r="AL227">
        <f t="shared" si="178"/>
        <v>5.9719138996877398E-2</v>
      </c>
      <c r="AM227" t="str">
        <f t="shared" si="163"/>
        <v>1+8,7565515497158i</v>
      </c>
      <c r="AN227">
        <f t="shared" si="179"/>
        <v>8.8134666869983782</v>
      </c>
      <c r="AO227">
        <f t="shared" si="180"/>
        <v>1.4570887252732159</v>
      </c>
      <c r="AP227" s="42" t="str">
        <f t="shared" si="181"/>
        <v>-2,9043849732592+0,508809402255975i</v>
      </c>
      <c r="AQ227">
        <f t="shared" si="182"/>
        <v>9.3923657374452123</v>
      </c>
      <c r="AR227" s="44">
        <f t="shared" si="183"/>
        <v>170.06337971357615</v>
      </c>
      <c r="AS227" s="42" t="str">
        <f t="shared" si="184"/>
        <v>1,0290856794375+5,31802809009876i</v>
      </c>
      <c r="AT227" s="20">
        <f t="shared" si="185"/>
        <v>14.674666239156416</v>
      </c>
      <c r="AU227" s="44">
        <f t="shared" si="186"/>
        <v>79.048119021341563</v>
      </c>
    </row>
    <row r="228" spans="14:47" x14ac:dyDescent="0.3">
      <c r="N228" s="8">
        <v>10</v>
      </c>
      <c r="O228" s="35">
        <f t="shared" si="187"/>
        <v>1258.925411794168</v>
      </c>
      <c r="P228" s="34" t="str">
        <f t="shared" si="155"/>
        <v>324,571428571429</v>
      </c>
      <c r="Q228" s="4" t="str">
        <f t="shared" si="156"/>
        <v>1+180,801409147889i</v>
      </c>
      <c r="R228" s="4">
        <f t="shared" si="164"/>
        <v>180.80417459191133</v>
      </c>
      <c r="S228" s="4">
        <f t="shared" si="165"/>
        <v>1.5652654528496293</v>
      </c>
      <c r="T228" s="4" t="str">
        <f t="shared" si="157"/>
        <v>1+0,00158201233004403i</v>
      </c>
      <c r="U228" s="4">
        <f t="shared" si="166"/>
        <v>1.0000012513807233</v>
      </c>
      <c r="V228" s="4">
        <f t="shared" si="167"/>
        <v>1.5820110102453635E-3</v>
      </c>
      <c r="W228" t="str">
        <f t="shared" si="158"/>
        <v>1-0,0137327459205211i</v>
      </c>
      <c r="X228" s="4">
        <f t="shared" si="168"/>
        <v>1.000094289709984</v>
      </c>
      <c r="Y228" s="4">
        <f t="shared" si="169"/>
        <v>-1.3731882739739838E-2</v>
      </c>
      <c r="Z228" t="str">
        <f t="shared" si="159"/>
        <v>0,99999366042723+0,0117744563522547i</v>
      </c>
      <c r="AA228" s="4">
        <f t="shared" si="170"/>
        <v>1.0000629773754459</v>
      </c>
      <c r="AB228" s="4">
        <f t="shared" si="171"/>
        <v>1.1773986904331546E-2</v>
      </c>
      <c r="AC228" s="48" t="str">
        <f t="shared" si="172"/>
        <v>-0,0330174627417018-1,79490930519247i</v>
      </c>
      <c r="AD228" s="20">
        <f t="shared" si="173"/>
        <v>5.0823194901242292</v>
      </c>
      <c r="AE228" s="44">
        <f t="shared" si="174"/>
        <v>-91.053840395303155</v>
      </c>
      <c r="AF228" t="str">
        <f t="shared" si="160"/>
        <v>-0,0000125211169631323</v>
      </c>
      <c r="AG228" t="str">
        <f t="shared" si="161"/>
        <v>0,0000382293279555139i</v>
      </c>
      <c r="AH228">
        <f t="shared" si="175"/>
        <v>3.8229327955513897E-5</v>
      </c>
      <c r="AI228">
        <f t="shared" si="176"/>
        <v>1.5707963267948966</v>
      </c>
      <c r="AJ228" t="str">
        <f t="shared" si="162"/>
        <v>1+0,0611829275053154i</v>
      </c>
      <c r="AK228">
        <f t="shared" si="177"/>
        <v>1.001869926995576</v>
      </c>
      <c r="AL228">
        <f t="shared" si="178"/>
        <v>6.1106755465623046E-2</v>
      </c>
      <c r="AM228" t="str">
        <f t="shared" si="163"/>
        <v>1+8,96051783736936i</v>
      </c>
      <c r="AN228">
        <f t="shared" si="179"/>
        <v>9.0161455131233605</v>
      </c>
      <c r="AO228">
        <f t="shared" si="180"/>
        <v>1.4596555202978019</v>
      </c>
      <c r="AP228" s="42" t="str">
        <f t="shared" si="181"/>
        <v>-2,90389747163514+0,505195421822193i</v>
      </c>
      <c r="AQ228">
        <f t="shared" si="182"/>
        <v>9.3891196108129478</v>
      </c>
      <c r="AR228" s="44">
        <f t="shared" si="183"/>
        <v>170.13094166811814</v>
      </c>
      <c r="AS228" s="42" t="str">
        <f t="shared" si="184"/>
        <v>1,00265929014472+5,19555232214551i</v>
      </c>
      <c r="AT228" s="20">
        <f t="shared" si="185"/>
        <v>14.471439100937181</v>
      </c>
      <c r="AU228" s="44">
        <f t="shared" si="186"/>
        <v>79.077101272815042</v>
      </c>
    </row>
    <row r="229" spans="14:47" x14ac:dyDescent="0.3">
      <c r="N229" s="8">
        <v>11</v>
      </c>
      <c r="O229" s="35">
        <f t="shared" si="187"/>
        <v>1288.2495516931347</v>
      </c>
      <c r="P229" s="34" t="str">
        <f t="shared" si="155"/>
        <v>324,571428571429</v>
      </c>
      <c r="Q229" s="4" t="str">
        <f t="shared" si="156"/>
        <v>1+185,01281497552i</v>
      </c>
      <c r="R229" s="4">
        <f t="shared" si="164"/>
        <v>185.0155174712813</v>
      </c>
      <c r="S229" s="4">
        <f t="shared" si="165"/>
        <v>1.5653913484306521</v>
      </c>
      <c r="T229" s="4" t="str">
        <f t="shared" si="157"/>
        <v>1+0,0016188621310358i</v>
      </c>
      <c r="U229" s="4">
        <f t="shared" si="166"/>
        <v>1.0000013103564411</v>
      </c>
      <c r="V229" s="4">
        <f t="shared" si="167"/>
        <v>1.6188607168461501E-3</v>
      </c>
      <c r="W229" t="str">
        <f t="shared" si="158"/>
        <v>1-0,0140526226652413i</v>
      </c>
      <c r="X229" s="4">
        <f t="shared" si="168"/>
        <v>1.0000987332277607</v>
      </c>
      <c r="Y229" s="4">
        <f t="shared" si="169"/>
        <v>-1.4051697755301793E-2</v>
      </c>
      <c r="Z229" t="str">
        <f t="shared" si="159"/>
        <v>0,99999336165237+0,0120487186731779i</v>
      </c>
      <c r="AA229" s="4">
        <f t="shared" si="170"/>
        <v>1.0000659453108445</v>
      </c>
      <c r="AB229" s="4">
        <f t="shared" si="171"/>
        <v>1.2048215652452106E-2</v>
      </c>
      <c r="AC229" s="48" t="str">
        <f t="shared" si="172"/>
        <v>-0,0334641351625945-1,75403363026053i</v>
      </c>
      <c r="AD229" s="20">
        <f t="shared" si="173"/>
        <v>4.8823387963824718</v>
      </c>
      <c r="AE229" s="44">
        <f t="shared" si="174"/>
        <v>-91.092978548595667</v>
      </c>
      <c r="AF229" t="str">
        <f t="shared" si="160"/>
        <v>-0,0000125211169631323</v>
      </c>
      <c r="AG229" t="str">
        <f t="shared" si="161"/>
        <v>0,0000391198033964801i</v>
      </c>
      <c r="AH229">
        <f t="shared" si="175"/>
        <v>3.9119803396480103E-5</v>
      </c>
      <c r="AI229">
        <f t="shared" si="176"/>
        <v>1.5707963267948966</v>
      </c>
      <c r="AJ229" t="str">
        <f t="shared" si="162"/>
        <v>1+0,0626080609634106i</v>
      </c>
      <c r="AK229">
        <f t="shared" si="177"/>
        <v>1.0019579678297879</v>
      </c>
      <c r="AL229">
        <f t="shared" si="178"/>
        <v>6.252644976412762E-2</v>
      </c>
      <c r="AM229" t="str">
        <f t="shared" si="163"/>
        <v>1+9,16923511018676i</v>
      </c>
      <c r="AN229">
        <f t="shared" si="179"/>
        <v>9.2236040952483211</v>
      </c>
      <c r="AO229">
        <f t="shared" si="180"/>
        <v>1.4621653097032952</v>
      </c>
      <c r="AP229" s="42" t="str">
        <f t="shared" si="181"/>
        <v>-2,90338717014198+0,50184650153732i</v>
      </c>
      <c r="AQ229">
        <f t="shared" si="182"/>
        <v>9.3859511830076592</v>
      </c>
      <c r="AR229" s="44">
        <f t="shared" si="183"/>
        <v>170.19339951701647</v>
      </c>
      <c r="AS229" s="42" t="str">
        <f t="shared" si="184"/>
        <v>0,977414981616026+5,07584487893766i</v>
      </c>
      <c r="AT229" s="20">
        <f t="shared" si="185"/>
        <v>14.268289979390122</v>
      </c>
      <c r="AU229" s="44">
        <f t="shared" si="186"/>
        <v>79.100420968420778</v>
      </c>
    </row>
    <row r="230" spans="14:47" x14ac:dyDescent="0.3">
      <c r="N230" s="8">
        <v>12</v>
      </c>
      <c r="O230" s="35">
        <f t="shared" si="187"/>
        <v>1318.2567385564089</v>
      </c>
      <c r="P230" s="34" t="str">
        <f t="shared" si="155"/>
        <v>324,571428571429</v>
      </c>
      <c r="Q230" s="4" t="str">
        <f t="shared" si="156"/>
        <v>1+189,322317046585i</v>
      </c>
      <c r="R230" s="4">
        <f t="shared" si="164"/>
        <v>189.32495802690053</v>
      </c>
      <c r="S230" s="4">
        <f t="shared" si="165"/>
        <v>1.5655143784439414</v>
      </c>
      <c r="T230" s="4" t="str">
        <f t="shared" si="157"/>
        <v>1+0,00165657027415762i</v>
      </c>
      <c r="U230" s="4">
        <f t="shared" si="166"/>
        <v>1.0000013721115952</v>
      </c>
      <c r="V230" s="4">
        <f t="shared" si="167"/>
        <v>1.656568758826221E-3</v>
      </c>
      <c r="W230" t="str">
        <f t="shared" si="158"/>
        <v>1-0,0143799502965071i</v>
      </c>
      <c r="X230" s="4">
        <f t="shared" si="168"/>
        <v>1.0001033861409181</v>
      </c>
      <c r="Y230" s="4">
        <f t="shared" si="169"/>
        <v>-1.4378959243184504E-2</v>
      </c>
      <c r="Z230" t="str">
        <f t="shared" si="159"/>
        <v>0,999993048796685+0,0123293693842252i</v>
      </c>
      <c r="AA230" s="4">
        <f t="shared" si="170"/>
        <v>1.0000690531113849</v>
      </c>
      <c r="AB230" s="4">
        <f t="shared" si="171"/>
        <v>1.2328830389811229E-2</v>
      </c>
      <c r="AC230" s="48" t="str">
        <f t="shared" si="172"/>
        <v>-0,0338906830714201-1,71408774994688i</v>
      </c>
      <c r="AD230" s="20">
        <f t="shared" si="173"/>
        <v>4.6823584614094651</v>
      </c>
      <c r="AE230" s="44">
        <f t="shared" si="174"/>
        <v>-91.132695879624109</v>
      </c>
      <c r="AF230" t="str">
        <f t="shared" si="160"/>
        <v>-0,0000125211169631323</v>
      </c>
      <c r="AG230" t="str">
        <f t="shared" si="161"/>
        <v>0,0000400310206750189i</v>
      </c>
      <c r="AH230">
        <f t="shared" si="175"/>
        <v>4.0031020675018897E-5</v>
      </c>
      <c r="AI230">
        <f t="shared" si="176"/>
        <v>1.5707963267948966</v>
      </c>
      <c r="AJ230" t="str">
        <f t="shared" si="162"/>
        <v>1+0,0640663900441443i</v>
      </c>
      <c r="AK230">
        <f t="shared" si="177"/>
        <v>1.0020501496099326</v>
      </c>
      <c r="AL230">
        <f t="shared" si="178"/>
        <v>6.3978951728666689E-2</v>
      </c>
      <c r="AM230" t="str">
        <f t="shared" si="163"/>
        <v>1+9,38281403282877i</v>
      </c>
      <c r="AN230">
        <f t="shared" si="179"/>
        <v>9.4359524784013455</v>
      </c>
      <c r="AO230">
        <f t="shared" si="180"/>
        <v>1.4646192976704189</v>
      </c>
      <c r="AP230" s="42" t="str">
        <f t="shared" si="181"/>
        <v>-2,9028530110734+0,498760667006315i</v>
      </c>
      <c r="AQ230">
        <f t="shared" si="182"/>
        <v>9.3828539346099085</v>
      </c>
      <c r="AR230" s="44">
        <f t="shared" si="183"/>
        <v>170.25078043820596</v>
      </c>
      <c r="AS230" s="42" t="str">
        <f t="shared" si="184"/>
        <v>0,953299220872066+4,95884144648333i</v>
      </c>
      <c r="AT230" s="20">
        <f t="shared" si="185"/>
        <v>14.065212396019378</v>
      </c>
      <c r="AU230" s="44">
        <f t="shared" si="186"/>
        <v>79.118084558581856</v>
      </c>
    </row>
    <row r="231" spans="14:47" x14ac:dyDescent="0.3">
      <c r="N231" s="8">
        <v>13</v>
      </c>
      <c r="O231" s="35">
        <f t="shared" si="187"/>
        <v>1348.9628825916541</v>
      </c>
      <c r="P231" s="34" t="str">
        <f t="shared" si="155"/>
        <v>324,571428571429</v>
      </c>
      <c r="Q231" s="4" t="str">
        <f t="shared" si="156"/>
        <v>1+193,732200316126i</v>
      </c>
      <c r="R231" s="4">
        <f t="shared" si="164"/>
        <v>193.7347811812003</v>
      </c>
      <c r="S231" s="4">
        <f t="shared" si="165"/>
        <v>1.5656346081067323</v>
      </c>
      <c r="T231" s="4" t="str">
        <f t="shared" si="157"/>
        <v>1+0,0016951567527661i</v>
      </c>
      <c r="U231" s="4">
        <f t="shared" si="166"/>
        <v>1.0000014367771761</v>
      </c>
      <c r="V231" s="4">
        <f t="shared" si="167"/>
        <v>1.6951551290593783E-3</v>
      </c>
      <c r="W231" t="str">
        <f t="shared" si="158"/>
        <v>1-0,0147149023677613i</v>
      </c>
      <c r="X231" s="4">
        <f t="shared" si="168"/>
        <v>1.0001082583159149</v>
      </c>
      <c r="Y231" s="4">
        <f t="shared" si="169"/>
        <v>-1.4713840441201874E-2</v>
      </c>
      <c r="Z231" t="str">
        <f t="shared" si="159"/>
        <v>0,999992721196566+0,0126165572901185i</v>
      </c>
      <c r="AA231" s="4">
        <f t="shared" si="170"/>
        <v>1.0000723073678062</v>
      </c>
      <c r="AB231" s="4">
        <f t="shared" si="171"/>
        <v>1.261597974944775E-2</v>
      </c>
      <c r="AC231" s="48" t="str">
        <f t="shared" si="172"/>
        <v>-0,0342980110786963-1,67505049895122i</v>
      </c>
      <c r="AD231" s="20">
        <f t="shared" si="173"/>
        <v>4.4823785268873655</v>
      </c>
      <c r="AE231" s="44">
        <f t="shared" si="174"/>
        <v>-91.17301342139497</v>
      </c>
      <c r="AF231" t="str">
        <f t="shared" si="160"/>
        <v>-0,0000125211169631323</v>
      </c>
      <c r="AG231" t="str">
        <f t="shared" si="161"/>
        <v>0,0000409634629305928i</v>
      </c>
      <c r="AH231">
        <f t="shared" si="175"/>
        <v>4.0963462930592799E-5</v>
      </c>
      <c r="AI231">
        <f t="shared" si="176"/>
        <v>1.5707963267948966</v>
      </c>
      <c r="AJ231" t="str">
        <f t="shared" si="162"/>
        <v>1+0,0655586879728983i</v>
      </c>
      <c r="AK231">
        <f t="shared" si="177"/>
        <v>1.0021466666954133</v>
      </c>
      <c r="AL231">
        <f t="shared" si="178"/>
        <v>6.5465006965715458E-2</v>
      </c>
      <c r="AM231" t="str">
        <f t="shared" si="163"/>
        <v>1+9,60136784766719i</v>
      </c>
      <c r="AN231">
        <f t="shared" si="179"/>
        <v>9.6533032971215231</v>
      </c>
      <c r="AO231">
        <f t="shared" si="180"/>
        <v>1.4670186670472756</v>
      </c>
      <c r="AP231" s="42" t="str">
        <f t="shared" si="181"/>
        <v>-2,90229388848257+0,495936069302892i</v>
      </c>
      <c r="AQ231">
        <f t="shared" si="182"/>
        <v>9.3798214831187856</v>
      </c>
      <c r="AR231" s="44">
        <f t="shared" si="183"/>
        <v>170.30310948378661</v>
      </c>
      <c r="AS231" s="42" t="str">
        <f t="shared" si="184"/>
        <v>0,930260868274524+4,84447920520653i</v>
      </c>
      <c r="AT231" s="20">
        <f t="shared" si="185"/>
        <v>13.862200010006148</v>
      </c>
      <c r="AU231" s="44">
        <f t="shared" si="186"/>
        <v>79.130096062391644</v>
      </c>
    </row>
    <row r="232" spans="14:47" x14ac:dyDescent="0.3">
      <c r="N232" s="8">
        <v>14</v>
      </c>
      <c r="O232" s="35">
        <f t="shared" si="187"/>
        <v>1380.3842646028863</v>
      </c>
      <c r="P232" s="34" t="str">
        <f t="shared" si="155"/>
        <v>324,571428571429</v>
      </c>
      <c r="Q232" s="4" t="str">
        <f t="shared" si="156"/>
        <v>1+198,244802962623i</v>
      </c>
      <c r="R232" s="4">
        <f t="shared" si="164"/>
        <v>198.247325080792</v>
      </c>
      <c r="S232" s="4">
        <f t="shared" si="165"/>
        <v>1.565752101152472</v>
      </c>
      <c r="T232" s="4" t="str">
        <f t="shared" si="157"/>
        <v>1+0,00173464202592295i</v>
      </c>
      <c r="U232" s="4">
        <f t="shared" si="166"/>
        <v>1.0000015044903474</v>
      </c>
      <c r="V232" s="4">
        <f t="shared" si="167"/>
        <v>1.734640286089993E-3</v>
      </c>
      <c r="W232" t="str">
        <f t="shared" si="158"/>
        <v>1-0,0150576564750256i</v>
      </c>
      <c r="X232" s="4">
        <f t="shared" si="168"/>
        <v>1.0001133600840058</v>
      </c>
      <c r="Y232" s="4">
        <f t="shared" si="169"/>
        <v>-1.505651860718211E-2</v>
      </c>
      <c r="Z232" t="str">
        <f t="shared" si="159"/>
        <v>0,999992378157128+0,0129104346616869i</v>
      </c>
      <c r="AA232" s="4">
        <f t="shared" si="170"/>
        <v>1.0000757149813719</v>
      </c>
      <c r="AB232" s="4">
        <f t="shared" si="171"/>
        <v>1.2909815818232306E-2</v>
      </c>
      <c r="AC232" s="48" t="str">
        <f t="shared" si="172"/>
        <v>-0,0346869830406508-1,63690119277313i</v>
      </c>
      <c r="AD232" s="20">
        <f t="shared" si="173"/>
        <v>4.2823990353452226</v>
      </c>
      <c r="AE232" s="44">
        <f t="shared" si="174"/>
        <v>-91.213952523438749</v>
      </c>
      <c r="AF232" t="str">
        <f t="shared" si="160"/>
        <v>-0,0000125211169631323</v>
      </c>
      <c r="AG232" t="str">
        <f t="shared" si="161"/>
        <v>0,0000419176245564281i</v>
      </c>
      <c r="AH232">
        <f t="shared" si="175"/>
        <v>4.1917624556428099E-5</v>
      </c>
      <c r="AI232">
        <f t="shared" si="176"/>
        <v>1.5707963267948966</v>
      </c>
      <c r="AJ232" t="str">
        <f t="shared" si="162"/>
        <v>1+0,0670857459857874i</v>
      </c>
      <c r="AK232">
        <f t="shared" si="177"/>
        <v>1.0022477225289512</v>
      </c>
      <c r="AL232">
        <f t="shared" si="178"/>
        <v>6.6985377132676591E-2</v>
      </c>
      <c r="AM232" t="str">
        <f t="shared" si="163"/>
        <v>1+9,82501243482759i</v>
      </c>
      <c r="AN232">
        <f t="shared" si="179"/>
        <v>9.8757718353816166</v>
      </c>
      <c r="AO232">
        <f t="shared" si="180"/>
        <v>1.4693645794461216</v>
      </c>
      <c r="AP232" s="42" t="str">
        <f t="shared" si="181"/>
        <v>-2,90170864606157+0,493370983009496i</v>
      </c>
      <c r="AQ232">
        <f t="shared" si="182"/>
        <v>9.3768475709465946</v>
      </c>
      <c r="AR232" s="44">
        <f t="shared" si="183"/>
        <v>170.35040956948342</v>
      </c>
      <c r="AS232" s="42" t="str">
        <f t="shared" si="184"/>
        <v>0,908251069162743+4,73269679289789i</v>
      </c>
      <c r="AT232" s="20">
        <f t="shared" si="185"/>
        <v>13.659246606291822</v>
      </c>
      <c r="AU232" s="44">
        <f t="shared" si="186"/>
        <v>79.136457046044669</v>
      </c>
    </row>
    <row r="233" spans="14:47" x14ac:dyDescent="0.3">
      <c r="N233" s="8">
        <v>15</v>
      </c>
      <c r="O233" s="35">
        <f t="shared" si="187"/>
        <v>1412.5375446227545</v>
      </c>
      <c r="P233" s="34" t="str">
        <f t="shared" si="155"/>
        <v>324,571428571429</v>
      </c>
      <c r="Q233" s="4" t="str">
        <f t="shared" si="156"/>
        <v>1+202,862517627731i</v>
      </c>
      <c r="R233" s="4">
        <f t="shared" si="164"/>
        <v>202.86498233618701</v>
      </c>
      <c r="S233" s="4">
        <f t="shared" si="165"/>
        <v>1.5658669198645454</v>
      </c>
      <c r="T233" s="4" t="str">
        <f t="shared" si="157"/>
        <v>1+0,00177504702924264i</v>
      </c>
      <c r="U233" s="4">
        <f t="shared" si="166"/>
        <v>1.0000015753947371</v>
      </c>
      <c r="V233" s="4">
        <f t="shared" si="167"/>
        <v>1.7750451649781974E-3</v>
      </c>
      <c r="W233" t="str">
        <f t="shared" si="158"/>
        <v>1-0,0154083943510646i</v>
      </c>
      <c r="X233" s="4">
        <f t="shared" si="168"/>
        <v>1.0001187022631253</v>
      </c>
      <c r="Y233" s="4">
        <f t="shared" si="169"/>
        <v>-1.5407175111518996E-2</v>
      </c>
      <c r="Z233" t="str">
        <f t="shared" si="159"/>
        <v>0,99999201895074+0,0132111573166028i</v>
      </c>
      <c r="AA233" s="4">
        <f t="shared" si="170"/>
        <v>1.0000792831784993</v>
      </c>
      <c r="AB233" s="4">
        <f t="shared" si="171"/>
        <v>1.3210494216725857E-2</v>
      </c>
      <c r="AC233" s="48" t="str">
        <f t="shared" si="172"/>
        <v>-0,0350584238903783-1,59961961680955i</v>
      </c>
      <c r="AD233" s="20">
        <f t="shared" si="173"/>
        <v>4.0824200302485476</v>
      </c>
      <c r="AE233" s="44">
        <f t="shared" si="174"/>
        <v>-91.255534862999383</v>
      </c>
      <c r="AF233" t="str">
        <f t="shared" si="160"/>
        <v>-0,0000125211169631323</v>
      </c>
      <c r="AG233" t="str">
        <f t="shared" si="161"/>
        <v>0,0000428940114616485i</v>
      </c>
      <c r="AH233">
        <f t="shared" si="175"/>
        <v>4.2894011461648497E-5</v>
      </c>
      <c r="AI233">
        <f t="shared" si="176"/>
        <v>1.5707963267948966</v>
      </c>
      <c r="AJ233" t="str">
        <f t="shared" si="162"/>
        <v>1+0,068648373749183i</v>
      </c>
      <c r="AK233">
        <f t="shared" si="177"/>
        <v>1.0023535300573385</v>
      </c>
      <c r="AL233">
        <f t="shared" si="178"/>
        <v>6.8540840219115565E-2</v>
      </c>
      <c r="AM233" t="str">
        <f t="shared" si="163"/>
        <v>1+10,0538663736303i</v>
      </c>
      <c r="AN233">
        <f t="shared" si="179"/>
        <v>10.103476087902324</v>
      </c>
      <c r="AO233">
        <f t="shared" si="180"/>
        <v>1.4716581753620994</v>
      </c>
      <c r="AP233" s="42" t="str">
        <f t="shared" si="181"/>
        <v>-2,90109607493527+0,491063804255469i</v>
      </c>
      <c r="AQ233">
        <f t="shared" si="182"/>
        <v>9.3739260535785593</v>
      </c>
      <c r="AR233" s="44">
        <f t="shared" si="183"/>
        <v>170.39270146533605</v>
      </c>
      <c r="AS233" s="42" t="str">
        <f t="shared" si="184"/>
        <v>0,887223150333967+4,62343426870884i</v>
      </c>
      <c r="AT233" s="20">
        <f t="shared" si="185"/>
        <v>13.456346083827116</v>
      </c>
      <c r="AU233" s="44">
        <f t="shared" si="186"/>
        <v>79.137166602336649</v>
      </c>
    </row>
    <row r="234" spans="14:47" x14ac:dyDescent="0.3">
      <c r="N234" s="8">
        <v>16</v>
      </c>
      <c r="O234" s="35">
        <f t="shared" si="187"/>
        <v>1445.4397707459289</v>
      </c>
      <c r="P234" s="34" t="str">
        <f t="shared" si="155"/>
        <v>324,571428571429</v>
      </c>
      <c r="Q234" s="4" t="str">
        <f t="shared" si="156"/>
        <v>1+207,587792684888i</v>
      </c>
      <c r="R234" s="4">
        <f t="shared" si="164"/>
        <v>207.59020129038856</v>
      </c>
      <c r="S234" s="4">
        <f t="shared" si="165"/>
        <v>1.565979125109237</v>
      </c>
      <c r="T234" s="4" t="str">
        <f t="shared" si="157"/>
        <v>1+0,00181639318599277i</v>
      </c>
      <c r="U234" s="4">
        <f t="shared" si="166"/>
        <v>1.0000016496407425</v>
      </c>
      <c r="V234" s="4">
        <f t="shared" si="167"/>
        <v>1.8163911883976075E-3</v>
      </c>
      <c r="W234" t="str">
        <f t="shared" si="158"/>
        <v>1-0,0157673019617428i</v>
      </c>
      <c r="X234" s="4">
        <f t="shared" si="168"/>
        <v>1.0001242961808061</v>
      </c>
      <c r="Y234" s="4">
        <f t="shared" si="169"/>
        <v>-1.576599553180098E-2</v>
      </c>
      <c r="Z234" t="str">
        <f t="shared" si="159"/>
        <v>0,999991642815477+0,0135188847019983i</v>
      </c>
      <c r="AA234" s="4">
        <f t="shared" si="170"/>
        <v>1.0000830195260706</v>
      </c>
      <c r="AB234" s="4">
        <f t="shared" si="171"/>
        <v>1.3518174180855888E-2</v>
      </c>
      <c r="AC234" s="48" t="str">
        <f t="shared" si="172"/>
        <v>-0,0354131213865431-1,5631860156972i</v>
      </c>
      <c r="AD234" s="20">
        <f t="shared" si="173"/>
        <v>3.8824415560913565</v>
      </c>
      <c r="AE234" s="44">
        <f t="shared" si="174"/>
        <v>-91.297782456388518</v>
      </c>
      <c r="AF234" t="str">
        <f t="shared" si="160"/>
        <v>-0,0000125211169631323</v>
      </c>
      <c r="AG234" t="str">
        <f t="shared" si="161"/>
        <v>0,0000438931413395153i</v>
      </c>
      <c r="AH234">
        <f t="shared" si="175"/>
        <v>4.3893141339515302E-5</v>
      </c>
      <c r="AI234">
        <f t="shared" si="176"/>
        <v>1.5707963267948966</v>
      </c>
      <c r="AJ234" t="str">
        <f t="shared" si="162"/>
        <v>1+0,0702473997890091i</v>
      </c>
      <c r="AK234">
        <f t="shared" si="177"/>
        <v>1.0024643121713197</v>
      </c>
      <c r="AL234">
        <f t="shared" si="178"/>
        <v>7.0132190828104582E-2</v>
      </c>
      <c r="AM234" t="str">
        <f t="shared" si="163"/>
        <v>1+10,288051005463i</v>
      </c>
      <c r="AN234">
        <f t="shared" si="179"/>
        <v>10.336536822892292</v>
      </c>
      <c r="AO234">
        <f t="shared" si="180"/>
        <v>1.4739005743120119</v>
      </c>
      <c r="AP234" s="42" t="str">
        <f t="shared" si="181"/>
        <v>-2,90045491136705+0,489013048747926i</v>
      </c>
      <c r="AQ234">
        <f t="shared" si="182"/>
        <v>9.3710508878838503</v>
      </c>
      <c r="AR234" s="44">
        <f t="shared" si="183"/>
        <v>170.43000378752993</v>
      </c>
      <c r="AS234" s="42" t="str">
        <f t="shared" si="184"/>
        <v>0,867132521148647+4,51663307815432i</v>
      </c>
      <c r="AT234" s="20">
        <f t="shared" si="185"/>
        <v>13.253492443975203</v>
      </c>
      <c r="AU234" s="44">
        <f t="shared" si="186"/>
        <v>79.132221331141437</v>
      </c>
    </row>
    <row r="235" spans="14:47" x14ac:dyDescent="0.3">
      <c r="N235" s="8">
        <v>17</v>
      </c>
      <c r="O235" s="35">
        <f t="shared" si="187"/>
        <v>1479.1083881682086</v>
      </c>
      <c r="P235" s="34" t="str">
        <f t="shared" si="155"/>
        <v>324,571428571429</v>
      </c>
      <c r="Q235" s="4" t="str">
        <f t="shared" si="156"/>
        <v>1+212,423133537476i</v>
      </c>
      <c r="R235" s="4">
        <f t="shared" si="164"/>
        <v>212.4254873170363</v>
      </c>
      <c r="S235" s="4">
        <f t="shared" si="165"/>
        <v>1.566088776367945</v>
      </c>
      <c r="T235" s="4" t="str">
        <f t="shared" si="157"/>
        <v>1+0,00185870241845291i</v>
      </c>
      <c r="U235" s="4">
        <f t="shared" si="166"/>
        <v>1.0000017273858481</v>
      </c>
      <c r="V235" s="4">
        <f t="shared" si="167"/>
        <v>1.858700277991329E-3</v>
      </c>
      <c r="W235" t="str">
        <f t="shared" si="158"/>
        <v>1-0,016134569604626i</v>
      </c>
      <c r="X235" s="4">
        <f t="shared" si="168"/>
        <v>1.0001301536981708</v>
      </c>
      <c r="Y235" s="4">
        <f t="shared" si="169"/>
        <v>-1.6133169749561221E-2</v>
      </c>
      <c r="Z235" t="str">
        <f t="shared" si="159"/>
        <v>0,999991248953504+0,0138337799790063i</v>
      </c>
      <c r="AA235" s="4">
        <f t="shared" si="170"/>
        <v>1.0000869319474663</v>
      </c>
      <c r="AB235" s="4">
        <f t="shared" si="171"/>
        <v>1.3833018645450099E-2</v>
      </c>
      <c r="AC235" s="48" t="str">
        <f t="shared" si="172"/>
        <v>-0,0357518277833267-1,52758108289447i</v>
      </c>
      <c r="AD235" s="20">
        <f t="shared" si="173"/>
        <v>3.6824636584903518</v>
      </c>
      <c r="AE235" s="44">
        <f t="shared" si="174"/>
        <v>-91.340717670510017</v>
      </c>
      <c r="AF235" t="str">
        <f t="shared" si="160"/>
        <v>-0,0000125211169631323</v>
      </c>
      <c r="AG235" t="str">
        <f t="shared" si="161"/>
        <v>0,0000449155439419147i</v>
      </c>
      <c r="AH235">
        <f t="shared" si="175"/>
        <v>4.4915543941914703E-5</v>
      </c>
      <c r="AI235">
        <f t="shared" si="176"/>
        <v>1.5707963267948966</v>
      </c>
      <c r="AJ235" t="str">
        <f t="shared" si="162"/>
        <v>1+0,0718836719300375i</v>
      </c>
      <c r="AK235">
        <f t="shared" si="177"/>
        <v>1.0025803021654403</v>
      </c>
      <c r="AL235">
        <f t="shared" si="178"/>
        <v>7.1760240457238403E-2</v>
      </c>
      <c r="AM235" t="str">
        <f t="shared" si="163"/>
        <v>1+10,5276904981173i</v>
      </c>
      <c r="AN235">
        <f t="shared" si="179"/>
        <v>10.575077646246825</v>
      </c>
      <c r="AO235">
        <f t="shared" si="180"/>
        <v>1.4760928749913225</v>
      </c>
      <c r="AP235" s="42" t="str">
        <f t="shared" si="181"/>
        <v>-2,89978383437361+0,487217349789512i</v>
      </c>
      <c r="AQ235">
        <f t="shared" si="182"/>
        <v>9.3682161205636003</v>
      </c>
      <c r="AR235" s="44">
        <f t="shared" si="183"/>
        <v>170.46233299129091</v>
      </c>
      <c r="AS235" s="42" t="str">
        <f t="shared" si="184"/>
        <v>0,847936579051837+4,41223601908959i</v>
      </c>
      <c r="AT235" s="20">
        <f t="shared" si="185"/>
        <v>13.050679779053949</v>
      </c>
      <c r="AU235" s="44">
        <f t="shared" si="186"/>
        <v>79.121615320780862</v>
      </c>
    </row>
    <row r="236" spans="14:47" x14ac:dyDescent="0.3">
      <c r="N236" s="8">
        <v>18</v>
      </c>
      <c r="O236" s="35">
        <f t="shared" si="187"/>
        <v>1513.5612484362093</v>
      </c>
      <c r="P236" s="34" t="str">
        <f t="shared" si="155"/>
        <v>324,571428571429</v>
      </c>
      <c r="Q236" s="4" t="str">
        <f t="shared" si="156"/>
        <v>1+217,371103947218i</v>
      </c>
      <c r="R236" s="4">
        <f t="shared" si="164"/>
        <v>217.37340414878781</v>
      </c>
      <c r="S236" s="4">
        <f t="shared" si="165"/>
        <v>1.5661959317686651</v>
      </c>
      <c r="T236" s="4" t="str">
        <f t="shared" si="157"/>
        <v>1+0,00190199715953816i</v>
      </c>
      <c r="U236" s="4">
        <f t="shared" si="166"/>
        <v>1.0000018087949616</v>
      </c>
      <c r="V236" s="4">
        <f t="shared" si="167"/>
        <v>1.9019948659924778E-3</v>
      </c>
      <c r="W236" t="str">
        <f t="shared" si="158"/>
        <v>1-0,0165103920098798i</v>
      </c>
      <c r="X236" s="4">
        <f t="shared" si="168"/>
        <v>1.0001362872350548</v>
      </c>
      <c r="Y236" s="4">
        <f t="shared" si="169"/>
        <v>-1.6508892049192505E-2</v>
      </c>
      <c r="Z236" t="str">
        <f t="shared" si="159"/>
        <v>0,999990836529389+0,014156010109271i</v>
      </c>
      <c r="AA236" s="4">
        <f t="shared" si="170"/>
        <v>1.000091028739365</v>
      </c>
      <c r="AB236" s="4">
        <f t="shared" si="171"/>
        <v>1.4155194329667373E-2</v>
      </c>
      <c r="AC236" s="48" t="str">
        <f t="shared" si="172"/>
        <v>-0,0360752614251529-1,49278595049748i</v>
      </c>
      <c r="AD236" s="20">
        <f t="shared" si="173"/>
        <v>3.4824863842811964</v>
      </c>
      <c r="AE236" s="44">
        <f t="shared" si="174"/>
        <v>-91.384363234560297</v>
      </c>
      <c r="AF236" t="str">
        <f t="shared" si="160"/>
        <v>-0,0000125211169631323</v>
      </c>
      <c r="AG236" t="str">
        <f t="shared" si="161"/>
        <v>0,0000459617613602396i</v>
      </c>
      <c r="AH236">
        <f t="shared" si="175"/>
        <v>4.59617613602396E-5</v>
      </c>
      <c r="AI236">
        <f t="shared" si="176"/>
        <v>1.5707963267948966</v>
      </c>
      <c r="AJ236" t="str">
        <f t="shared" si="162"/>
        <v>1+0,0735580577454161i</v>
      </c>
      <c r="AK236">
        <f t="shared" si="177"/>
        <v>1.0027017442187272</v>
      </c>
      <c r="AL236">
        <f t="shared" si="178"/>
        <v>7.3425817778847116E-2</v>
      </c>
      <c r="AM236" t="str">
        <f t="shared" si="163"/>
        <v>1+10,7729119116241i</v>
      </c>
      <c r="AN236">
        <f t="shared" si="179"/>
        <v>10.819225067240835</v>
      </c>
      <c r="AO236">
        <f t="shared" si="180"/>
        <v>1.4782361554476964</v>
      </c>
      <c r="AP236" s="42" t="str">
        <f t="shared" si="181"/>
        <v>-2,89908146324614+0,485675456276934i</v>
      </c>
      <c r="AQ236">
        <f t="shared" si="182"/>
        <v>9.365415876721233</v>
      </c>
      <c r="AR236" s="44">
        <f t="shared" si="183"/>
        <v>170.48970336477308</v>
      </c>
      <c r="AS236" s="42" t="str">
        <f t="shared" si="184"/>
        <v>0,829594619311079+4,31018720862854i</v>
      </c>
      <c r="AT236" s="20">
        <f t="shared" si="185"/>
        <v>12.847902261002426</v>
      </c>
      <c r="AU236" s="44">
        <f t="shared" si="186"/>
        <v>79.105340130212795</v>
      </c>
    </row>
    <row r="237" spans="14:47" x14ac:dyDescent="0.3">
      <c r="N237" s="8">
        <v>19</v>
      </c>
      <c r="O237" s="35">
        <f t="shared" si="187"/>
        <v>1548.8166189124822</v>
      </c>
      <c r="P237" s="34" t="str">
        <f t="shared" si="155"/>
        <v>324,571428571429</v>
      </c>
      <c r="Q237" s="4" t="str">
        <f t="shared" si="156"/>
        <v>1+222,434327393519i</v>
      </c>
      <c r="R237" s="4">
        <f t="shared" si="164"/>
        <v>222.43657523664399</v>
      </c>
      <c r="S237" s="4">
        <f t="shared" si="165"/>
        <v>1.5663006481167603</v>
      </c>
      <c r="T237" s="4" t="str">
        <f t="shared" si="157"/>
        <v>1+0,00194630036469329i</v>
      </c>
      <c r="U237" s="4">
        <f t="shared" si="166"/>
        <v>1.0000018940407611</v>
      </c>
      <c r="V237" s="4">
        <f t="shared" si="167"/>
        <v>1.9462979071150656E-3</v>
      </c>
      <c r="W237" t="str">
        <f t="shared" si="158"/>
        <v>1-0,0168949684435182i</v>
      </c>
      <c r="X237" s="4">
        <f t="shared" si="168"/>
        <v>1.0001427097963107</v>
      </c>
      <c r="Y237" s="4">
        <f t="shared" si="169"/>
        <v>-1.6893361219070577E-2</v>
      </c>
      <c r="Z237" t="str">
        <f t="shared" si="159"/>
        <v>0,999990404668324+0,0144857459434725i</v>
      </c>
      <c r="AA237" s="4">
        <f t="shared" si="170"/>
        <v>1.000095318589312</v>
      </c>
      <c r="AB237" s="4">
        <f t="shared" si="171"/>
        <v>1.4484871824365933E-2</v>
      </c>
      <c r="AC237" s="48" t="str">
        <f t="shared" si="172"/>
        <v>-0,0363841082695679-1,45878217928527i</v>
      </c>
      <c r="AD237" s="20">
        <f t="shared" si="173"/>
        <v>3.2825097816176281</v>
      </c>
      <c r="AE237" s="44">
        <f t="shared" si="174"/>
        <v>-91.428742251909839</v>
      </c>
      <c r="AF237" t="str">
        <f t="shared" si="160"/>
        <v>-0,0000125211169631323</v>
      </c>
      <c r="AG237" t="str">
        <f t="shared" si="161"/>
        <v>0,0000470323483128135i</v>
      </c>
      <c r="AH237">
        <f t="shared" si="175"/>
        <v>4.7032348312813501E-5</v>
      </c>
      <c r="AI237">
        <f t="shared" si="176"/>
        <v>1.5707963267948966</v>
      </c>
      <c r="AJ237" t="str">
        <f t="shared" si="162"/>
        <v>1+0,0752714450166673i</v>
      </c>
      <c r="AK237">
        <f t="shared" si="177"/>
        <v>1.0028288938971079</v>
      </c>
      <c r="AL237">
        <f t="shared" si="178"/>
        <v>7.5129768918888701E-2</v>
      </c>
      <c r="AM237" t="str">
        <f t="shared" si="163"/>
        <v>1+11,0238452656228i</v>
      </c>
      <c r="AN237">
        <f t="shared" si="179"/>
        <v>11.069108565751545</v>
      </c>
      <c r="AO237">
        <f t="shared" si="180"/>
        <v>1.4803314732695017</v>
      </c>
      <c r="AP237" s="42" t="str">
        <f t="shared" si="181"/>
        <v>-2,8983463549755+0,484386230673874i</v>
      </c>
      <c r="AQ237">
        <f t="shared" si="182"/>
        <v>9.3626443485413411</v>
      </c>
      <c r="AR237" s="44">
        <f t="shared" si="183"/>
        <v>170.5121270238802</v>
      </c>
      <c r="AS237" s="42" t="str">
        <f t="shared" si="184"/>
        <v>0,812067748780347+4,21043205097355i</v>
      </c>
      <c r="AT237" s="20">
        <f t="shared" si="185"/>
        <v>12.645154130158963</v>
      </c>
      <c r="AU237" s="44">
        <f t="shared" si="186"/>
        <v>79.083384771970373</v>
      </c>
    </row>
    <row r="238" spans="14:47" x14ac:dyDescent="0.3">
      <c r="N238" s="8">
        <v>20</v>
      </c>
      <c r="O238" s="35">
        <f t="shared" si="187"/>
        <v>1584.8931924611156</v>
      </c>
      <c r="P238" s="34" t="str">
        <f t="shared" si="155"/>
        <v>324,571428571429</v>
      </c>
      <c r="Q238" s="4" t="str">
        <f t="shared" si="156"/>
        <v>1+227,615488464472i</v>
      </c>
      <c r="R238" s="4">
        <f t="shared" si="164"/>
        <v>227.61768514094021</v>
      </c>
      <c r="S238" s="4">
        <f t="shared" si="165"/>
        <v>1.5664029809250328</v>
      </c>
      <c r="T238" s="4" t="str">
        <f t="shared" si="157"/>
        <v>1+0,00199163552406413i</v>
      </c>
      <c r="U238" s="4">
        <f t="shared" si="166"/>
        <v>1.0000019833040636</v>
      </c>
      <c r="V238" s="4">
        <f t="shared" si="167"/>
        <v>1.9916328907219004E-3</v>
      </c>
      <c r="W238" t="str">
        <f t="shared" si="158"/>
        <v>1-0,0172885028130567i</v>
      </c>
      <c r="X238" s="4">
        <f t="shared" si="168"/>
        <v>1.0001494349993489</v>
      </c>
      <c r="Y238" s="4">
        <f t="shared" si="169"/>
        <v>-1.7286780654930178E-2</v>
      </c>
      <c r="Z238" t="str">
        <f t="shared" si="159"/>
        <v>0,999989952454274+0,0148231623119148i</v>
      </c>
      <c r="AA238" s="4">
        <f t="shared" si="170"/>
        <v>1.0000998105941359</v>
      </c>
      <c r="AB238" s="4">
        <f t="shared" si="171"/>
        <v>1.4822225681452077E-2</v>
      </c>
      <c r="AC238" s="48" t="str">
        <f t="shared" si="172"/>
        <v>-0,0366790233414947-1,4255517489889i</v>
      </c>
      <c r="AD238" s="20">
        <f t="shared" si="173"/>
        <v>3.0825339000726615</v>
      </c>
      <c r="AE238" s="44">
        <f t="shared" si="174"/>
        <v>-91.473878212171286</v>
      </c>
      <c r="AF238" t="str">
        <f t="shared" si="160"/>
        <v>-0,0000125211169631323</v>
      </c>
      <c r="AG238" t="str">
        <f t="shared" si="161"/>
        <v>0,0000481278724390096i</v>
      </c>
      <c r="AH238">
        <f t="shared" si="175"/>
        <v>4.8127872439009601E-5</v>
      </c>
      <c r="AI238">
        <f t="shared" si="176"/>
        <v>1.5707963267948966</v>
      </c>
      <c r="AJ238" t="str">
        <f t="shared" si="162"/>
        <v>1+0,0770247422044018i</v>
      </c>
      <c r="AK238">
        <f t="shared" si="177"/>
        <v>1.0029620186785013</v>
      </c>
      <c r="AL238">
        <f t="shared" si="178"/>
        <v>7.6872957733960676E-2</v>
      </c>
      <c r="AM238" t="str">
        <f t="shared" si="163"/>
        <v>1+11,2806236082992i</v>
      </c>
      <c r="AN238">
        <f t="shared" si="179"/>
        <v>11.324860661046442</v>
      </c>
      <c r="AO238">
        <f t="shared" si="180"/>
        <v>1.4823798657877771</v>
      </c>
      <c r="AP238" s="42" t="str">
        <f t="shared" si="181"/>
        <v>-2,89757700157822+0,483348646951459i</v>
      </c>
      <c r="AQ238">
        <f t="shared" si="182"/>
        <v>9.3598957840604982</v>
      </c>
      <c r="AR238" s="44">
        <f t="shared" si="183"/>
        <v>170.52961390796554</v>
      </c>
      <c r="AS238" s="42" t="str">
        <f t="shared" si="184"/>
        <v>0,795318803507737+4,11291720612623i</v>
      </c>
      <c r="AT238" s="20">
        <f t="shared" si="185"/>
        <v>12.442429684133156</v>
      </c>
      <c r="AU238" s="44">
        <f t="shared" si="186"/>
        <v>79.05573569579424</v>
      </c>
    </row>
    <row r="239" spans="14:47" x14ac:dyDescent="0.3">
      <c r="N239" s="8">
        <v>21</v>
      </c>
      <c r="O239" s="35">
        <f t="shared" si="187"/>
        <v>1621.8100973589308</v>
      </c>
      <c r="P239" s="34" t="str">
        <f t="shared" si="155"/>
        <v>324,571428571429</v>
      </c>
      <c r="Q239" s="4" t="str">
        <f t="shared" si="156"/>
        <v>1+232,917334280254i</v>
      </c>
      <c r="R239" s="4">
        <f t="shared" si="164"/>
        <v>232.91948095472733</v>
      </c>
      <c r="S239" s="4">
        <f t="shared" si="165"/>
        <v>1.5665029844431146</v>
      </c>
      <c r="T239" s="4" t="str">
        <f t="shared" si="157"/>
        <v>1+0,00203802667495222i</v>
      </c>
      <c r="U239" s="4">
        <f t="shared" si="166"/>
        <v>1.0000020767742075</v>
      </c>
      <c r="V239" s="4">
        <f t="shared" si="167"/>
        <v>2.0380238532755005E-3</v>
      </c>
      <c r="W239" t="str">
        <f t="shared" si="158"/>
        <v>1-0,0176912037756269i</v>
      </c>
      <c r="X239" s="4">
        <f t="shared" si="168"/>
        <v>1.0001564771029734</v>
      </c>
      <c r="Y239" s="4">
        <f t="shared" si="169"/>
        <v>-1.7689358465539994E-2</v>
      </c>
      <c r="Z239" t="str">
        <f t="shared" si="159"/>
        <v>0,999989478928032+0,0151684381172225i</v>
      </c>
      <c r="AA239" s="4">
        <f t="shared" si="170"/>
        <v>1.0001045142792193</v>
      </c>
      <c r="AB239" s="4">
        <f t="shared" si="171"/>
        <v>1.5167434505249157E-2</v>
      </c>
      <c r="AC239" s="48" t="str">
        <f t="shared" si="172"/>
        <v>-0,0369606321219467-1,39307704877986i</v>
      </c>
      <c r="AD239" s="20">
        <f t="shared" si="173"/>
        <v>2.882558790744048</v>
      </c>
      <c r="AE239" s="44">
        <f t="shared" si="174"/>
        <v>-91.519795003459762</v>
      </c>
      <c r="AF239" t="str">
        <f t="shared" si="160"/>
        <v>-0,0000125211169631323</v>
      </c>
      <c r="AG239" t="str">
        <f t="shared" si="161"/>
        <v>0,0000492489146002205i</v>
      </c>
      <c r="AH239">
        <f t="shared" si="175"/>
        <v>4.9248914600220503E-5</v>
      </c>
      <c r="AI239">
        <f t="shared" si="176"/>
        <v>1.5707963267948966</v>
      </c>
      <c r="AJ239" t="str">
        <f t="shared" si="162"/>
        <v>1+0,0788188789299958i</v>
      </c>
      <c r="AK239">
        <f t="shared" si="177"/>
        <v>1.003101398501558</v>
      </c>
      <c r="AL239">
        <f t="shared" si="178"/>
        <v>7.8656266085821533E-2</v>
      </c>
      <c r="AM239" t="str">
        <f t="shared" si="163"/>
        <v>1+11,5433830869294i</v>
      </c>
      <c r="AN239">
        <f t="shared" si="179"/>
        <v>11.586616982174206</v>
      </c>
      <c r="AO239">
        <f t="shared" si="180"/>
        <v>1.4843823502902942</v>
      </c>
      <c r="AP239" s="42" t="str">
        <f t="shared" si="181"/>
        <v>-2,89677182732134+0,482561788489203i</v>
      </c>
      <c r="AQ239">
        <f t="shared" si="182"/>
        <v>9.357164476016731</v>
      </c>
      <c r="AR239" s="44">
        <f t="shared" si="183"/>
        <v>170.54217177636809</v>
      </c>
      <c r="AS239" s="42" t="str">
        <f t="shared" si="184"/>
        <v>0,779312270013313+4,017590559453i</v>
      </c>
      <c r="AT239" s="20">
        <f t="shared" si="185"/>
        <v>12.239723266760784</v>
      </c>
      <c r="AU239" s="44">
        <f t="shared" si="186"/>
        <v>79.022376772908331</v>
      </c>
    </row>
    <row r="240" spans="14:47" x14ac:dyDescent="0.3">
      <c r="N240" s="8">
        <v>22</v>
      </c>
      <c r="O240" s="35">
        <f t="shared" si="187"/>
        <v>1659.5869074375626</v>
      </c>
      <c r="P240" s="34" t="str">
        <f t="shared" si="155"/>
        <v>324,571428571429</v>
      </c>
      <c r="Q240" s="4" t="str">
        <f t="shared" si="156"/>
        <v>1+238,342675949698i</v>
      </c>
      <c r="R240" s="4">
        <f t="shared" si="164"/>
        <v>238.3447737603297</v>
      </c>
      <c r="S240" s="4">
        <f t="shared" si="165"/>
        <v>1.5666007116861889</v>
      </c>
      <c r="T240" s="4" t="str">
        <f t="shared" si="157"/>
        <v>1+0,00208549841455986i</v>
      </c>
      <c r="U240" s="4">
        <f t="shared" si="166"/>
        <v>1.0000021746494541</v>
      </c>
      <c r="V240" s="4">
        <f t="shared" si="167"/>
        <v>2.0854953910791367E-3</v>
      </c>
      <c r="W240" t="str">
        <f t="shared" si="158"/>
        <v>1-0,0181032848486099i</v>
      </c>
      <c r="X240" s="4">
        <f t="shared" si="168"/>
        <v>1.0001638510375737</v>
      </c>
      <c r="Y240" s="4">
        <f t="shared" si="169"/>
        <v>-1.8101307580722162E-2</v>
      </c>
      <c r="Z240" t="str">
        <f t="shared" si="159"/>
        <v>0,999988983085187+0,0155217564291981i</v>
      </c>
      <c r="AA240" s="4">
        <f t="shared" si="170"/>
        <v>1.000109439618682</v>
      </c>
      <c r="AB240" s="4">
        <f t="shared" si="171"/>
        <v>1.5520681045932251E-2</v>
      </c>
      <c r="AC240" s="48" t="str">
        <f t="shared" si="172"/>
        <v>-0,0372295318741324-1,36134086797248i</v>
      </c>
      <c r="AD240" s="20">
        <f t="shared" si="173"/>
        <v>2.6825845063614451</v>
      </c>
      <c r="AE240" s="44">
        <f t="shared" si="174"/>
        <v>-91.566516924851044</v>
      </c>
      <c r="AF240" t="str">
        <f t="shared" si="160"/>
        <v>-0,0000125211169631323</v>
      </c>
      <c r="AG240" t="str">
        <f t="shared" si="161"/>
        <v>0,000050396069187839i</v>
      </c>
      <c r="AH240">
        <f t="shared" si="175"/>
        <v>5.0396069187839001E-5</v>
      </c>
      <c r="AI240">
        <f t="shared" si="176"/>
        <v>1.5707963267948966</v>
      </c>
      <c r="AJ240" t="str">
        <f t="shared" si="162"/>
        <v>1+0,0806548064684901i</v>
      </c>
      <c r="AK240">
        <f t="shared" si="177"/>
        <v>1.0032473263390587</v>
      </c>
      <c r="AL240">
        <f t="shared" si="178"/>
        <v>8.0480594112765619E-2</v>
      </c>
      <c r="AM240" t="str">
        <f t="shared" si="163"/>
        <v>1+11,812263020067i</v>
      </c>
      <c r="AN240">
        <f t="shared" si="179"/>
        <v>11.854516339996433</v>
      </c>
      <c r="AO240">
        <f t="shared" si="180"/>
        <v>1.4863399242464175</v>
      </c>
      <c r="AP240" s="42" t="str">
        <f t="shared" si="181"/>
        <v>-2,8959291858431+0,482024845928883i</v>
      </c>
      <c r="AQ240">
        <f t="shared" si="182"/>
        <v>9.3544447507609405</v>
      </c>
      <c r="AR240" s="44">
        <f t="shared" si="183"/>
        <v>170.54980620574733</v>
      </c>
      <c r="AS240" s="42" t="str">
        <f t="shared" si="184"/>
        <v>0,764014210070703+3,92440119207685i</v>
      </c>
      <c r="AT240" s="20">
        <f t="shared" si="185"/>
        <v>12.037029257122384</v>
      </c>
      <c r="AU240" s="44">
        <f t="shared" si="186"/>
        <v>78.983289280896273</v>
      </c>
    </row>
    <row r="241" spans="14:47" x14ac:dyDescent="0.3">
      <c r="N241" s="8">
        <v>23</v>
      </c>
      <c r="O241" s="35">
        <f t="shared" si="187"/>
        <v>1698.2436524617447</v>
      </c>
      <c r="P241" s="34" t="str">
        <f t="shared" si="155"/>
        <v>324,571428571429</v>
      </c>
      <c r="Q241" s="4" t="str">
        <f t="shared" si="156"/>
        <v>1+243,894390060768i</v>
      </c>
      <c r="R241" s="4">
        <f t="shared" si="164"/>
        <v>243.89644011980587</v>
      </c>
      <c r="S241" s="4">
        <f t="shared" si="165"/>
        <v>1.5666962144630623</v>
      </c>
      <c r="T241" s="4" t="str">
        <f t="shared" si="157"/>
        <v>1+0,00213407591303172i</v>
      </c>
      <c r="U241" s="4">
        <f t="shared" si="166"/>
        <v>1.0000022771374086</v>
      </c>
      <c r="V241" s="4">
        <f t="shared" si="167"/>
        <v>2.1340726733141547E-3</v>
      </c>
      <c r="W241" t="str">
        <f t="shared" si="158"/>
        <v>1-0,0185249645228448i</v>
      </c>
      <c r="X241" s="4">
        <f t="shared" si="168"/>
        <v>1.0001715724367357</v>
      </c>
      <c r="Y241" s="4">
        <f t="shared" si="169"/>
        <v>-1.8522845861760225E-2</v>
      </c>
      <c r="Z241" t="str">
        <f t="shared" si="159"/>
        <v>0,999988463873988+0,0158833045818871i</v>
      </c>
      <c r="AA241" s="4">
        <f t="shared" si="170"/>
        <v>1.0001145970565068</v>
      </c>
      <c r="AB241" s="4">
        <f t="shared" si="171"/>
        <v>1.5882152295069098E-2</v>
      </c>
      <c r="AC241" s="48" t="str">
        <f t="shared" si="172"/>
        <v>-0,0374862929097632-1,33032638693604i</v>
      </c>
      <c r="AD241" s="20">
        <f t="shared" si="173"/>
        <v>2.4826111013981227</v>
      </c>
      <c r="AE241" s="44">
        <f t="shared" si="174"/>
        <v>-91.614068699042946</v>
      </c>
      <c r="AF241" t="str">
        <f t="shared" si="160"/>
        <v>-0,0000125211169631323</v>
      </c>
      <c r="AG241" t="str">
        <f t="shared" si="161"/>
        <v>0,0000515699444384117i</v>
      </c>
      <c r="AH241">
        <f t="shared" si="175"/>
        <v>5.15699444384117E-5</v>
      </c>
      <c r="AI241">
        <f t="shared" si="176"/>
        <v>1.5707963267948966</v>
      </c>
      <c r="AJ241" t="str">
        <f t="shared" si="162"/>
        <v>1+0,0825334982529661i</v>
      </c>
      <c r="AK241">
        <f t="shared" si="177"/>
        <v>1.0034001087970204</v>
      </c>
      <c r="AL241">
        <f t="shared" si="178"/>
        <v>8.2346860497132621E-2</v>
      </c>
      <c r="AM241" t="str">
        <f t="shared" si="163"/>
        <v>1+12,0874059714117i</v>
      </c>
      <c r="AN241">
        <f t="shared" si="179"/>
        <v>12.128700800898638</v>
      </c>
      <c r="AO241">
        <f t="shared" si="180"/>
        <v>1.488253565541557</v>
      </c>
      <c r="AP241" s="42" t="str">
        <f t="shared" si="181"/>
        <v>-2,89504735716745+0,481737114973419i</v>
      </c>
      <c r="AQ241">
        <f t="shared" si="182"/>
        <v>9.3517309572161604</v>
      </c>
      <c r="AR241" s="44">
        <f t="shared" si="183"/>
        <v>170.5525205881894</v>
      </c>
      <c r="AS241" s="42" t="str">
        <f t="shared" si="184"/>
        <v>0,749392188833995+3,83329935207191i</v>
      </c>
      <c r="AT241" s="20">
        <f t="shared" si="185"/>
        <v>11.834342058614286</v>
      </c>
      <c r="AU241" s="44">
        <f t="shared" si="186"/>
        <v>78.938451889146435</v>
      </c>
    </row>
    <row r="242" spans="14:47" x14ac:dyDescent="0.3">
      <c r="N242" s="8">
        <v>24</v>
      </c>
      <c r="O242" s="35">
        <f t="shared" si="187"/>
        <v>1737.8008287493772</v>
      </c>
      <c r="P242" s="34" t="str">
        <f t="shared" si="155"/>
        <v>324,571428571429</v>
      </c>
      <c r="Q242" s="4" t="str">
        <f t="shared" si="156"/>
        <v>1+249,575420205774i</v>
      </c>
      <c r="R242" s="4">
        <f t="shared" si="164"/>
        <v>249.5774236001499</v>
      </c>
      <c r="S242" s="4">
        <f t="shared" si="165"/>
        <v>1.5667895434035992</v>
      </c>
      <c r="T242" s="4" t="str">
        <f t="shared" si="157"/>
        <v>1+0,00218378492680052i</v>
      </c>
      <c r="U242" s="4">
        <f t="shared" si="166"/>
        <v>1.0000023844554604</v>
      </c>
      <c r="V242" s="4">
        <f t="shared" si="167"/>
        <v>2.183781455381052E-3</v>
      </c>
      <c r="W242" t="str">
        <f t="shared" si="158"/>
        <v>1-0,0189564663784767i</v>
      </c>
      <c r="X242" s="4">
        <f t="shared" si="168"/>
        <v>1.0001796576703399</v>
      </c>
      <c r="Y242" s="4">
        <f t="shared" si="169"/>
        <v>-1.8954196214246655E-2</v>
      </c>
      <c r="Z242" t="str">
        <f t="shared" si="159"/>
        <v>0,999987920193118+0,0162532742729059i</v>
      </c>
      <c r="AA242" s="4">
        <f t="shared" si="170"/>
        <v>1.0001199975286705</v>
      </c>
      <c r="AB242" s="4">
        <f t="shared" si="171"/>
        <v>1.6252039583314809E-2</v>
      </c>
      <c r="AC242" s="48" t="str">
        <f t="shared" si="172"/>
        <v>-0,0377314597982479-1,30001716821165i</v>
      </c>
      <c r="AD242" s="20">
        <f t="shared" si="173"/>
        <v>2.2826386321857211</v>
      </c>
      <c r="AE242" s="44">
        <f t="shared" si="174"/>
        <v>-91.662475485225926</v>
      </c>
      <c r="AF242" t="str">
        <f t="shared" si="160"/>
        <v>-0,0000125211169631323</v>
      </c>
      <c r="AG242" t="str">
        <f t="shared" si="161"/>
        <v>0,0000527711627561345i</v>
      </c>
      <c r="AH242">
        <f t="shared" si="175"/>
        <v>5.2771162756134498E-5</v>
      </c>
      <c r="AI242">
        <f t="shared" si="176"/>
        <v>1.5707963267948966</v>
      </c>
      <c r="AJ242" t="str">
        <f t="shared" si="162"/>
        <v>1+0,0844559503906764i</v>
      </c>
      <c r="AK242">
        <f t="shared" si="177"/>
        <v>1.0035600667405975</v>
      </c>
      <c r="AL242">
        <f t="shared" si="178"/>
        <v>8.4256002728192017E-2</v>
      </c>
      <c r="AM242" t="str">
        <f t="shared" si="163"/>
        <v>1+12,3689578253981i</v>
      </c>
      <c r="AN242">
        <f t="shared" si="179"/>
        <v>12.409315762219805</v>
      </c>
      <c r="AO242">
        <f t="shared" si="180"/>
        <v>1.4901242327200876</v>
      </c>
      <c r="AP242" s="42" t="str">
        <f t="shared" si="181"/>
        <v>-2,89412454460961+0,481697994122429i</v>
      </c>
      <c r="AQ242">
        <f t="shared" si="182"/>
        <v>9.3490174558678945</v>
      </c>
      <c r="AR242" s="44">
        <f t="shared" si="183"/>
        <v>170.55031613006295</v>
      </c>
      <c r="AS242" s="42" t="str">
        <f t="shared" si="184"/>
        <v>0,735415206158332+3,74423642643509i</v>
      </c>
      <c r="AT242" s="20">
        <f t="shared" si="185"/>
        <v>11.631656088053617</v>
      </c>
      <c r="AU242" s="44">
        <f t="shared" si="186"/>
        <v>78.887840644837013</v>
      </c>
    </row>
    <row r="243" spans="14:47" x14ac:dyDescent="0.3">
      <c r="N243" s="8">
        <v>25</v>
      </c>
      <c r="O243" s="35">
        <f t="shared" si="187"/>
        <v>1778.2794100389244</v>
      </c>
      <c r="P243" s="34" t="str">
        <f t="shared" si="155"/>
        <v>324,571428571429</v>
      </c>
      <c r="Q243" s="4" t="str">
        <f t="shared" si="156"/>
        <v>1+255,388778542094i</v>
      </c>
      <c r="R243" s="4">
        <f t="shared" si="164"/>
        <v>255.39073633400008</v>
      </c>
      <c r="S243" s="4">
        <f t="shared" si="165"/>
        <v>1.5668807479855318</v>
      </c>
      <c r="T243" s="4" t="str">
        <f t="shared" si="157"/>
        <v>1+0,00223465181224332i</v>
      </c>
      <c r="U243" s="4">
        <f t="shared" si="166"/>
        <v>1.0000024968312438</v>
      </c>
      <c r="V243" s="4">
        <f t="shared" si="167"/>
        <v>2.2346480925508456E-3</v>
      </c>
      <c r="W243" t="str">
        <f t="shared" si="158"/>
        <v>1-0,019398019203501i</v>
      </c>
      <c r="X243" s="4">
        <f t="shared" si="168"/>
        <v>1.0001881238792127</v>
      </c>
      <c r="Y243" s="4">
        <f t="shared" si="169"/>
        <v>-1.9395586703412453E-2</v>
      </c>
      <c r="Z243" t="str">
        <f t="shared" si="159"/>
        <v>0,999987350889359+0,0166318616650818i</v>
      </c>
      <c r="AA243" s="4">
        <f t="shared" si="170"/>
        <v>1.0001256524863085</v>
      </c>
      <c r="AB243" s="4">
        <f t="shared" si="171"/>
        <v>1.6630538680302027E-2</v>
      </c>
      <c r="AC243" s="48" t="str">
        <f t="shared" si="172"/>
        <v>-0,0379655525213268-1,27039714782948i</v>
      </c>
      <c r="AD243" s="20">
        <f t="shared" si="173"/>
        <v>2.0826671570329953</v>
      </c>
      <c r="AE243" s="44">
        <f t="shared" si="174"/>
        <v>-91.71176289216838</v>
      </c>
      <c r="AF243" t="str">
        <f t="shared" si="160"/>
        <v>-0,0000125211169631323</v>
      </c>
      <c r="AG243" t="str">
        <f t="shared" si="161"/>
        <v>0,0000540003610428596i</v>
      </c>
      <c r="AH243">
        <f t="shared" si="175"/>
        <v>5.4000361042859602E-5</v>
      </c>
      <c r="AI243">
        <f t="shared" si="176"/>
        <v>1.5707963267948966</v>
      </c>
      <c r="AJ243" t="str">
        <f t="shared" si="162"/>
        <v>1+0,0864231821911905i</v>
      </c>
      <c r="AK243">
        <f t="shared" si="177"/>
        <v>1.0037275359479045</v>
      </c>
      <c r="AL243">
        <f t="shared" si="178"/>
        <v>8.6208977359558417E-2</v>
      </c>
      <c r="AM243" t="str">
        <f t="shared" si="163"/>
        <v>1+12,6570678645462i</v>
      </c>
      <c r="AN243">
        <f t="shared" si="179"/>
        <v>12.696510029442269</v>
      </c>
      <c r="AO243">
        <f t="shared" si="180"/>
        <v>1.4919528652357041</v>
      </c>
      <c r="AP243" s="42" t="str">
        <f t="shared" si="181"/>
        <v>-2,89315887157093+0,481906982335619i</v>
      </c>
      <c r="AQ243">
        <f t="shared" si="182"/>
        <v>9.3462986077713612</v>
      </c>
      <c r="AR243" s="44">
        <f t="shared" si="183"/>
        <v>170.54319185161475</v>
      </c>
      <c r="AS243" s="42" t="str">
        <f t="shared" si="184"/>
        <v>0,722053630969451+3,65716491381301i</v>
      </c>
      <c r="AT243" s="20">
        <f t="shared" si="185"/>
        <v>11.42896576480436</v>
      </c>
      <c r="AU243" s="44">
        <f t="shared" si="186"/>
        <v>78.831428959446384</v>
      </c>
    </row>
    <row r="244" spans="14:47" x14ac:dyDescent="0.3">
      <c r="N244" s="8">
        <v>26</v>
      </c>
      <c r="O244" s="35">
        <f t="shared" si="187"/>
        <v>1819.7008586099832</v>
      </c>
      <c r="P244" s="34" t="str">
        <f t="shared" si="155"/>
        <v>324,571428571429</v>
      </c>
      <c r="Q244" s="4" t="str">
        <f t="shared" si="156"/>
        <v>1+261,337547389264i</v>
      </c>
      <c r="R244" s="4">
        <f t="shared" si="164"/>
        <v>261.33946061671554</v>
      </c>
      <c r="S244" s="4">
        <f t="shared" si="165"/>
        <v>1.5669698765606639</v>
      </c>
      <c r="T244" s="4" t="str">
        <f t="shared" si="157"/>
        <v>1+0,00228670353965606i</v>
      </c>
      <c r="U244" s="4">
        <f t="shared" si="166"/>
        <v>1.0000026145031213</v>
      </c>
      <c r="V244" s="4">
        <f t="shared" si="167"/>
        <v>2.2866995539343265E-3</v>
      </c>
      <c r="W244" t="str">
        <f t="shared" si="158"/>
        <v>1-0,01984985711507i</v>
      </c>
      <c r="X244" s="4">
        <f t="shared" si="168"/>
        <v>1.0001969890114091</v>
      </c>
      <c r="Y244" s="4">
        <f t="shared" si="169"/>
        <v>-1.9847250671989523E-2</v>
      </c>
      <c r="Z244" t="str">
        <f t="shared" si="159"/>
        <v>0,999986754755141+0,017019267490461i</v>
      </c>
      <c r="AA244" s="4">
        <f t="shared" si="170"/>
        <v>1.0001315739199672</v>
      </c>
      <c r="AB244" s="4">
        <f t="shared" si="171"/>
        <v>1.7017849896774261E-2</v>
      </c>
      <c r="AC244" s="48" t="str">
        <f t="shared" si="172"/>
        <v>-0,0381890675755988-1,24145062682194i</v>
      </c>
      <c r="AD244" s="20">
        <f t="shared" si="173"/>
        <v>1.8826967363491836</v>
      </c>
      <c r="AE244" s="44">
        <f t="shared" si="174"/>
        <v>-91.761956991522226</v>
      </c>
      <c r="AF244" t="str">
        <f t="shared" si="160"/>
        <v>-0,0000125211169631323</v>
      </c>
      <c r="AG244" t="str">
        <f t="shared" si="161"/>
        <v>0,0000552581910357888i</v>
      </c>
      <c r="AH244">
        <f t="shared" si="175"/>
        <v>5.5258191035788803E-5</v>
      </c>
      <c r="AI244">
        <f t="shared" si="176"/>
        <v>1.5707963267948966</v>
      </c>
      <c r="AJ244" t="str">
        <f t="shared" si="162"/>
        <v>1+0,0884362367068474i</v>
      </c>
      <c r="AK244">
        <f t="shared" si="177"/>
        <v>1.0039028677929303</v>
      </c>
      <c r="AL244">
        <f t="shared" si="178"/>
        <v>8.8206760260254216E-2</v>
      </c>
      <c r="AM244" t="str">
        <f t="shared" si="163"/>
        <v>1+12,9518888486119i</v>
      </c>
      <c r="AN244">
        <f t="shared" si="179"/>
        <v>12.990435895180624</v>
      </c>
      <c r="AO244">
        <f t="shared" si="180"/>
        <v>1.4937403837082146</v>
      </c>
      <c r="AP244" s="42" t="str">
        <f t="shared" si="181"/>
        <v>-2,89214837822061+0,482363676614764i</v>
      </c>
      <c r="AQ244">
        <f t="shared" si="182"/>
        <v>9.3435687635589471</v>
      </c>
      <c r="AR244" s="44">
        <f t="shared" si="183"/>
        <v>170.53114458729803</v>
      </c>
      <c r="AS244" s="42" t="str">
        <f t="shared" si="184"/>
        <v>0,70927913854406+3,57203839796178i</v>
      </c>
      <c r="AT244" s="20">
        <f t="shared" si="185"/>
        <v>11.226265499908134</v>
      </c>
      <c r="AU244" s="44">
        <f t="shared" si="186"/>
        <v>78.769187595775776</v>
      </c>
    </row>
    <row r="245" spans="14:47" x14ac:dyDescent="0.3">
      <c r="N245" s="8">
        <v>27</v>
      </c>
      <c r="O245" s="35">
        <f t="shared" si="187"/>
        <v>1862.0871366628687</v>
      </c>
      <c r="P245" s="34" t="str">
        <f t="shared" si="155"/>
        <v>324,571428571429</v>
      </c>
      <c r="Q245" s="4" t="str">
        <f t="shared" si="156"/>
        <v>1+267,424880863273i</v>
      </c>
      <c r="R245" s="4">
        <f t="shared" si="164"/>
        <v>267.42675054065882</v>
      </c>
      <c r="S245" s="4">
        <f t="shared" si="165"/>
        <v>1.5670569763804785</v>
      </c>
      <c r="T245" s="4" t="str">
        <f t="shared" si="157"/>
        <v>1+0,00233996770755364i</v>
      </c>
      <c r="U245" s="4">
        <f t="shared" si="166"/>
        <v>1.0000027377206886</v>
      </c>
      <c r="V245" s="4">
        <f t="shared" si="167"/>
        <v>2.3399634367764887E-3</v>
      </c>
      <c r="W245" t="str">
        <f t="shared" si="158"/>
        <v>1-0,0203122196836253i</v>
      </c>
      <c r="X245" s="4">
        <f t="shared" si="168"/>
        <v>1.0002062718601978</v>
      </c>
      <c r="Y245" s="4">
        <f t="shared" si="169"/>
        <v>-2.0309426860653044E-2</v>
      </c>
      <c r="Z245" t="str">
        <f t="shared" si="159"/>
        <v>0,999986130525982+0,0174156971567404i</v>
      </c>
      <c r="AA245" s="4">
        <f t="shared" si="170"/>
        <v>1.0001377743850002</v>
      </c>
      <c r="AB245" s="4">
        <f t="shared" si="171"/>
        <v>1.7414178189008936E-2</v>
      </c>
      <c r="AC245" s="48" t="str">
        <f t="shared" si="172"/>
        <v>-0,0384024790252706-1,2131622629282i</v>
      </c>
      <c r="AD245" s="20">
        <f t="shared" si="173"/>
        <v>1.6827274327704813</v>
      </c>
      <c r="AE245" s="44">
        <f t="shared" si="174"/>
        <v>-91.813084331355142</v>
      </c>
      <c r="AF245" t="str">
        <f t="shared" si="160"/>
        <v>-0,0000125211169631323</v>
      </c>
      <c r="AG245" t="str">
        <f t="shared" si="161"/>
        <v>0,0000565453196530339i</v>
      </c>
      <c r="AH245">
        <f t="shared" si="175"/>
        <v>5.6545319653033902E-5</v>
      </c>
      <c r="AI245">
        <f t="shared" si="176"/>
        <v>1.5707963267948966</v>
      </c>
      <c r="AJ245" t="str">
        <f t="shared" si="162"/>
        <v>1+0,0904961812857989i</v>
      </c>
      <c r="AK245">
        <f t="shared" si="177"/>
        <v>1.0040864299587522</v>
      </c>
      <c r="AL245">
        <f t="shared" si="178"/>
        <v>9.0250346858452499E-2</v>
      </c>
      <c r="AM245" t="str">
        <f t="shared" si="163"/>
        <v>1+13,2535770955838i</v>
      </c>
      <c r="AN245">
        <f t="shared" si="179"/>
        <v>13.291249220016285</v>
      </c>
      <c r="AO245">
        <f t="shared" si="180"/>
        <v>1.4954876901859058</v>
      </c>
      <c r="AP245" s="42" t="str">
        <f t="shared" si="181"/>
        <v>-2,89109101806299+0,483067769494499i</v>
      </c>
      <c r="AQ245">
        <f t="shared" si="182"/>
        <v>9.3408222524340569</v>
      </c>
      <c r="AR245" s="44">
        <f t="shared" si="183"/>
        <v>170.51416898683934</v>
      </c>
      <c r="AS245" s="42" t="str">
        <f t="shared" si="184"/>
        <v>0,697064650568937+3,48881152191889i</v>
      </c>
      <c r="AT245" s="20">
        <f t="shared" si="185"/>
        <v>11.023549685204529</v>
      </c>
      <c r="AU245" s="44">
        <f t="shared" si="186"/>
        <v>78.701084655484152</v>
      </c>
    </row>
    <row r="246" spans="14:47" x14ac:dyDescent="0.3">
      <c r="N246" s="8">
        <v>28</v>
      </c>
      <c r="O246" s="35">
        <f t="shared" si="187"/>
        <v>1905.4607179632501</v>
      </c>
      <c r="P246" s="34" t="str">
        <f t="shared" si="155"/>
        <v>324,571428571429</v>
      </c>
      <c r="Q246" s="4" t="str">
        <f t="shared" si="156"/>
        <v>1+273,654006548905i</v>
      </c>
      <c r="R246" s="4">
        <f t="shared" si="164"/>
        <v>273.65583366752503</v>
      </c>
      <c r="S246" s="4">
        <f t="shared" si="165"/>
        <v>1.5671420936211635</v>
      </c>
      <c r="T246" s="4" t="str">
        <f t="shared" si="157"/>
        <v>1+0,00239447255730292i</v>
      </c>
      <c r="U246" s="4">
        <f t="shared" si="166"/>
        <v>1.0000028667453047</v>
      </c>
      <c r="V246" s="4">
        <f t="shared" si="167"/>
        <v>2.3944679810834622E-3</v>
      </c>
      <c r="W246" t="str">
        <f t="shared" si="158"/>
        <v>1-0,0207853520599212i</v>
      </c>
      <c r="X246" s="4">
        <f t="shared" si="168"/>
        <v>1.0002159921038329</v>
      </c>
      <c r="Y246" s="4">
        <f t="shared" si="169"/>
        <v>-2.0782359531091407E-2</v>
      </c>
      <c r="Z246" t="str">
        <f t="shared" si="159"/>
        <v>0,999985476877809+0,0178213608561764i</v>
      </c>
      <c r="AA246" s="4">
        <f t="shared" si="170"/>
        <v>1.0001442670281648</v>
      </c>
      <c r="AB246" s="4">
        <f t="shared" si="171"/>
        <v>1.7819733265573987E-2</v>
      </c>
      <c r="AC246" s="48" t="str">
        <f t="shared" si="172"/>
        <v>-0,038606239507362-1,18551706248621i</v>
      </c>
      <c r="AD246" s="20">
        <f t="shared" si="173"/>
        <v>1.482759311292817</v>
      </c>
      <c r="AE246" s="44">
        <f t="shared" si="174"/>
        <v>-91.86517194991437</v>
      </c>
      <c r="AF246" t="str">
        <f t="shared" si="160"/>
        <v>-0,0000125211169631323</v>
      </c>
      <c r="AG246" t="str">
        <f t="shared" si="161"/>
        <v>0,0000578624293472249i</v>
      </c>
      <c r="AH246">
        <f t="shared" si="175"/>
        <v>5.7862429347224903E-5</v>
      </c>
      <c r="AI246">
        <f t="shared" si="176"/>
        <v>1.5707963267948966</v>
      </c>
      <c r="AJ246" t="str">
        <f t="shared" si="162"/>
        <v>1+0,0926041081379275i</v>
      </c>
      <c r="AK246">
        <f t="shared" si="177"/>
        <v>1.0042786071823002</v>
      </c>
      <c r="AL246">
        <f t="shared" si="178"/>
        <v>9.2340752376854143E-2</v>
      </c>
      <c r="AM246" t="str">
        <f t="shared" si="163"/>
        <v>1+13,5622925645637i</v>
      </c>
      <c r="AN246">
        <f t="shared" si="179"/>
        <v>13.59910951521532</v>
      </c>
      <c r="AO246">
        <f t="shared" si="180"/>
        <v>1.4971956684126035</v>
      </c>
      <c r="AP246" s="42" t="str">
        <f t="shared" si="181"/>
        <v>-2,88998465438794+0,484019046431558i</v>
      </c>
      <c r="AQ246">
        <f t="shared" si="182"/>
        <v>9.3380533711333378</v>
      </c>
      <c r="AR246" s="44">
        <f t="shared" si="183"/>
        <v>170.49225751705407</v>
      </c>
      <c r="AS246" s="42" t="str">
        <f t="shared" si="184"/>
        <v>0,685384277852819+3,40743996286755i</v>
      </c>
      <c r="AT246" s="20">
        <f t="shared" si="185"/>
        <v>10.820812682426146</v>
      </c>
      <c r="AU246" s="44">
        <f t="shared" si="186"/>
        <v>78.627085567139702</v>
      </c>
    </row>
    <row r="247" spans="14:47" x14ac:dyDescent="0.3">
      <c r="N247" s="8">
        <v>29</v>
      </c>
      <c r="O247" s="35">
        <f t="shared" si="187"/>
        <v>1949.8445997580463</v>
      </c>
      <c r="P247" s="34" t="str">
        <f t="shared" si="155"/>
        <v>324,571428571429</v>
      </c>
      <c r="Q247" s="4" t="str">
        <f t="shared" si="156"/>
        <v>1+280,028227211045i</v>
      </c>
      <c r="R247" s="4">
        <f t="shared" si="164"/>
        <v>280.03001273963594</v>
      </c>
      <c r="S247" s="4">
        <f t="shared" si="165"/>
        <v>1.5672252734080703</v>
      </c>
      <c r="T247" s="4" t="str">
        <f t="shared" si="157"/>
        <v>1+0,00245024698809664i</v>
      </c>
      <c r="U247" s="4">
        <f t="shared" si="166"/>
        <v>1.0000030018506458</v>
      </c>
      <c r="V247" s="4">
        <f t="shared" si="167"/>
        <v>2.4502420845899414E-3</v>
      </c>
      <c r="W247" t="str">
        <f t="shared" si="158"/>
        <v>1-0,0212695051050056i</v>
      </c>
      <c r="X247" s="4">
        <f t="shared" si="168"/>
        <v>1.0002261703471929</v>
      </c>
      <c r="Y247" s="4">
        <f t="shared" si="169"/>
        <v>-2.1266298591751553E-2</v>
      </c>
      <c r="Z247" t="str">
        <f t="shared" si="159"/>
        <v>0,999984792424147+0,0182364736770317i</v>
      </c>
      <c r="AA247" s="4">
        <f t="shared" si="170"/>
        <v>1.0001510656154586</v>
      </c>
      <c r="AB247" s="4">
        <f t="shared" si="171"/>
        <v>1.8234729696468832E-2</v>
      </c>
      <c r="AC247" s="48" t="str">
        <f t="shared" si="172"/>
        <v>-0,0388007811914914-1,15850037250766i</v>
      </c>
      <c r="AD247" s="20">
        <f t="shared" si="173"/>
        <v>1.2827924394084944</v>
      </c>
      <c r="AE247" s="44">
        <f t="shared" si="174"/>
        <v>-91.918247389628519</v>
      </c>
      <c r="AF247" t="str">
        <f t="shared" si="160"/>
        <v>-0,0000125211169631323</v>
      </c>
      <c r="AG247" t="str">
        <f t="shared" si="161"/>
        <v>0,0000592102184673554i</v>
      </c>
      <c r="AH247">
        <f t="shared" si="175"/>
        <v>5.9210218467355403E-5</v>
      </c>
      <c r="AI247">
        <f t="shared" si="176"/>
        <v>1.5707963267948966</v>
      </c>
      <c r="AJ247" t="str">
        <f t="shared" si="162"/>
        <v>1+0,0947611349139498i</v>
      </c>
      <c r="AK247">
        <f t="shared" si="177"/>
        <v>1.0044798020319672</v>
      </c>
      <c r="AL247">
        <f t="shared" si="178"/>
        <v>9.4479012058595296E-2</v>
      </c>
      <c r="AM247" t="str">
        <f t="shared" si="163"/>
        <v>1+13,8781989405794i</v>
      </c>
      <c r="AN247">
        <f t="shared" si="179"/>
        <v>13.914180027378517</v>
      </c>
      <c r="AO247">
        <f t="shared" si="180"/>
        <v>1.4988651840986817</v>
      </c>
      <c r="AP247" s="42" t="str">
        <f t="shared" si="181"/>
        <v>-2,88882705660371+0,48521738308168i</v>
      </c>
      <c r="AQ247">
        <f t="shared" si="182"/>
        <v>9.3352563728441336</v>
      </c>
      <c r="AR247" s="44">
        <f t="shared" si="183"/>
        <v>170.4654004644305</v>
      </c>
      <c r="AS247" s="42" t="str">
        <f t="shared" si="184"/>
        <v>0,674213265570659+3,32788040767434i</v>
      </c>
      <c r="AT247" s="20">
        <f t="shared" si="185"/>
        <v>10.618048812252617</v>
      </c>
      <c r="AU247" s="44">
        <f t="shared" si="186"/>
        <v>78.547153074801969</v>
      </c>
    </row>
    <row r="248" spans="14:47" x14ac:dyDescent="0.3">
      <c r="N248" s="8">
        <v>30</v>
      </c>
      <c r="O248" s="35">
        <f t="shared" si="187"/>
        <v>1995.2623149688804</v>
      </c>
      <c r="P248" s="34" t="str">
        <f t="shared" si="155"/>
        <v>324,571428571429</v>
      </c>
      <c r="Q248" s="4" t="str">
        <f t="shared" si="156"/>
        <v>1+286,550922545865i</v>
      </c>
      <c r="R248" s="4">
        <f t="shared" si="164"/>
        <v>286.55266743111349</v>
      </c>
      <c r="S248" s="4">
        <f t="shared" si="165"/>
        <v>1.5673065598396165</v>
      </c>
      <c r="T248" s="4" t="str">
        <f t="shared" si="157"/>
        <v>1+0,00250732057227632i</v>
      </c>
      <c r="U248" s="4">
        <f t="shared" si="166"/>
        <v>1.0000031433232859</v>
      </c>
      <c r="V248" s="4">
        <f t="shared" si="167"/>
        <v>2.5073153180751209E-3</v>
      </c>
      <c r="W248" t="str">
        <f t="shared" si="158"/>
        <v>1-0,0217649355232319i</v>
      </c>
      <c r="X248" s="4">
        <f t="shared" si="168"/>
        <v>1.0002368281653753</v>
      </c>
      <c r="Y248" s="4">
        <f t="shared" si="169"/>
        <v>-2.1761499726313006E-2</v>
      </c>
      <c r="Z248" t="str">
        <f t="shared" si="159"/>
        <v>0,999984075713178+0,0186612557176191i</v>
      </c>
      <c r="AA248" s="4">
        <f t="shared" si="170"/>
        <v>1.000158184561271</v>
      </c>
      <c r="AB248" s="4">
        <f t="shared" si="171"/>
        <v>1.8659387024697622E-2</v>
      </c>
      <c r="AC248" s="48" t="str">
        <f t="shared" si="172"/>
        <v>-0,0389865166962817-1,13209787293197i</v>
      </c>
      <c r="AD248" s="20">
        <f t="shared" si="173"/>
        <v>1.0828268872482076</v>
      </c>
      <c r="AE248" s="44">
        <f t="shared" si="174"/>
        <v>-91.972338711353189</v>
      </c>
      <c r="AF248" t="str">
        <f t="shared" si="160"/>
        <v>-0,0000125211169631323</v>
      </c>
      <c r="AG248" t="str">
        <f t="shared" si="161"/>
        <v>0,0000605894016290573i</v>
      </c>
      <c r="AH248">
        <f t="shared" si="175"/>
        <v>6.0589401629057301E-5</v>
      </c>
      <c r="AI248">
        <f t="shared" si="176"/>
        <v>1.5707963267948966</v>
      </c>
      <c r="AJ248" t="str">
        <f t="shared" si="162"/>
        <v>1+0,0969684052980161i</v>
      </c>
      <c r="AK248">
        <f t="shared" si="177"/>
        <v>1.0046904357194013</v>
      </c>
      <c r="AL248">
        <f t="shared" si="178"/>
        <v>9.6666181382492791E-2</v>
      </c>
      <c r="AM248" t="str">
        <f t="shared" si="163"/>
        <v>1+14,2014637213731i</v>
      </c>
      <c r="AN248">
        <f t="shared" si="179"/>
        <v>14.236627825067153</v>
      </c>
      <c r="AO248">
        <f t="shared" si="180"/>
        <v>1.5004970851952919</v>
      </c>
      <c r="AP248" s="42" t="str">
        <f t="shared" si="181"/>
        <v>-2,88761589645091+0,486662742452739i</v>
      </c>
      <c r="AQ248">
        <f t="shared" si="182"/>
        <v>9.3324254560610012</v>
      </c>
      <c r="AR248" s="44">
        <f t="shared" si="183"/>
        <v>170.4335859385092</v>
      </c>
      <c r="AS248" s="42" t="str">
        <f t="shared" si="184"/>
        <v>0,663527940925417+3,25009052908253i</v>
      </c>
      <c r="AT248" s="20">
        <f t="shared" si="185"/>
        <v>10.415252343309216</v>
      </c>
      <c r="AU248" s="44">
        <f t="shared" si="186"/>
        <v>78.461247227156022</v>
      </c>
    </row>
    <row r="249" spans="14:47" x14ac:dyDescent="0.3">
      <c r="N249" s="8">
        <v>31</v>
      </c>
      <c r="O249" s="35">
        <f t="shared" si="187"/>
        <v>2041.7379446695318</v>
      </c>
      <c r="P249" s="34" t="str">
        <f t="shared" si="155"/>
        <v>324,571428571429</v>
      </c>
      <c r="Q249" s="4" t="str">
        <f t="shared" si="156"/>
        <v>1+293,225550972768i</v>
      </c>
      <c r="R249" s="4">
        <f t="shared" si="164"/>
        <v>293.22725613981282</v>
      </c>
      <c r="S249" s="4">
        <f t="shared" si="165"/>
        <v>1.5673859960106449</v>
      </c>
      <c r="T249" s="4" t="str">
        <f t="shared" si="157"/>
        <v>1+0,00256572357101172i</v>
      </c>
      <c r="U249" s="4">
        <f t="shared" si="166"/>
        <v>1.0000032914633046</v>
      </c>
      <c r="V249" s="4">
        <f t="shared" si="167"/>
        <v>2.5657179410347023E-3</v>
      </c>
      <c r="W249" t="str">
        <f t="shared" si="158"/>
        <v>1-0,0222719059983656i</v>
      </c>
      <c r="X249" s="4">
        <f t="shared" si="168"/>
        <v>1.0002479881493389</v>
      </c>
      <c r="Y249" s="4">
        <f t="shared" si="169"/>
        <v>-2.226822452493283E-2</v>
      </c>
      <c r="Z249" t="str">
        <f t="shared" si="159"/>
        <v>0,999983325224661+0,0190959322029987i</v>
      </c>
      <c r="AA249" s="4">
        <f t="shared" si="170"/>
        <v>1.0001656389589035</v>
      </c>
      <c r="AB249" s="4">
        <f t="shared" si="171"/>
        <v>1.90939298803195E-2</v>
      </c>
      <c r="AC249" s="48" t="str">
        <f t="shared" si="172"/>
        <v>-0,0391638399643199-1,10629556905528i</v>
      </c>
      <c r="AD249" s="20">
        <f t="shared" si="173"/>
        <v>0.88286272772844154</v>
      </c>
      <c r="AE249" s="44">
        <f t="shared" si="174"/>
        <v>-92.02747450886595</v>
      </c>
      <c r="AF249" t="str">
        <f t="shared" si="160"/>
        <v>-0,0000125211169631323</v>
      </c>
      <c r="AG249" t="str">
        <f t="shared" si="161"/>
        <v>0,0000620007100934984i</v>
      </c>
      <c r="AH249">
        <f t="shared" si="175"/>
        <v>6.2000710093498395E-5</v>
      </c>
      <c r="AI249">
        <f t="shared" si="176"/>
        <v>1.5707963267948966</v>
      </c>
      <c r="AJ249" t="str">
        <f t="shared" si="162"/>
        <v>1+0,0992270896140995i</v>
      </c>
      <c r="AK249">
        <f t="shared" si="177"/>
        <v>1.0049109489468628</v>
      </c>
      <c r="AL249">
        <f t="shared" si="178"/>
        <v>9.8903336266324207E-2</v>
      </c>
      <c r="AM249" t="str">
        <f t="shared" si="163"/>
        <v>1+14,5322583062104i</v>
      </c>
      <c r="AN249">
        <f t="shared" si="179"/>
        <v>14.566623887449733</v>
      </c>
      <c r="AO249">
        <f t="shared" si="180"/>
        <v>1.5020922021711431</v>
      </c>
      <c r="AP249" s="42" t="str">
        <f t="shared" si="181"/>
        <v>-2,88634874409668+0,488355171922022i</v>
      </c>
      <c r="AQ249">
        <f t="shared" si="182"/>
        <v>9.3295547533655725</v>
      </c>
      <c r="AR249" s="44">
        <f t="shared" si="183"/>
        <v>170.39679987609452</v>
      </c>
      <c r="AS249" s="42" t="str">
        <f t="shared" si="184"/>
        <v>0,653305663117581+3,17402896254353i</v>
      </c>
      <c r="AT249" s="20">
        <f t="shared" si="185"/>
        <v>10.212417481094022</v>
      </c>
      <c r="AU249" s="44">
        <f t="shared" si="186"/>
        <v>78.369325367228583</v>
      </c>
    </row>
    <row r="250" spans="14:47" x14ac:dyDescent="0.3">
      <c r="N250" s="8">
        <v>32</v>
      </c>
      <c r="O250" s="35">
        <f t="shared" si="187"/>
        <v>2089.2961308540398</v>
      </c>
      <c r="P250" s="34" t="str">
        <f t="shared" si="155"/>
        <v>324,571428571429</v>
      </c>
      <c r="Q250" s="4" t="str">
        <f t="shared" si="156"/>
        <v>1+300,055651468098i</v>
      </c>
      <c r="R250" s="4">
        <f t="shared" si="164"/>
        <v>300.05731782102015</v>
      </c>
      <c r="S250" s="4">
        <f t="shared" si="165"/>
        <v>1.567463624035252</v>
      </c>
      <c r="T250" s="4" t="str">
        <f t="shared" si="157"/>
        <v>1+0,00262548695034586i</v>
      </c>
      <c r="U250" s="4">
        <f t="shared" si="166"/>
        <v>1.0000034465849237</v>
      </c>
      <c r="V250" s="4">
        <f t="shared" si="167"/>
        <v>2.6254809177179207E-3</v>
      </c>
      <c r="W250" t="str">
        <f t="shared" si="158"/>
        <v>1-0,0227906853328634i</v>
      </c>
      <c r="X250" s="4">
        <f t="shared" si="168"/>
        <v>1.0002596739536898</v>
      </c>
      <c r="Y250" s="4">
        <f t="shared" si="169"/>
        <v>-2.2786740618316224E-2</v>
      </c>
      <c r="Z250" t="str">
        <f t="shared" si="159"/>
        <v>0,99998253936671+0,019540733604397i</v>
      </c>
      <c r="AA250" s="4">
        <f t="shared" si="170"/>
        <v>1.000173444612529</v>
      </c>
      <c r="AB250" s="4">
        <f t="shared" si="171"/>
        <v>1.9538588097031667E-2</v>
      </c>
      <c r="AC250" s="48" t="str">
        <f t="shared" si="172"/>
        <v>-0,0393331270975315-1,08107978413061i</v>
      </c>
      <c r="AD250" s="20">
        <f t="shared" si="173"/>
        <v>0.68290003670521626</v>
      </c>
      <c r="AE250" s="44">
        <f t="shared" si="174"/>
        <v>-92.083683923616704</v>
      </c>
      <c r="AF250" t="str">
        <f t="shared" si="160"/>
        <v>-0,0000125211169631323</v>
      </c>
      <c r="AG250" t="str">
        <f t="shared" si="161"/>
        <v>0,0000634448921551075i</v>
      </c>
      <c r="AH250">
        <f t="shared" si="175"/>
        <v>6.3444892155107506E-5</v>
      </c>
      <c r="AI250">
        <f t="shared" si="176"/>
        <v>1.5707963267948966</v>
      </c>
      <c r="AJ250" t="str">
        <f t="shared" si="162"/>
        <v>1+0,101538385446523i</v>
      </c>
      <c r="AK250">
        <f t="shared" si="177"/>
        <v>1.0051418027915695</v>
      </c>
      <c r="AL250">
        <f t="shared" si="178"/>
        <v>0.10119157325679484</v>
      </c>
      <c r="AM250" t="str">
        <f t="shared" si="163"/>
        <v>1+14,870758086759i</v>
      </c>
      <c r="AN250">
        <f t="shared" si="179"/>
        <v>14.904343195018967</v>
      </c>
      <c r="AO250">
        <f t="shared" si="180"/>
        <v>1.5036513482912295</v>
      </c>
      <c r="AP250" s="42" t="str">
        <f t="shared" si="181"/>
        <v>-2,88502306410902+0,4902948001051i</v>
      </c>
      <c r="AQ250">
        <f t="shared" si="182"/>
        <v>9.3266383201156255</v>
      </c>
      <c r="AR250" s="44">
        <f t="shared" si="183"/>
        <v>170.35502604633996</v>
      </c>
      <c r="AS250" s="42" t="str">
        <f t="shared" si="184"/>
        <v>0,643524775517892+3,09965528367102i</v>
      </c>
      <c r="AT250" s="20">
        <f t="shared" si="185"/>
        <v>10.009538356820846</v>
      </c>
      <c r="AU250" s="44">
        <f t="shared" si="186"/>
        <v>78.271342122723283</v>
      </c>
    </row>
    <row r="251" spans="14:47" x14ac:dyDescent="0.3">
      <c r="N251" s="8">
        <v>33</v>
      </c>
      <c r="O251" s="35">
        <f t="shared" si="187"/>
        <v>2137.9620895022344</v>
      </c>
      <c r="P251" s="34" t="str">
        <f t="shared" si="155"/>
        <v>324,571428571429</v>
      </c>
      <c r="Q251" s="4" t="str">
        <f t="shared" si="156"/>
        <v>1+307,044845441541i</v>
      </c>
      <c r="R251" s="4">
        <f t="shared" si="164"/>
        <v>307.04647386384329</v>
      </c>
      <c r="S251" s="4">
        <f t="shared" si="165"/>
        <v>1.5675394850690998</v>
      </c>
      <c r="T251" s="4" t="str">
        <f t="shared" si="157"/>
        <v>1+0,00268664239761348i</v>
      </c>
      <c r="U251" s="4">
        <f t="shared" si="166"/>
        <v>1.0000036090171738</v>
      </c>
      <c r="V251" s="4">
        <f t="shared" si="167"/>
        <v>2.6866359335374415E-3</v>
      </c>
      <c r="W251" t="str">
        <f t="shared" si="158"/>
        <v>1-0,0233215485903948i</v>
      </c>
      <c r="X251" s="4">
        <f t="shared" si="168"/>
        <v>1.0002719103467088</v>
      </c>
      <c r="Y251" s="4">
        <f t="shared" si="169"/>
        <v>-2.3317321814658051E-2</v>
      </c>
      <c r="Z251" t="str">
        <f t="shared" si="159"/>
        <v>0,999981716472415+0,0199958957614045i</v>
      </c>
      <c r="AA251" s="4">
        <f t="shared" si="170"/>
        <v>1.0001816180706473</v>
      </c>
      <c r="AB251" s="4">
        <f t="shared" si="171"/>
        <v>1.9993596831328585E-2</v>
      </c>
      <c r="AC251" s="48" t="str">
        <f t="shared" si="172"/>
        <v>-0,0394947371547346-1,05643715213523i</v>
      </c>
      <c r="AD251" s="20">
        <f t="shared" si="173"/>
        <v>0.48293889313347832</v>
      </c>
      <c r="AE251" s="44">
        <f t="shared" si="174"/>
        <v>-92.140996659739358</v>
      </c>
      <c r="AF251" t="str">
        <f t="shared" si="160"/>
        <v>-0,0000125211169631323</v>
      </c>
      <c r="AG251" t="str">
        <f t="shared" si="161"/>
        <v>0,0000649227135383298i</v>
      </c>
      <c r="AH251">
        <f t="shared" si="175"/>
        <v>6.4922713538329794E-5</v>
      </c>
      <c r="AI251">
        <f t="shared" si="176"/>
        <v>1.5707963267948966</v>
      </c>
      <c r="AJ251" t="str">
        <f t="shared" si="162"/>
        <v>1+0,103903518274929i</v>
      </c>
      <c r="AK251">
        <f t="shared" si="177"/>
        <v>1.0053834796284991</v>
      </c>
      <c r="AL251">
        <f t="shared" si="178"/>
        <v>0.10353200970469612</v>
      </c>
      <c r="AM251" t="str">
        <f t="shared" si="163"/>
        <v>1+15,2171425400827i</v>
      </c>
      <c r="AN251">
        <f t="shared" si="179"/>
        <v>15.249964822424822</v>
      </c>
      <c r="AO251">
        <f t="shared" si="180"/>
        <v>1.5051753198969253</v>
      </c>
      <c r="AP251" s="42" t="str">
        <f t="shared" si="181"/>
        <v>-2,88363621131082+0,492481833562881i</v>
      </c>
      <c r="AQ251">
        <f t="shared" si="182"/>
        <v>9.3236701230268473</v>
      </c>
      <c r="AR251" s="44">
        <f t="shared" si="183"/>
        <v>170.30824605676082</v>
      </c>
      <c r="AS251" s="42" t="str">
        <f t="shared" si="184"/>
        <v>0,634164559943102+3,02692998630118i</v>
      </c>
      <c r="AT251" s="20">
        <f t="shared" si="185"/>
        <v>9.8066090161603263</v>
      </c>
      <c r="AU251" s="44">
        <f t="shared" si="186"/>
        <v>78.16724939702145</v>
      </c>
    </row>
    <row r="252" spans="14:47" x14ac:dyDescent="0.3">
      <c r="N252" s="8">
        <v>34</v>
      </c>
      <c r="O252" s="35">
        <f t="shared" si="187"/>
        <v>2187.7616239495528</v>
      </c>
      <c r="P252" s="34" t="str">
        <f t="shared" si="155"/>
        <v>324,571428571429</v>
      </c>
      <c r="Q252" s="4" t="str">
        <f t="shared" si="156"/>
        <v>1+314,196838656256i</v>
      </c>
      <c r="R252" s="4">
        <f t="shared" si="164"/>
        <v>314.19843001133114</v>
      </c>
      <c r="S252" s="4">
        <f t="shared" si="165"/>
        <v>1.5676136193312182</v>
      </c>
      <c r="T252" s="4" t="str">
        <f t="shared" si="157"/>
        <v>1+0,00274922233824224i</v>
      </c>
      <c r="U252" s="4">
        <f t="shared" si="166"/>
        <v>1.0000037791045917</v>
      </c>
      <c r="V252" s="4">
        <f t="shared" si="167"/>
        <v>2.7492154118613885E-3</v>
      </c>
      <c r="W252" t="str">
        <f t="shared" si="158"/>
        <v>1-0,0238647772416861i</v>
      </c>
      <c r="X252" s="4">
        <f t="shared" si="168"/>
        <v>1.0002847232627294</v>
      </c>
      <c r="Y252" s="4">
        <f t="shared" si="169"/>
        <v>-2.3860248239508733E-2</v>
      </c>
      <c r="Z252" t="str">
        <f t="shared" si="159"/>
        <v>0,999980854796307+0,0204616600070217i</v>
      </c>
      <c r="AA252" s="4">
        <f t="shared" si="170"/>
        <v>1.0001901766611168</v>
      </c>
      <c r="AB252" s="4">
        <f t="shared" si="171"/>
        <v>2.0459196684292573E-2</v>
      </c>
      <c r="AC252" s="48" t="str">
        <f t="shared" si="172"/>
        <v>-0,0396490129130663-1,03235461070156i</v>
      </c>
      <c r="AD252" s="20">
        <f t="shared" si="173"/>
        <v>0.28297937923290506</v>
      </c>
      <c r="AE252" s="44">
        <f t="shared" si="174"/>
        <v>-92.19944299933077</v>
      </c>
      <c r="AF252" t="str">
        <f t="shared" si="160"/>
        <v>-0,0000125211169631323</v>
      </c>
      <c r="AG252" t="str">
        <f t="shared" si="161"/>
        <v>0,0000664349578036236i</v>
      </c>
      <c r="AH252">
        <f t="shared" si="175"/>
        <v>6.6434957803623599E-5</v>
      </c>
      <c r="AI252">
        <f t="shared" si="176"/>
        <v>1.5707963267948966</v>
      </c>
      <c r="AJ252" t="str">
        <f t="shared" si="162"/>
        <v>1+0,10632374212405i</v>
      </c>
      <c r="AK252">
        <f t="shared" si="177"/>
        <v>1.0056364840931644</v>
      </c>
      <c r="AL252">
        <f t="shared" si="178"/>
        <v>0.10592578392370459</v>
      </c>
      <c r="AM252" t="str">
        <f t="shared" si="163"/>
        <v>1+15,571595323804i</v>
      </c>
      <c r="AN252">
        <f t="shared" si="179"/>
        <v>15.603672033477075</v>
      </c>
      <c r="AO252">
        <f t="shared" si="180"/>
        <v>1.5066648966869483</v>
      </c>
      <c r="AP252" s="42" t="str">
        <f t="shared" si="181"/>
        <v>-2,88218542651499+0,494916553333058i</v>
      </c>
      <c r="AQ252">
        <f t="shared" si="182"/>
        <v>9.3206440286351633</v>
      </c>
      <c r="AR252" s="44">
        <f t="shared" si="183"/>
        <v>170.25643936023334</v>
      </c>
      <c r="AS252" s="42" t="str">
        <f t="shared" si="184"/>
        <v>0,625205192939651+2,9558144611456i</v>
      </c>
      <c r="AT252" s="20">
        <f t="shared" si="185"/>
        <v>9.6036234078680689</v>
      </c>
      <c r="AU252" s="44">
        <f t="shared" si="186"/>
        <v>78.056996360902602</v>
      </c>
    </row>
    <row r="253" spans="14:47" x14ac:dyDescent="0.3">
      <c r="N253" s="8">
        <v>35</v>
      </c>
      <c r="O253" s="35">
        <f t="shared" si="187"/>
        <v>2238.7211385683418</v>
      </c>
      <c r="P253" s="34" t="str">
        <f t="shared" si="155"/>
        <v>324,571428571429</v>
      </c>
      <c r="Q253" s="4" t="str">
        <f t="shared" si="156"/>
        <v>1+321,515423193714i</v>
      </c>
      <c r="R253" s="4">
        <f t="shared" si="164"/>
        <v>321.51697832530249</v>
      </c>
      <c r="S253" s="4">
        <f t="shared" si="165"/>
        <v>1.5676860661253125</v>
      </c>
      <c r="T253" s="4" t="str">
        <f t="shared" si="157"/>
        <v>1+0,002813259952945i</v>
      </c>
      <c r="U253" s="4">
        <f t="shared" si="166"/>
        <v>1.0000039572079515</v>
      </c>
      <c r="V253" s="4">
        <f t="shared" si="167"/>
        <v>2.8132525311957879E-3</v>
      </c>
      <c r="W253" t="str">
        <f t="shared" si="158"/>
        <v>1-0,0244206593137587i</v>
      </c>
      <c r="X253" s="4">
        <f t="shared" si="168"/>
        <v>1.0002981398569721</v>
      </c>
      <c r="Y253" s="4">
        <f t="shared" si="169"/>
        <v>-2.4415806478608085E-2</v>
      </c>
      <c r="Z253" t="str">
        <f t="shared" si="159"/>
        <v>0,999979952510655+0,0209382732956167i</v>
      </c>
      <c r="AA253" s="4">
        <f t="shared" si="170"/>
        <v>1.0001991385278302</v>
      </c>
      <c r="AB253" s="4">
        <f t="shared" si="171"/>
        <v>2.0935633826063681E-2</v>
      </c>
      <c r="AC253" s="48" t="str">
        <f t="shared" si="172"/>
        <v>-0,0397962815948931-1,00881939420794i</v>
      </c>
      <c r="AD253" s="20">
        <f t="shared" si="173"/>
        <v>8.3021580660543159E-2</v>
      </c>
      <c r="AE253" s="44">
        <f t="shared" si="174"/>
        <v>-92.259053818002471</v>
      </c>
      <c r="AF253" t="str">
        <f t="shared" si="160"/>
        <v>-0,0000125211169631323</v>
      </c>
      <c r="AG253" t="str">
        <f t="shared" si="161"/>
        <v>0,0000679824267629157i</v>
      </c>
      <c r="AH253">
        <f t="shared" si="175"/>
        <v>6.7982426762915697E-5</v>
      </c>
      <c r="AI253">
        <f t="shared" si="176"/>
        <v>1.5707963267948966</v>
      </c>
      <c r="AJ253" t="str">
        <f t="shared" si="162"/>
        <v>1+0,108800340228607i</v>
      </c>
      <c r="AK253">
        <f t="shared" si="177"/>
        <v>1.0059013440859201</v>
      </c>
      <c r="AL253">
        <f t="shared" si="178"/>
        <v>0.10837405533112317</v>
      </c>
      <c r="AM253" t="str">
        <f t="shared" si="163"/>
        <v>1+15,9343043734805i</v>
      </c>
      <c r="AN253">
        <f t="shared" si="179"/>
        <v>15.965652378362739</v>
      </c>
      <c r="AO253">
        <f t="shared" si="180"/>
        <v>1.5081208419986831</v>
      </c>
      <c r="AP253" s="42" t="str">
        <f t="shared" si="181"/>
        <v>-2,88066783214071+0,497599311271103i</v>
      </c>
      <c r="AQ253">
        <f t="shared" si="182"/>
        <v>9.3175537916217994</v>
      </c>
      <c r="AR253" s="44">
        <f t="shared" si="183"/>
        <v>170.19958326305004</v>
      </c>
      <c r="AS253" s="42" t="str">
        <f t="shared" si="184"/>
        <v>0,616627703984024+2,88627097502172i</v>
      </c>
      <c r="AT253" s="20">
        <f t="shared" si="185"/>
        <v>9.4005753722823364</v>
      </c>
      <c r="AU253" s="44">
        <f t="shared" si="186"/>
        <v>77.940529445047559</v>
      </c>
    </row>
    <row r="254" spans="14:47" x14ac:dyDescent="0.3">
      <c r="N254" s="8">
        <v>36</v>
      </c>
      <c r="O254" s="35">
        <f t="shared" si="187"/>
        <v>2290.8676527677749</v>
      </c>
      <c r="P254" s="34" t="str">
        <f t="shared" si="155"/>
        <v>324,571428571429</v>
      </c>
      <c r="Q254" s="4" t="str">
        <f t="shared" si="156"/>
        <v>1+329,004479464309i</v>
      </c>
      <c r="R254" s="4">
        <f t="shared" si="164"/>
        <v>329.00599919694611</v>
      </c>
      <c r="S254" s="4">
        <f t="shared" si="165"/>
        <v>1.5677568638605883</v>
      </c>
      <c r="T254" s="4" t="str">
        <f t="shared" si="157"/>
        <v>1+0,0028787891953127i</v>
      </c>
      <c r="U254" s="4">
        <f t="shared" si="166"/>
        <v>1.0000041437050304</v>
      </c>
      <c r="V254" s="4">
        <f t="shared" si="167"/>
        <v>2.8787812427669207E-3</v>
      </c>
      <c r="W254" t="str">
        <f t="shared" si="158"/>
        <v>1-0,024989489542645i</v>
      </c>
      <c r="X254" s="4">
        <f t="shared" si="168"/>
        <v>1.0003121885629516</v>
      </c>
      <c r="Y254" s="4">
        <f t="shared" si="169"/>
        <v>-2.4984289723740012E-2</v>
      </c>
      <c r="Z254" t="str">
        <f t="shared" si="159"/>
        <v>0,99997900770159+0,0214259883338638i</v>
      </c>
      <c r="AA254" s="4">
        <f t="shared" si="170"/>
        <v>1.0002085226691177</v>
      </c>
      <c r="AB254" s="4">
        <f t="shared" si="171"/>
        <v>2.1423160123041483E-2</v>
      </c>
      <c r="AC254" s="48" t="str">
        <f t="shared" si="172"/>
        <v>-0,0399368555617479-0,985819027025731i</v>
      </c>
      <c r="AD254" s="20">
        <f t="shared" si="173"/>
        <v>-0.11693441330902851</v>
      </c>
      <c r="AE254" s="44">
        <f t="shared" si="174"/>
        <v>-92.319860600711337</v>
      </c>
      <c r="AF254" t="str">
        <f t="shared" si="160"/>
        <v>-0,0000125211169631323</v>
      </c>
      <c r="AG254" t="str">
        <f t="shared" si="161"/>
        <v>0,0000695659409047312i</v>
      </c>
      <c r="AH254">
        <f t="shared" si="175"/>
        <v>6.9565940904731206E-5</v>
      </c>
      <c r="AI254">
        <f t="shared" si="176"/>
        <v>1.5707963267948966</v>
      </c>
      <c r="AJ254" t="str">
        <f t="shared" si="162"/>
        <v>1+0,111334625713695i</v>
      </c>
      <c r="AK254">
        <f t="shared" si="177"/>
        <v>1.0061786118193969</v>
      </c>
      <c r="AL254">
        <f t="shared" si="178"/>
        <v>0.11087800456877744</v>
      </c>
      <c r="AM254" t="str">
        <f t="shared" si="163"/>
        <v>1+16,3054620022511i</v>
      </c>
      <c r="AN254">
        <f t="shared" si="179"/>
        <v>16.336097793134517</v>
      </c>
      <c r="AO254">
        <f t="shared" si="180"/>
        <v>1.5095439030894502</v>
      </c>
      <c r="AP254" s="42" t="str">
        <f t="shared" si="181"/>
        <v>-2,87908042771335+0,500530526185614i</v>
      </c>
      <c r="AQ254">
        <f t="shared" si="182"/>
        <v>9.3143930429894386</v>
      </c>
      <c r="AR254" s="44">
        <f t="shared" si="183"/>
        <v>170.13765293410762</v>
      </c>
      <c r="AS254" s="42" t="str">
        <f t="shared" si="184"/>
        <v>0,608413935513223+2,81826265064868i</v>
      </c>
      <c r="AT254" s="20">
        <f t="shared" si="185"/>
        <v>9.1974586296804102</v>
      </c>
      <c r="AU254" s="44">
        <f t="shared" si="186"/>
        <v>77.817792333396284</v>
      </c>
    </row>
    <row r="255" spans="14:47" x14ac:dyDescent="0.3">
      <c r="N255" s="8">
        <v>37</v>
      </c>
      <c r="O255" s="35">
        <f t="shared" si="187"/>
        <v>2344.2288153199238</v>
      </c>
      <c r="P255" s="34" t="str">
        <f t="shared" si="155"/>
        <v>324,571428571429</v>
      </c>
      <c r="Q255" s="4" t="str">
        <f t="shared" si="156"/>
        <v>1+336,667978264805i</v>
      </c>
      <c r="R255" s="4">
        <f t="shared" si="164"/>
        <v>336.66946340425835</v>
      </c>
      <c r="S255" s="4">
        <f t="shared" si="165"/>
        <v>1.5678260500721017</v>
      </c>
      <c r="T255" s="4" t="str">
        <f t="shared" si="157"/>
        <v>1+0,00294584480981704i</v>
      </c>
      <c r="U255" s="4">
        <f t="shared" si="166"/>
        <v>1.0000043389914084</v>
      </c>
      <c r="V255" s="4">
        <f t="shared" si="167"/>
        <v>2.9458362885127079E-3</v>
      </c>
      <c r="W255" t="str">
        <f t="shared" si="158"/>
        <v>1-0,0255715695296618i</v>
      </c>
      <c r="X255" s="4">
        <f t="shared" si="168"/>
        <v>1.0003268991525773</v>
      </c>
      <c r="Y255" s="4">
        <f t="shared" si="169"/>
        <v>-2.5565997921655554E-2</v>
      </c>
      <c r="Z255" t="str">
        <f t="shared" si="159"/>
        <v>0,999978018365046+0,021925063714732i</v>
      </c>
      <c r="AA255" s="4">
        <f t="shared" si="170"/>
        <v>1.0002183489779517</v>
      </c>
      <c r="AB255" s="4">
        <f t="shared" si="171"/>
        <v>2.1922033267870174E-2</v>
      </c>
      <c r="AC255" s="48" t="str">
        <f t="shared" si="172"/>
        <v>-0,0400710329767626-0,963341316919116i</v>
      </c>
      <c r="AD255" s="20">
        <f t="shared" si="173"/>
        <v>-0.31688850959666537</v>
      </c>
      <c r="AE255" s="44">
        <f t="shared" si="174"/>
        <v>-92.381895457875089</v>
      </c>
      <c r="AF255" t="str">
        <f t="shared" si="160"/>
        <v>-0,0000125211169631323</v>
      </c>
      <c r="AG255" t="str">
        <f t="shared" si="161"/>
        <v>0,0000711863398292286i</v>
      </c>
      <c r="AH255">
        <f t="shared" si="175"/>
        <v>7.1186339829228606E-5</v>
      </c>
      <c r="AI255">
        <f t="shared" si="176"/>
        <v>1.5707963267948966</v>
      </c>
      <c r="AJ255" t="str">
        <f t="shared" si="162"/>
        <v>1+0,113927942291025i</v>
      </c>
      <c r="AK255">
        <f t="shared" si="177"/>
        <v>1.006468864910717</v>
      </c>
      <c r="AL255">
        <f t="shared" si="178"/>
        <v>0.11343883360216363</v>
      </c>
      <c r="AM255" t="str">
        <f t="shared" si="163"/>
        <v>1+16,6852650028037i</v>
      </c>
      <c r="AN255">
        <f t="shared" si="179"/>
        <v>16.715204701522083</v>
      </c>
      <c r="AO255">
        <f t="shared" si="180"/>
        <v>1.5109348114173049</v>
      </c>
      <c r="AP255" s="42" t="str">
        <f t="shared" si="181"/>
        <v>-2,87742008525036+0,503710679751883i</v>
      </c>
      <c r="AQ255">
        <f t="shared" si="182"/>
        <v>9.3111552780752245</v>
      </c>
      <c r="AR255" s="44">
        <f t="shared" si="183"/>
        <v>170.07062141531571</v>
      </c>
      <c r="AS255" s="42" t="str">
        <f t="shared" si="184"/>
        <v>0,600546504702468+2,75175344699551i</v>
      </c>
      <c r="AT255" s="20">
        <f t="shared" si="185"/>
        <v>8.9942667684785569</v>
      </c>
      <c r="AU255" s="44">
        <f t="shared" si="186"/>
        <v>77.688725957440624</v>
      </c>
    </row>
    <row r="256" spans="14:47" x14ac:dyDescent="0.3">
      <c r="N256" s="8">
        <v>38</v>
      </c>
      <c r="O256" s="35">
        <f t="shared" si="187"/>
        <v>2398.8329190194918</v>
      </c>
      <c r="P256" s="34" t="str">
        <f t="shared" si="155"/>
        <v>324,571428571429</v>
      </c>
      <c r="Q256" s="4" t="str">
        <f t="shared" si="156"/>
        <v>1+344,509982883703i</v>
      </c>
      <c r="R256" s="4">
        <f t="shared" si="164"/>
        <v>344.51143421739914</v>
      </c>
      <c r="S256" s="4">
        <f t="shared" si="165"/>
        <v>1.5678936614406469</v>
      </c>
      <c r="T256" s="4" t="str">
        <f t="shared" si="157"/>
        <v>1+0,0030144623502324i</v>
      </c>
      <c r="U256" s="4">
        <f t="shared" si="166"/>
        <v>1.000004543481309</v>
      </c>
      <c r="V256" s="4">
        <f t="shared" si="167"/>
        <v>3.0144532194925433E-3</v>
      </c>
      <c r="W256" t="str">
        <f t="shared" si="158"/>
        <v>1-0,0261672079013229i</v>
      </c>
      <c r="X256" s="4">
        <f t="shared" si="168"/>
        <v>1.0003423027990725</v>
      </c>
      <c r="Y256" s="4">
        <f t="shared" si="169"/>
        <v>-2.6161237926111018E-2</v>
      </c>
      <c r="Z256" t="str">
        <f t="shared" si="159"/>
        <v>0,999976982402507+0,0224357640545942i</v>
      </c>
      <c r="AA256" s="4">
        <f t="shared" si="170"/>
        <v>1.0002286382840362</v>
      </c>
      <c r="AB256" s="4">
        <f t="shared" si="171"/>
        <v>2.243251691225864E-2</v>
      </c>
      <c r="AC256" s="48" t="str">
        <f t="shared" si="172"/>
        <v>-0,0401990984370004-0,941374348594291i</v>
      </c>
      <c r="AD256" s="20">
        <f t="shared" si="173"/>
        <v>-0.51684061112334734</v>
      </c>
      <c r="AE256" s="44">
        <f t="shared" si="174"/>
        <v>-92.445191141778096</v>
      </c>
      <c r="AF256" t="str">
        <f t="shared" si="160"/>
        <v>-0,0000125211169631323</v>
      </c>
      <c r="AG256" t="str">
        <f t="shared" si="161"/>
        <v>0,0000728444826933659i</v>
      </c>
      <c r="AH256">
        <f t="shared" si="175"/>
        <v>7.2844482693365905E-5</v>
      </c>
      <c r="AI256">
        <f t="shared" si="176"/>
        <v>1.5707963267948966</v>
      </c>
      <c r="AJ256" t="str">
        <f t="shared" si="162"/>
        <v>1+0,116581664971372i</v>
      </c>
      <c r="AK256">
        <f t="shared" si="177"/>
        <v>1.0067727075201718</v>
      </c>
      <c r="AL256">
        <f t="shared" si="178"/>
        <v>0.11605776579579076</v>
      </c>
      <c r="AM256" t="str">
        <f t="shared" si="163"/>
        <v>1+17,0739147517163i</v>
      </c>
      <c r="AN256">
        <f t="shared" si="179"/>
        <v>17.103174119118226</v>
      </c>
      <c r="AO256">
        <f t="shared" si="180"/>
        <v>1.5122942829209949</v>
      </c>
      <c r="AP256" s="42" t="str">
        <f t="shared" si="181"/>
        <v>-2,87568354453566+0,507140312186819i</v>
      </c>
      <c r="AQ256">
        <f t="shared" si="182"/>
        <v>9.3078338443852022</v>
      </c>
      <c r="AR256" s="44">
        <f t="shared" si="183"/>
        <v>169.99845963331967</v>
      </c>
      <c r="AS256" s="42" t="str">
        <f t="shared" si="184"/>
        <v>0,593008766911223+2,68670814016961i</v>
      </c>
      <c r="AT256" s="20">
        <f t="shared" si="185"/>
        <v>8.7909932332618546</v>
      </c>
      <c r="AU256" s="44">
        <f t="shared" si="186"/>
        <v>77.553268491541573</v>
      </c>
    </row>
    <row r="257" spans="14:47" x14ac:dyDescent="0.3">
      <c r="N257" s="8">
        <v>39</v>
      </c>
      <c r="O257" s="35">
        <f t="shared" si="187"/>
        <v>2454.7089156850338</v>
      </c>
      <c r="P257" s="34" t="str">
        <f t="shared" si="155"/>
        <v>324,571428571429</v>
      </c>
      <c r="Q257" s="4" t="str">
        <f t="shared" si="156"/>
        <v>1+352,534651255655i</v>
      </c>
      <c r="R257" s="4">
        <f t="shared" si="164"/>
        <v>352.53606955309738</v>
      </c>
      <c r="S257" s="4">
        <f t="shared" si="165"/>
        <v>1.567959733812192</v>
      </c>
      <c r="T257" s="4" t="str">
        <f t="shared" si="157"/>
        <v>1+0,00308467819848698i</v>
      </c>
      <c r="U257" s="4">
        <f t="shared" si="166"/>
        <v>1.0000047576084767</v>
      </c>
      <c r="V257" s="4">
        <f t="shared" si="167"/>
        <v>3.0846684147254663E-3</v>
      </c>
      <c r="W257" t="str">
        <f t="shared" si="158"/>
        <v>1-0,0267767204729773i</v>
      </c>
      <c r="X257" s="4">
        <f t="shared" si="168"/>
        <v>1.0003584321428436</v>
      </c>
      <c r="Y257" s="4">
        <f t="shared" si="169"/>
        <v>-2.6770323653070485E-2</v>
      </c>
      <c r="Z257" t="str">
        <f t="shared" si="159"/>
        <v>0,999975897616557+0,0229583601335307i</v>
      </c>
      <c r="AA257" s="4">
        <f t="shared" si="170"/>
        <v>1.0002394123978817</v>
      </c>
      <c r="AB257" s="4">
        <f t="shared" si="171"/>
        <v>2.2954880802688687E-2</v>
      </c>
      <c r="AC257" s="48" t="str">
        <f t="shared" si="172"/>
        <v>-0,0403213235770293-0,919906477394635i</v>
      </c>
      <c r="AD257" s="20">
        <f t="shared" si="173"/>
        <v>-0.71679061660674259</v>
      </c>
      <c r="AE257" s="44">
        <f t="shared" si="174"/>
        <v>-92.509781063273635</v>
      </c>
      <c r="AF257" t="str">
        <f t="shared" si="160"/>
        <v>-0,0000125211169631323</v>
      </c>
      <c r="AG257" t="str">
        <f t="shared" si="161"/>
        <v>0,0000745412486664381i</v>
      </c>
      <c r="AH257">
        <f t="shared" si="175"/>
        <v>7.4541248666438098E-5</v>
      </c>
      <c r="AI257">
        <f t="shared" si="176"/>
        <v>1.5707963267948966</v>
      </c>
      <c r="AJ257" t="str">
        <f t="shared" si="162"/>
        <v>1+0,119297200793627i</v>
      </c>
      <c r="AK257">
        <f t="shared" si="177"/>
        <v>1.0070907715380948</v>
      </c>
      <c r="AL257">
        <f t="shared" si="178"/>
        <v>0.1187360459625694</v>
      </c>
      <c r="AM257" t="str">
        <f t="shared" si="163"/>
        <v>1+17,4716173162303i</v>
      </c>
      <c r="AN257">
        <f t="shared" si="179"/>
        <v>17.500211759998752</v>
      </c>
      <c r="AO257">
        <f t="shared" si="180"/>
        <v>1.5136230182987482</v>
      </c>
      <c r="AP257" s="42" t="str">
        <f t="shared" si="181"/>
        <v>-2,87386740828739+0,510820017667721i</v>
      </c>
      <c r="AQ257">
        <f t="shared" si="182"/>
        <v>9.3044219292396022</v>
      </c>
      <c r="AR257" s="44">
        <f t="shared" si="183"/>
        <v>169.92113641264467</v>
      </c>
      <c r="AS257" s="42" t="str">
        <f t="shared" si="184"/>
        <v>0,585784780722413+2,6230923048349i</v>
      </c>
      <c r="AT257" s="20">
        <f t="shared" si="185"/>
        <v>8.5876313126328672</v>
      </c>
      <c r="AU257" s="44">
        <f t="shared" si="186"/>
        <v>77.411355349371021</v>
      </c>
    </row>
    <row r="258" spans="14:47" x14ac:dyDescent="0.3">
      <c r="N258" s="8">
        <v>40</v>
      </c>
      <c r="O258" s="35">
        <f t="shared" si="187"/>
        <v>2511.8864315095811</v>
      </c>
      <c r="P258" s="34" t="str">
        <f t="shared" si="155"/>
        <v>324,571428571429</v>
      </c>
      <c r="Q258" s="4" t="str">
        <f t="shared" si="156"/>
        <v>1+360,746238166053i</v>
      </c>
      <c r="R258" s="4">
        <f t="shared" si="164"/>
        <v>360.74762417922949</v>
      </c>
      <c r="S258" s="4">
        <f t="shared" si="165"/>
        <v>1.5680243022168747</v>
      </c>
      <c r="T258" s="4" t="str">
        <f t="shared" si="157"/>
        <v>1+0,00315652958395296i</v>
      </c>
      <c r="U258" s="4">
        <f t="shared" si="166"/>
        <v>1.0000049818270977</v>
      </c>
      <c r="V258" s="4">
        <f t="shared" si="167"/>
        <v>3.1565191004664411E-3</v>
      </c>
      <c r="W258" t="str">
        <f t="shared" si="158"/>
        <v>1-0,0274004304162583i</v>
      </c>
      <c r="X258" s="4">
        <f t="shared" si="168"/>
        <v>1.0003753213604363</v>
      </c>
      <c r="Y258" s="4">
        <f t="shared" si="169"/>
        <v>-2.7393576239117971E-2</v>
      </c>
      <c r="Z258" t="str">
        <f t="shared" si="159"/>
        <v>0,999974761706221+0,0234931290388999i</v>
      </c>
      <c r="AA258" s="4">
        <f t="shared" si="170"/>
        <v>1.0002506941569458</v>
      </c>
      <c r="AB258" s="4">
        <f t="shared" si="171"/>
        <v>2.3489400919062597E-2</v>
      </c>
      <c r="AC258" s="48" t="str">
        <f t="shared" si="172"/>
        <v>-0,0404379676450149-0,898926323138584i</v>
      </c>
      <c r="AD258" s="20">
        <f t="shared" si="173"/>
        <v>-0.91673842034908826</v>
      </c>
      <c r="AE258" s="44">
        <f t="shared" si="174"/>
        <v>-92.575699308787961</v>
      </c>
      <c r="AF258" t="str">
        <f t="shared" si="160"/>
        <v>-0,0000125211169631323</v>
      </c>
      <c r="AG258" t="str">
        <f t="shared" si="161"/>
        <v>0,0000762775373962231i</v>
      </c>
      <c r="AH258">
        <f t="shared" si="175"/>
        <v>7.6277537396223104E-5</v>
      </c>
      <c r="AI258">
        <f t="shared" si="176"/>
        <v>1.5707963267948966</v>
      </c>
      <c r="AJ258" t="str">
        <f t="shared" si="162"/>
        <v>1+0,122075989570829i</v>
      </c>
      <c r="AK258">
        <f t="shared" si="177"/>
        <v>1.0074237178217005</v>
      </c>
      <c r="AL258">
        <f t="shared" si="178"/>
        <v>0.1214749403849309</v>
      </c>
      <c r="AM258" t="str">
        <f t="shared" si="163"/>
        <v>1+17,8785835635096i</v>
      </c>
      <c r="AN258">
        <f t="shared" si="179"/>
        <v>17.906528145829824</v>
      </c>
      <c r="AO258">
        <f t="shared" si="180"/>
        <v>1.5149217032855742</v>
      </c>
      <c r="AP258" s="42" t="str">
        <f t="shared" si="181"/>
        <v>-2,8719681372234+0,514750439476535i</v>
      </c>
      <c r="AQ258">
        <f t="shared" si="182"/>
        <v>9.3009125472147094</v>
      </c>
      <c r="AR258" s="44">
        <f t="shared" si="183"/>
        <v>169.83861849037356</v>
      </c>
      <c r="AS258" s="42" t="str">
        <f t="shared" si="184"/>
        <v>0,578859274503165+2,56087229614859i</v>
      </c>
      <c r="AT258" s="20">
        <f t="shared" si="185"/>
        <v>8.3841741268656182</v>
      </c>
      <c r="AU258" s="44">
        <f t="shared" si="186"/>
        <v>77.262919181585602</v>
      </c>
    </row>
    <row r="259" spans="14:47" x14ac:dyDescent="0.3">
      <c r="N259" s="8">
        <v>41</v>
      </c>
      <c r="O259" s="35">
        <f t="shared" si="187"/>
        <v>2570.3957827688669</v>
      </c>
      <c r="P259" s="34" t="str">
        <f t="shared" si="155"/>
        <v>324,571428571429</v>
      </c>
      <c r="Q259" s="4" t="str">
        <f t="shared" si="156"/>
        <v>1+369,149097506965i</v>
      </c>
      <c r="R259" s="4">
        <f t="shared" si="164"/>
        <v>369.15045197074699</v>
      </c>
      <c r="S259" s="4">
        <f t="shared" si="165"/>
        <v>1.5680874008875625</v>
      </c>
      <c r="T259" s="4" t="str">
        <f t="shared" si="157"/>
        <v>1+0,00323005460318594i</v>
      </c>
      <c r="U259" s="4">
        <f t="shared" si="166"/>
        <v>1.0000052166127633</v>
      </c>
      <c r="V259" s="4">
        <f t="shared" si="167"/>
        <v>3.2300433699309137E-3</v>
      </c>
      <c r="W259" t="str">
        <f t="shared" si="158"/>
        <v>1-0,0280386684304335i</v>
      </c>
      <c r="X259" s="4">
        <f t="shared" si="168"/>
        <v>1.000393006236725</v>
      </c>
      <c r="Y259" s="4">
        <f t="shared" si="169"/>
        <v>-2.8031324203126543E-2</v>
      </c>
      <c r="Z259" t="str">
        <f t="shared" si="159"/>
        <v>0,99997357226208+0,0240403543122537i</v>
      </c>
      <c r="AA259" s="4">
        <f t="shared" si="170"/>
        <v>1.0002625074739349</v>
      </c>
      <c r="AB259" s="4">
        <f t="shared" si="171"/>
        <v>2.4036359616344257E-2</v>
      </c>
      <c r="AC259" s="48" t="str">
        <f t="shared" si="172"/>
        <v>-0,0405492780525551-0,878422764097033i</v>
      </c>
      <c r="AD259" s="20">
        <f t="shared" si="173"/>
        <v>-1.1166839120156937</v>
      </c>
      <c r="AE259" s="44">
        <f t="shared" si="174"/>
        <v>-92.642980657632137</v>
      </c>
      <c r="AF259" t="str">
        <f t="shared" si="160"/>
        <v>-0,0000125211169631323</v>
      </c>
      <c r="AG259" t="str">
        <f t="shared" si="161"/>
        <v>0,0000780542694859883i</v>
      </c>
      <c r="AH259">
        <f t="shared" si="175"/>
        <v>7.8054269485988302E-5</v>
      </c>
      <c r="AI259">
        <f t="shared" si="176"/>
        <v>1.5707963267948966</v>
      </c>
      <c r="AJ259" t="str">
        <f t="shared" si="162"/>
        <v>1+0,124919504653567i</v>
      </c>
      <c r="AK259">
        <f t="shared" si="177"/>
        <v>1.0077722374836948</v>
      </c>
      <c r="AL259">
        <f t="shared" si="178"/>
        <v>0.12427573680522361</v>
      </c>
      <c r="AM259" t="str">
        <f t="shared" si="163"/>
        <v>1+18,2950292724452i</v>
      </c>
      <c r="AN259">
        <f t="shared" si="179"/>
        <v>18.322338717522573</v>
      </c>
      <c r="AO259">
        <f t="shared" si="180"/>
        <v>1.5161910089288071</v>
      </c>
      <c r="AP259" s="42" t="str">
        <f t="shared" si="181"/>
        <v>-2,86998204503064+0,518932264850449i</v>
      </c>
      <c r="AQ259">
        <f t="shared" si="182"/>
        <v>9.2972985273696604</v>
      </c>
      <c r="AR259" s="44">
        <f t="shared" si="183"/>
        <v>169.75087053248484</v>
      </c>
      <c r="AS259" s="42" t="str">
        <f t="shared" si="184"/>
        <v>0,572217614418853+2,50001523220681i</v>
      </c>
      <c r="AT259" s="20">
        <f t="shared" si="185"/>
        <v>8.180614615353976</v>
      </c>
      <c r="AU259" s="44">
        <f t="shared" si="186"/>
        <v>77.107889874852717</v>
      </c>
    </row>
    <row r="260" spans="14:47" x14ac:dyDescent="0.3">
      <c r="N260" s="8">
        <v>42</v>
      </c>
      <c r="O260" s="35">
        <f t="shared" si="187"/>
        <v>2630.2679918953822</v>
      </c>
      <c r="P260" s="34" t="str">
        <f t="shared" si="155"/>
        <v>324,571428571429</v>
      </c>
      <c r="Q260" s="4" t="str">
        <f t="shared" si="156"/>
        <v>1+377,747684585641i</v>
      </c>
      <c r="R260" s="4">
        <f t="shared" si="164"/>
        <v>377.74900821817249</v>
      </c>
      <c r="S260" s="4">
        <f t="shared" si="165"/>
        <v>1.5681490632779953</v>
      </c>
      <c r="T260" s="4" t="str">
        <f t="shared" si="157"/>
        <v>1+0,00330529224012436i</v>
      </c>
      <c r="U260" s="4">
        <f t="shared" si="166"/>
        <v>1.0000054624634771</v>
      </c>
      <c r="V260" s="4">
        <f t="shared" si="167"/>
        <v>3.3052802034782896E-3</v>
      </c>
      <c r="W260" t="str">
        <f t="shared" si="158"/>
        <v>1-0,0286917729177462i</v>
      </c>
      <c r="X260" s="4">
        <f t="shared" si="168"/>
        <v>1.0004115242404814</v>
      </c>
      <c r="Y260" s="4">
        <f t="shared" si="169"/>
        <v>-2.8683903611229085E-2</v>
      </c>
      <c r="Z260" t="str">
        <f t="shared" si="159"/>
        <v>0,999972326761163+0,0246003260996756i</v>
      </c>
      <c r="AA260" s="4">
        <f t="shared" si="170"/>
        <v>1.0002748773873831</v>
      </c>
      <c r="AB260" s="4">
        <f t="shared" si="171"/>
        <v>2.4596045769246573E-2</v>
      </c>
      <c r="AC260" s="48" t="str">
        <f t="shared" si="172"/>
        <v>-0,0406554908994212-0,858384931107038i</v>
      </c>
      <c r="AD260" s="20">
        <f t="shared" si="173"/>
        <v>-1.3166269764044622</v>
      </c>
      <c r="AE260" s="44">
        <f t="shared" si="174"/>
        <v>-92.711660599627066</v>
      </c>
      <c r="AF260" t="str">
        <f t="shared" si="160"/>
        <v>-0,0000125211169631323</v>
      </c>
      <c r="AG260" t="str">
        <f t="shared" si="161"/>
        <v>0,0000798723869826053i</v>
      </c>
      <c r="AH260">
        <f t="shared" si="175"/>
        <v>7.98723869826053E-5</v>
      </c>
      <c r="AI260">
        <f t="shared" si="176"/>
        <v>1.5707963267948966</v>
      </c>
      <c r="AJ260" t="str">
        <f t="shared" si="162"/>
        <v>1+0,127829253711178i</v>
      </c>
      <c r="AK260">
        <f t="shared" si="177"/>
        <v>1.0081370532345078</v>
      </c>
      <c r="AL260">
        <f t="shared" si="178"/>
        <v>0.12713974438280931</v>
      </c>
      <c r="AM260" t="str">
        <f t="shared" si="163"/>
        <v>1+18,7211752480644i</v>
      </c>
      <c r="AN260">
        <f t="shared" si="179"/>
        <v>18.747863949494068</v>
      </c>
      <c r="AO260">
        <f t="shared" si="180"/>
        <v>1.5174315918616326</v>
      </c>
      <c r="AP260" s="42" t="str">
        <f t="shared" si="181"/>
        <v>-2,86790529324574+0,523366219519072i</v>
      </c>
      <c r="AQ260">
        <f t="shared" si="182"/>
        <v>9.2935725002473752</v>
      </c>
      <c r="AR260" s="44">
        <f t="shared" si="183"/>
        <v>169.65785515198255</v>
      </c>
      <c r="AS260" s="42" t="str">
        <f t="shared" si="184"/>
        <v>0,565845773835584+2,44048897698953i</v>
      </c>
      <c r="AT260" s="20">
        <f t="shared" si="185"/>
        <v>7.9769455238429057</v>
      </c>
      <c r="AU260" s="44">
        <f t="shared" si="186"/>
        <v>76.946194552355479</v>
      </c>
    </row>
    <row r="261" spans="14:47" x14ac:dyDescent="0.3">
      <c r="N261" s="8">
        <v>43</v>
      </c>
      <c r="O261" s="35">
        <f t="shared" si="187"/>
        <v>2691.5348039269184</v>
      </c>
      <c r="P261" s="34" t="str">
        <f t="shared" si="155"/>
        <v>324,571428571429</v>
      </c>
      <c r="Q261" s="4" t="str">
        <f t="shared" si="156"/>
        <v>1+386,546558486768i</v>
      </c>
      <c r="R261" s="4">
        <f t="shared" si="164"/>
        <v>386.54785198984661</v>
      </c>
      <c r="S261" s="4">
        <f t="shared" si="165"/>
        <v>1.5682093220805118</v>
      </c>
      <c r="T261" s="4" t="str">
        <f t="shared" si="157"/>
        <v>1+0,00338228238675922i</v>
      </c>
      <c r="U261" s="4">
        <f t="shared" si="166"/>
        <v>1.0000057199007133</v>
      </c>
      <c r="V261" s="4">
        <f t="shared" si="167"/>
        <v>3.3822694892645696E-3</v>
      </c>
      <c r="W261" t="str">
        <f t="shared" si="158"/>
        <v>1-0,0293600901628404i</v>
      </c>
      <c r="X261" s="4">
        <f t="shared" si="168"/>
        <v>1.0004309146034873</v>
      </c>
      <c r="Y261" s="4">
        <f t="shared" si="169"/>
        <v>-2.9351658245134006E-2</v>
      </c>
      <c r="Z261" t="str">
        <f t="shared" si="159"/>
        <v>0,999971022561597+0,0251733413056194i</v>
      </c>
      <c r="AA261" s="4">
        <f t="shared" si="170"/>
        <v>1.0002878301146001</v>
      </c>
      <c r="AB261" s="4">
        <f t="shared" si="171"/>
        <v>2.5168754920016471E-2</v>
      </c>
      <c r="AC261" s="48" t="str">
        <f t="shared" si="172"/>
        <v>-0,0407568314743179-0,838802201818855i</v>
      </c>
      <c r="AD261" s="20">
        <f t="shared" si="173"/>
        <v>-1.5165674932049311</v>
      </c>
      <c r="AE261" s="44">
        <f t="shared" si="174"/>
        <v>-92.78177535304718</v>
      </c>
      <c r="AF261" t="str">
        <f t="shared" si="160"/>
        <v>-0,0000125211169631323</v>
      </c>
      <c r="AG261" t="str">
        <f t="shared" si="161"/>
        <v>0,0000817328538760366i</v>
      </c>
      <c r="AH261">
        <f t="shared" si="175"/>
        <v>8.1732853876036605E-5</v>
      </c>
      <c r="AI261">
        <f t="shared" si="176"/>
        <v>1.5707963267948966</v>
      </c>
      <c r="AJ261" t="str">
        <f t="shared" si="162"/>
        <v>1+0,130806779531128i</v>
      </c>
      <c r="AK261">
        <f t="shared" si="177"/>
        <v>1.0085189207800245</v>
      </c>
      <c r="AL261">
        <f t="shared" si="178"/>
        <v>0.13006829361508007</v>
      </c>
      <c r="AM261" t="str">
        <f t="shared" si="163"/>
        <v>1+19,1572474386042i</v>
      </c>
      <c r="AN261">
        <f t="shared" si="179"/>
        <v>19.183329466594351</v>
      </c>
      <c r="AO261">
        <f t="shared" si="180"/>
        <v>1.5186440945743716</v>
      </c>
      <c r="AP261" s="42" t="str">
        <f t="shared" si="181"/>
        <v>-2,86573388605483+0,528053061907426i</v>
      </c>
      <c r="AQ261">
        <f t="shared" si="182"/>
        <v>9.2897268846377568</v>
      </c>
      <c r="AR261" s="44">
        <f t="shared" si="183"/>
        <v>169.55953292896521</v>
      </c>
      <c r="AS261" s="42" t="str">
        <f t="shared" si="184"/>
        <v>0,559730304049316+2,38226212379604i</v>
      </c>
      <c r="AT261" s="20">
        <f t="shared" si="185"/>
        <v>7.7731593914328379</v>
      </c>
      <c r="AU261" s="44">
        <f t="shared" si="186"/>
        <v>76.777757575918059</v>
      </c>
    </row>
    <row r="262" spans="14:47" x14ac:dyDescent="0.3">
      <c r="N262" s="8">
        <v>44</v>
      </c>
      <c r="O262" s="35">
        <f t="shared" si="187"/>
        <v>2754.228703338169</v>
      </c>
      <c r="P262" s="34" t="str">
        <f t="shared" si="155"/>
        <v>324,571428571429</v>
      </c>
      <c r="Q262" s="4" t="str">
        <f t="shared" si="156"/>
        <v>1+395,550384489753i</v>
      </c>
      <c r="R262" s="4">
        <f t="shared" si="164"/>
        <v>395.55164854920207</v>
      </c>
      <c r="S262" s="4">
        <f t="shared" si="165"/>
        <v>1.5682682092433751</v>
      </c>
      <c r="T262" s="4" t="str">
        <f t="shared" si="157"/>
        <v>1+0,00346106586428534i</v>
      </c>
      <c r="U262" s="4">
        <f t="shared" si="166"/>
        <v>1.0000059894705216</v>
      </c>
      <c r="V262" s="4">
        <f t="shared" si="167"/>
        <v>3.4610520443753034E-3</v>
      </c>
      <c r="W262" t="str">
        <f t="shared" si="158"/>
        <v>1-0,0300439745163658i</v>
      </c>
      <c r="X262" s="4">
        <f t="shared" si="168"/>
        <v>1.0004512184033463</v>
      </c>
      <c r="Y262" s="4">
        <f t="shared" si="169"/>
        <v>-3.0034939773829646E-2</v>
      </c>
      <c r="Z262" t="str">
        <f t="shared" si="159"/>
        <v>0,999969656896999+0,025759703750332i</v>
      </c>
      <c r="AA262" s="4">
        <f t="shared" si="170"/>
        <v>1.0003013931071008</v>
      </c>
      <c r="AB262" s="4">
        <f t="shared" si="171"/>
        <v>2.5754789429372385E-2</v>
      </c>
      <c r="AC262" s="48" t="str">
        <f t="shared" si="172"/>
        <v>-0,0408535147327266-0,819664195073265i</v>
      </c>
      <c r="AD262" s="20">
        <f t="shared" si="173"/>
        <v>-1.7165053367468137</v>
      </c>
      <c r="AE262" s="44">
        <f t="shared" si="174"/>
        <v>-92.853361882888265</v>
      </c>
      <c r="AF262" t="str">
        <f t="shared" si="160"/>
        <v>-0,0000125211169631323</v>
      </c>
      <c r="AG262" t="str">
        <f t="shared" si="161"/>
        <v>0,0000836366566104551i</v>
      </c>
      <c r="AH262">
        <f t="shared" si="175"/>
        <v>8.3636656610455105E-5</v>
      </c>
      <c r="AI262">
        <f t="shared" si="176"/>
        <v>1.5707963267948966</v>
      </c>
      <c r="AJ262" t="str">
        <f t="shared" si="162"/>
        <v>1+0,133853660837017i</v>
      </c>
      <c r="AK262">
        <f t="shared" si="177"/>
        <v>1.008918630276729</v>
      </c>
      <c r="AL262">
        <f t="shared" si="178"/>
        <v>0.13306273621949816</v>
      </c>
      <c r="AM262" t="str">
        <f t="shared" si="163"/>
        <v>1+19,6034770553122i</v>
      </c>
      <c r="AN262">
        <f t="shared" si="179"/>
        <v>19.628966163762978</v>
      </c>
      <c r="AO262">
        <f t="shared" si="180"/>
        <v>1.5198291456833128</v>
      </c>
      <c r="AP262" s="42" t="str">
        <f t="shared" si="181"/>
        <v>-2,86346366502266+0,532993576983457i</v>
      </c>
      <c r="AQ262">
        <f t="shared" si="182"/>
        <v>9.2857538740942722</v>
      </c>
      <c r="AR262" s="44">
        <f t="shared" si="183"/>
        <v>169.4558624327876</v>
      </c>
      <c r="AS262" s="42" t="str">
        <f t="shared" si="184"/>
        <v>0,553858306282996+2,3253039791626i</v>
      </c>
      <c r="AT262" s="20">
        <f t="shared" si="185"/>
        <v>7.5692485373474661</v>
      </c>
      <c r="AU262" s="44">
        <f t="shared" si="186"/>
        <v>76.602500549899318</v>
      </c>
    </row>
    <row r="263" spans="14:47" x14ac:dyDescent="0.3">
      <c r="N263" s="8">
        <v>45</v>
      </c>
      <c r="O263" s="35">
        <f t="shared" si="187"/>
        <v>2818.3829312644561</v>
      </c>
      <c r="P263" s="34" t="str">
        <f t="shared" si="155"/>
        <v>324,571428571429</v>
      </c>
      <c r="Q263" s="4" t="str">
        <f t="shared" si="156"/>
        <v>1+404,763936542322i</v>
      </c>
      <c r="R263" s="4">
        <f t="shared" si="164"/>
        <v>404.76517182835397</v>
      </c>
      <c r="S263" s="4">
        <f t="shared" si="165"/>
        <v>1.568325755987704</v>
      </c>
      <c r="T263" s="4" t="str">
        <f t="shared" si="157"/>
        <v>1+0,00354168444474532i</v>
      </c>
      <c r="U263" s="4">
        <f t="shared" si="166"/>
        <v>1.0000062717446856</v>
      </c>
      <c r="V263" s="4">
        <f t="shared" si="167"/>
        <v>3.5416696364499352E-3</v>
      </c>
      <c r="W263" t="str">
        <f t="shared" si="158"/>
        <v>1-0,0307437885828587i</v>
      </c>
      <c r="X263" s="4">
        <f t="shared" si="168"/>
        <v>1.0004724786501764</v>
      </c>
      <c r="Y263" s="4">
        <f t="shared" si="169"/>
        <v>-3.0734107928717294E-2</v>
      </c>
      <c r="Z263" t="str">
        <f t="shared" si="159"/>
        <v>0,999968226870611+0,026359724330943i</v>
      </c>
      <c r="AA263" s="4">
        <f t="shared" si="170"/>
        <v>1.0003155951086422</v>
      </c>
      <c r="AB263" s="4">
        <f t="shared" si="171"/>
        <v>2.6354458630645901E-2</v>
      </c>
      <c r="AC263" s="48" t="str">
        <f t="shared" si="172"/>
        <v>-0,0409457457528415-0,800960765406222i</v>
      </c>
      <c r="AD263" s="20">
        <f t="shared" si="173"/>
        <v>-1.9164403757378048</v>
      </c>
      <c r="AE263" s="44">
        <f t="shared" si="174"/>
        <v>-92.92645791946461</v>
      </c>
      <c r="AF263" t="str">
        <f t="shared" si="160"/>
        <v>-0,0000125211169631323</v>
      </c>
      <c r="AG263" t="str">
        <f t="shared" si="161"/>
        <v>0,0000855848046072705i</v>
      </c>
      <c r="AH263">
        <f t="shared" si="175"/>
        <v>8.5584804607270499E-5</v>
      </c>
      <c r="AI263">
        <f t="shared" si="176"/>
        <v>1.5707963267948966</v>
      </c>
      <c r="AJ263" t="str">
        <f t="shared" si="162"/>
        <v>1+0,136971513125644i</v>
      </c>
      <c r="AK263">
        <f t="shared" si="177"/>
        <v>1.0093370078462043</v>
      </c>
      <c r="AL263">
        <f t="shared" si="178"/>
        <v>0.13612444497357867</v>
      </c>
      <c r="AM263" t="str">
        <f t="shared" si="163"/>
        <v>1+20,0601006950375i</v>
      </c>
      <c r="AN263">
        <f t="shared" si="179"/>
        <v>20.085010328477406</v>
      </c>
      <c r="AO263">
        <f t="shared" si="180"/>
        <v>1.5209873601969091</v>
      </c>
      <c r="AP263" s="42" t="str">
        <f t="shared" si="181"/>
        <v>-2,86109030376194+0,538188569727977i</v>
      </c>
      <c r="AQ263">
        <f t="shared" si="182"/>
        <v>9.2816454231938241</v>
      </c>
      <c r="AR263" s="44">
        <f t="shared" si="183"/>
        <v>169.34680024648034</v>
      </c>
      <c r="AS263" s="42" t="str">
        <f t="shared" si="184"/>
        <v>0,548217404895957+2,26958454725432i</v>
      </c>
      <c r="AT263" s="20">
        <f t="shared" si="185"/>
        <v>7.3652050474560316</v>
      </c>
      <c r="AU263" s="44">
        <f t="shared" si="186"/>
        <v>76.420342327015746</v>
      </c>
    </row>
    <row r="264" spans="14:47" x14ac:dyDescent="0.3">
      <c r="N264" s="8">
        <v>46</v>
      </c>
      <c r="O264" s="35">
        <f t="shared" si="187"/>
        <v>2884.0315031266077</v>
      </c>
      <c r="P264" s="34" t="str">
        <f t="shared" si="155"/>
        <v>324,571428571429</v>
      </c>
      <c r="Q264" s="4" t="str">
        <f t="shared" si="156"/>
        <v>1+414,19209979173i</v>
      </c>
      <c r="R264" s="4">
        <f t="shared" si="164"/>
        <v>414.19330695930182</v>
      </c>
      <c r="S264" s="4">
        <f t="shared" si="165"/>
        <v>1.5683819928240188</v>
      </c>
      <c r="T264" s="4" t="str">
        <f t="shared" si="157"/>
        <v>1+0,00362418087317764i</v>
      </c>
      <c r="U264" s="4">
        <f t="shared" si="166"/>
        <v>1.000006567321936</v>
      </c>
      <c r="V264" s="4">
        <f t="shared" si="167"/>
        <v>3.6241650058088854E-3</v>
      </c>
      <c r="W264" t="str">
        <f t="shared" si="158"/>
        <v>1-0,0314599034130003i</v>
      </c>
      <c r="X264" s="4">
        <f t="shared" si="168"/>
        <v>1.0004947403773572</v>
      </c>
      <c r="Y264" s="4">
        <f t="shared" si="169"/>
        <v>-3.1449530682214004E-2</v>
      </c>
      <c r="Z264" t="str">
        <f t="shared" si="159"/>
        <v>0,999966729449156+0,0269737211863065i</v>
      </c>
      <c r="AA264" s="4">
        <f t="shared" si="170"/>
        <v>1.0003304662159791</v>
      </c>
      <c r="AB264" s="4">
        <f t="shared" si="171"/>
        <v>2.6968078987180271E-2</v>
      </c>
      <c r="AC264" s="48" t="str">
        <f t="shared" si="172"/>
        <v>-0,0410337201705673-0,782681997677979i</v>
      </c>
      <c r="AD264" s="20">
        <f t="shared" si="173"/>
        <v>-2.116372472989891</v>
      </c>
      <c r="AE264" s="44">
        <f t="shared" si="174"/>
        <v>-93.001101977340696</v>
      </c>
      <c r="AF264" t="str">
        <f t="shared" si="160"/>
        <v>-0,0000125211169631323</v>
      </c>
      <c r="AG264" t="str">
        <f t="shared" si="161"/>
        <v>0,0000875783308003375i</v>
      </c>
      <c r="AH264">
        <f t="shared" si="175"/>
        <v>8.7578330800337502E-5</v>
      </c>
      <c r="AI264">
        <f t="shared" si="176"/>
        <v>1.5707963267948966</v>
      </c>
      <c r="AJ264" t="str">
        <f t="shared" si="162"/>
        <v>1+0,140161989523563i</v>
      </c>
      <c r="AK264">
        <f t="shared" si="177"/>
        <v>1.0097749171509478</v>
      </c>
      <c r="AL264">
        <f t="shared" si="178"/>
        <v>0.13925481350954833</v>
      </c>
      <c r="AM264" t="str">
        <f t="shared" si="163"/>
        <v>1+20,5273604656782i</v>
      </c>
      <c r="AN264">
        <f t="shared" si="179"/>
        <v>20.551703766060086</v>
      </c>
      <c r="AO264">
        <f t="shared" si="180"/>
        <v>1.5221193397791735</v>
      </c>
      <c r="AP264" s="42" t="str">
        <f t="shared" si="181"/>
        <v>-2,85860930255631+0,543638858204178i</v>
      </c>
      <c r="AQ264">
        <f t="shared" si="182"/>
        <v>9.2773932335334592</v>
      </c>
      <c r="AR264" s="44">
        <f t="shared" si="183"/>
        <v>169.23230099360754</v>
      </c>
      <c r="AS264" s="42" t="str">
        <f t="shared" si="184"/>
        <v>0,542795721752698+2,21507451472423i</v>
      </c>
      <c r="AT264" s="20">
        <f t="shared" si="185"/>
        <v>7.1610207605435665</v>
      </c>
      <c r="AU264" s="44">
        <f t="shared" si="186"/>
        <v>76.231199016266814</v>
      </c>
    </row>
    <row r="265" spans="14:47" x14ac:dyDescent="0.3">
      <c r="N265" s="8">
        <v>47</v>
      </c>
      <c r="O265" s="35">
        <f t="shared" si="187"/>
        <v>2951.2092266663876</v>
      </c>
      <c r="P265" s="34" t="str">
        <f t="shared" si="155"/>
        <v>324,571428571429</v>
      </c>
      <c r="Q265" s="4" t="str">
        <f t="shared" si="156"/>
        <v>1+423,839873174928i</v>
      </c>
      <c r="R265" s="4">
        <f t="shared" si="164"/>
        <v>423.84105286408851</v>
      </c>
      <c r="S265" s="4">
        <f t="shared" si="165"/>
        <v>1.5684369495684105</v>
      </c>
      <c r="T265" s="4" t="str">
        <f t="shared" si="157"/>
        <v>1+0,00370859889028062i</v>
      </c>
      <c r="U265" s="4">
        <f t="shared" si="166"/>
        <v>1.0000068768292192</v>
      </c>
      <c r="V265" s="4">
        <f t="shared" si="167"/>
        <v>3.7085818880949911E-3</v>
      </c>
      <c r="W265" t="str">
        <f t="shared" si="158"/>
        <v>1-0,0321926987003526i</v>
      </c>
      <c r="X265" s="4">
        <f t="shared" si="168"/>
        <v>1.000518050736523</v>
      </c>
      <c r="Y265" s="4">
        <f t="shared" si="169"/>
        <v>-3.2181584429861146E-2</v>
      </c>
      <c r="Z265" t="str">
        <f t="shared" si="159"/>
        <v>0,999965161456402+0,0276020198656823i</v>
      </c>
      <c r="AA265" s="4">
        <f t="shared" si="170"/>
        <v>1.000346037942468</v>
      </c>
      <c r="AB265" s="4">
        <f t="shared" si="171"/>
        <v>2.7595974253037739E-2</v>
      </c>
      <c r="AC265" s="48" t="str">
        <f t="shared" si="172"/>
        <v>-0,0411176245945039-0,764818201823932i</v>
      </c>
      <c r="AD265" s="20">
        <f t="shared" si="173"/>
        <v>-2.316301485133105</v>
      </c>
      <c r="AE265" s="44">
        <f t="shared" si="174"/>
        <v>-93.077333374602276</v>
      </c>
      <c r="AF265" t="str">
        <f t="shared" si="160"/>
        <v>-0,0000125211169631323</v>
      </c>
      <c r="AG265" t="str">
        <f t="shared" si="161"/>
        <v>0,0000896182921836311i</v>
      </c>
      <c r="AH265">
        <f t="shared" si="175"/>
        <v>8.9618292183631099E-5</v>
      </c>
      <c r="AI265">
        <f t="shared" si="176"/>
        <v>1.5707963267948966</v>
      </c>
      <c r="AJ265" t="str">
        <f t="shared" si="162"/>
        <v>1+0,14342678166359i</v>
      </c>
      <c r="AK265">
        <f t="shared" si="177"/>
        <v>1.0102332610334976</v>
      </c>
      <c r="AL265">
        <f t="shared" si="178"/>
        <v>0.14245525606025147</v>
      </c>
      <c r="AM265" t="str">
        <f t="shared" si="163"/>
        <v>1+21,0055041145494i</v>
      </c>
      <c r="AN265">
        <f t="shared" si="179"/>
        <v>21.029293927908082</v>
      </c>
      <c r="AO265">
        <f t="shared" si="180"/>
        <v>1.5232256730101237</v>
      </c>
      <c r="AP265" s="42" t="str">
        <f t="shared" si="181"/>
        <v>-2,85601598295084+0,549345266203278i</v>
      </c>
      <c r="AQ265">
        <f t="shared" si="182"/>
        <v>9.2729887394547177</v>
      </c>
      <c r="AR265" s="44">
        <f t="shared" si="183"/>
        <v>169.11231736774661</v>
      </c>
      <c r="AS265" s="42" t="str">
        <f t="shared" si="184"/>
        <v>0,537581851700956+2,16174523603236i</v>
      </c>
      <c r="AT265" s="20">
        <f t="shared" si="185"/>
        <v>6.9566872543216238</v>
      </c>
      <c r="AU265" s="44">
        <f t="shared" si="186"/>
        <v>76.034983993144351</v>
      </c>
    </row>
    <row r="266" spans="14:47" x14ac:dyDescent="0.3">
      <c r="N266" s="8">
        <v>48</v>
      </c>
      <c r="O266" s="35">
        <f t="shared" si="187"/>
        <v>3019.9517204020176</v>
      </c>
      <c r="P266" s="34" t="str">
        <f t="shared" si="155"/>
        <v>324,571428571429</v>
      </c>
      <c r="Q266" s="4" t="str">
        <f t="shared" si="156"/>
        <v>1+433,712372069067i</v>
      </c>
      <c r="R266" s="4">
        <f t="shared" si="164"/>
        <v>433.71352490529597</v>
      </c>
      <c r="S266" s="4">
        <f t="shared" si="165"/>
        <v>1.568490655358344</v>
      </c>
      <c r="T266" s="4" t="str">
        <f t="shared" si="157"/>
        <v>1+0,00379498325560434i</v>
      </c>
      <c r="U266" s="4">
        <f t="shared" si="166"/>
        <v>1.0000072009230285</v>
      </c>
      <c r="V266" s="4">
        <f t="shared" si="167"/>
        <v>3.7949650374412922E-3</v>
      </c>
      <c r="W266" t="str">
        <f t="shared" si="158"/>
        <v>1-0,0329425629826766i</v>
      </c>
      <c r="X266" s="4">
        <f t="shared" si="168"/>
        <v>1.0005424590969978</v>
      </c>
      <c r="Y266" s="4">
        <f t="shared" si="169"/>
        <v>-3.2930654175974315E-2</v>
      </c>
      <c r="Z266" t="str">
        <f t="shared" si="159"/>
        <v>0,999963519566426+0,0282449535013469i</v>
      </c>
      <c r="AA266" s="4">
        <f t="shared" si="170"/>
        <v>1.0003623432846558</v>
      </c>
      <c r="AB266" s="4">
        <f t="shared" si="171"/>
        <v>2.8238475637068276E-2</v>
      </c>
      <c r="AC266" s="48" t="str">
        <f t="shared" si="172"/>
        <v>-0,0411976370017927-0,747359907724332i</v>
      </c>
      <c r="AD266" s="20">
        <f t="shared" si="173"/>
        <v>-2.5162272623172526</v>
      </c>
      <c r="AE266" s="44">
        <f t="shared" si="174"/>
        <v>-93.155192252471778</v>
      </c>
      <c r="AF266" t="str">
        <f t="shared" si="160"/>
        <v>-0,0000125211169631323</v>
      </c>
      <c r="AG266" t="str">
        <f t="shared" si="161"/>
        <v>0,0000917057703716787i</v>
      </c>
      <c r="AH266">
        <f t="shared" si="175"/>
        <v>9.1705770371678698E-5</v>
      </c>
      <c r="AI266">
        <f t="shared" si="176"/>
        <v>1.5707963267948966</v>
      </c>
      <c r="AJ266" t="str">
        <f t="shared" si="162"/>
        <v>1+0,146767620581734i</v>
      </c>
      <c r="AK266">
        <f t="shared" si="177"/>
        <v>1.0107129832208666</v>
      </c>
      <c r="AL266">
        <f t="shared" si="178"/>
        <v>0.14572720715269483</v>
      </c>
      <c r="AM266" t="str">
        <f t="shared" si="163"/>
        <v>1+21,494785159743i</v>
      </c>
      <c r="AN266">
        <f t="shared" si="179"/>
        <v>21.518034042716536</v>
      </c>
      <c r="AO266">
        <f t="shared" si="180"/>
        <v>1.5243069356431487</v>
      </c>
      <c r="AP266" s="42" t="str">
        <f t="shared" si="181"/>
        <v>-2,85330548232751+0,555308615442265i</v>
      </c>
      <c r="AQ266">
        <f t="shared" si="182"/>
        <v>9.2684230934924745</v>
      </c>
      <c r="AR266" s="44">
        <f t="shared" si="183"/>
        <v>168.98680016479389</v>
      </c>
      <c r="AS266" s="42" t="str">
        <f t="shared" si="184"/>
        <v>0,532564839111611+2,10956871921866i</v>
      </c>
      <c r="AT266" s="20">
        <f t="shared" si="185"/>
        <v>6.7521958311752206</v>
      </c>
      <c r="AU266" s="44">
        <f t="shared" si="186"/>
        <v>75.831607912322141</v>
      </c>
    </row>
    <row r="267" spans="14:47" x14ac:dyDescent="0.3">
      <c r="N267" s="8">
        <v>49</v>
      </c>
      <c r="O267" s="35">
        <f t="shared" si="187"/>
        <v>3090.295432513592</v>
      </c>
      <c r="P267" s="34" t="str">
        <f t="shared" si="155"/>
        <v>324,571428571429</v>
      </c>
      <c r="Q267" s="4" t="str">
        <f t="shared" si="156"/>
        <v>1+443,814831003739i</v>
      </c>
      <c r="R267" s="4">
        <f t="shared" si="164"/>
        <v>443.815957598279</v>
      </c>
      <c r="S267" s="4">
        <f t="shared" si="165"/>
        <v>1.5685431386681001</v>
      </c>
      <c r="T267" s="4" t="str">
        <f t="shared" si="157"/>
        <v>1+0,00388337977128272i</v>
      </c>
      <c r="U267" s="4">
        <f t="shared" si="166"/>
        <v>1.000007540290796</v>
      </c>
      <c r="V267" s="4">
        <f t="shared" si="167"/>
        <v>3.8833602501772584E-3</v>
      </c>
      <c r="W267" t="str">
        <f t="shared" si="158"/>
        <v>1-0,0337098938479403i</v>
      </c>
      <c r="X267" s="4">
        <f t="shared" si="168"/>
        <v>1.0005680171498785</v>
      </c>
      <c r="Y267" s="4">
        <f t="shared" si="169"/>
        <v>-3.3697133722868464E-2</v>
      </c>
      <c r="Z267" t="str">
        <f t="shared" si="159"/>
        <v>0,999961800296559+0,028902862985224i</v>
      </c>
      <c r="AA267" s="4">
        <f t="shared" si="170"/>
        <v>1.0003794167919879</v>
      </c>
      <c r="AB267" s="4">
        <f t="shared" si="171"/>
        <v>2.8895921970388958E-2</v>
      </c>
      <c r="AC267" s="48" t="str">
        <f t="shared" si="172"/>
        <v>-0,041273927115669-0,730297860190265i</v>
      </c>
      <c r="AD267" s="20">
        <f t="shared" si="173"/>
        <v>-2.7161496479001697</v>
      </c>
      <c r="AE267" s="44">
        <f t="shared" si="174"/>
        <v>-93.234719595272509</v>
      </c>
      <c r="AF267" t="str">
        <f t="shared" si="160"/>
        <v>-0,0000125211169631323</v>
      </c>
      <c r="AG267" t="str">
        <f t="shared" si="161"/>
        <v>0,0000938418721730469i</v>
      </c>
      <c r="AH267">
        <f t="shared" si="175"/>
        <v>9.3841872173046904E-5</v>
      </c>
      <c r="AI267">
        <f t="shared" si="176"/>
        <v>1.5707963267948966</v>
      </c>
      <c r="AJ267" t="str">
        <f t="shared" si="162"/>
        <v>1+0,150186277635008i</v>
      </c>
      <c r="AK267">
        <f t="shared" si="177"/>
        <v>1.0112150700962974</v>
      </c>
      <c r="AL267">
        <f t="shared" si="178"/>
        <v>0.14907212124540553</v>
      </c>
      <c r="AM267" t="str">
        <f t="shared" si="163"/>
        <v>1+21,9954630245453i</v>
      </c>
      <c r="AN267">
        <f t="shared" si="179"/>
        <v>22.018183250762071</v>
      </c>
      <c r="AO267">
        <f t="shared" si="180"/>
        <v>1.5253636908591739</v>
      </c>
      <c r="AP267" s="42" t="str">
        <f t="shared" si="181"/>
        <v>-2,85047274848342+0,561529717289058i</v>
      </c>
      <c r="AQ267">
        <f t="shared" si="182"/>
        <v>9.2636871515412054</v>
      </c>
      <c r="AR267" s="44">
        <f t="shared" si="183"/>
        <v>168.85569831830446</v>
      </c>
      <c r="AS267" s="42" t="str">
        <f t="shared" si="184"/>
        <v>0,527734155435549+2,05851761212343i</v>
      </c>
      <c r="AT267" s="20">
        <f t="shared" si="185"/>
        <v>6.5475375036410144</v>
      </c>
      <c r="AU267" s="44">
        <f t="shared" si="186"/>
        <v>75.620978723031911</v>
      </c>
    </row>
    <row r="268" spans="14:47" x14ac:dyDescent="0.3">
      <c r="N268" s="8">
        <v>50</v>
      </c>
      <c r="O268" s="35">
        <f t="shared" si="187"/>
        <v>3162.2776601683804</v>
      </c>
      <c r="P268" s="34" t="str">
        <f t="shared" si="155"/>
        <v>324,571428571429</v>
      </c>
      <c r="Q268" s="4" t="str">
        <f t="shared" si="156"/>
        <v>1+454,152606436393i</v>
      </c>
      <c r="R268" s="4">
        <f t="shared" si="164"/>
        <v>454.15370738657333</v>
      </c>
      <c r="S268" s="4">
        <f t="shared" si="165"/>
        <v>1.568594427323867</v>
      </c>
      <c r="T268" s="4" t="str">
        <f t="shared" si="157"/>
        <v>1+0,00397383530631844i</v>
      </c>
      <c r="U268" s="4">
        <f t="shared" si="166"/>
        <v>1.0000078956523502</v>
      </c>
      <c r="V268" s="4">
        <f t="shared" si="167"/>
        <v>3.9738143890859978E-3</v>
      </c>
      <c r="W268" t="str">
        <f t="shared" si="158"/>
        <v>1-0,0344950981451253i</v>
      </c>
      <c r="X268" s="4">
        <f t="shared" si="168"/>
        <v>1.0005947790169814</v>
      </c>
      <c r="Y268" s="4">
        <f t="shared" si="169"/>
        <v>-3.4481425863687881E-2</v>
      </c>
      <c r="Z268" t="str">
        <f t="shared" si="159"/>
        <v>0,99996+0,0295760971496304i</v>
      </c>
      <c r="AA268" s="4">
        <f t="shared" si="170"/>
        <v>1.0003972946397868</v>
      </c>
      <c r="AB268" s="4">
        <f t="shared" si="171"/>
        <v>2.9568659877326743E-2</v>
      </c>
      <c r="AC268" s="48" t="str">
        <f t="shared" si="172"/>
        <v>-0,0413466567655195-0,713623014063251i</v>
      </c>
      <c r="AD268" s="20">
        <f t="shared" si="173"/>
        <v>-2.9160684781221109</v>
      </c>
      <c r="AE268" s="44">
        <f t="shared" si="174"/>
        <v>-93.315957250746109</v>
      </c>
      <c r="AF268" t="str">
        <f t="shared" si="160"/>
        <v>-0,0000125211169631323</v>
      </c>
      <c r="AG268" t="str">
        <f t="shared" si="161"/>
        <v>0,0000960277301771851i</v>
      </c>
      <c r="AH268">
        <f t="shared" si="175"/>
        <v>9.6027730177185094E-5</v>
      </c>
      <c r="AI268">
        <f t="shared" si="176"/>
        <v>1.5707963267948966</v>
      </c>
      <c r="AJ268" t="str">
        <f t="shared" si="162"/>
        <v>1+0,153684565440636i</v>
      </c>
      <c r="AK268">
        <f t="shared" si="177"/>
        <v>1.011740552540362</v>
      </c>
      <c r="AL268">
        <f t="shared" si="178"/>
        <v>0.15249147230563367</v>
      </c>
      <c r="AM268" t="str">
        <f t="shared" si="163"/>
        <v>1+22,5078031749876i</v>
      </c>
      <c r="AN268">
        <f t="shared" si="179"/>
        <v>22.530006741321273</v>
      </c>
      <c r="AO268">
        <f t="shared" si="180"/>
        <v>1.5263964895175368</v>
      </c>
      <c r="AP268" s="42" t="str">
        <f t="shared" si="181"/>
        <v>-2,84751253423347+0,568009363990109i</v>
      </c>
      <c r="AQ268">
        <f t="shared" si="182"/>
        <v>9.2587714577382467</v>
      </c>
      <c r="AR268" s="44">
        <f t="shared" si="183"/>
        <v>168.71895893809082</v>
      </c>
      <c r="AS268" s="42" t="str">
        <f t="shared" si="184"/>
        <v>0,523079677735238+2,00856518905008i</v>
      </c>
      <c r="AT268" s="20">
        <f t="shared" si="185"/>
        <v>6.3427029796161563</v>
      </c>
      <c r="AU268" s="44">
        <f t="shared" si="186"/>
        <v>75.403001687344741</v>
      </c>
    </row>
    <row r="269" spans="14:47" x14ac:dyDescent="0.3">
      <c r="N269" s="8">
        <v>51</v>
      </c>
      <c r="O269" s="35">
        <f t="shared" si="187"/>
        <v>3235.9365692962833</v>
      </c>
      <c r="P269" s="34" t="str">
        <f t="shared" si="155"/>
        <v>324,571428571429</v>
      </c>
      <c r="Q269" s="4" t="str">
        <f t="shared" si="156"/>
        <v>1+464,7311795924i</v>
      </c>
      <c r="R269" s="4">
        <f t="shared" si="164"/>
        <v>464.73225548195336</v>
      </c>
      <c r="S269" s="4">
        <f t="shared" si="165"/>
        <v>1.5686445485184888</v>
      </c>
      <c r="T269" s="4" t="str">
        <f t="shared" si="157"/>
        <v>1+0,0040663978214335i</v>
      </c>
      <c r="U269" s="4">
        <f t="shared" si="166"/>
        <v>1.0000082677614432</v>
      </c>
      <c r="V269" s="4">
        <f t="shared" si="167"/>
        <v>4.0663754082251339E-3</v>
      </c>
      <c r="W269" t="str">
        <f t="shared" si="158"/>
        <v>1-0,0352985921999436i</v>
      </c>
      <c r="X269" s="4">
        <f t="shared" si="168"/>
        <v>1.0006228013648788</v>
      </c>
      <c r="Y269" s="4">
        <f t="shared" si="169"/>
        <v>-3.5283942578868181E-2</v>
      </c>
      <c r="Z269" t="str">
        <f t="shared" si="159"/>
        <v>0,999958114858078+0,0302650129522316i</v>
      </c>
      <c r="AA269" s="4">
        <f t="shared" si="170"/>
        <v>1.0004160147056422</v>
      </c>
      <c r="AB269" s="4">
        <f t="shared" si="171"/>
        <v>3.025704394987257E-2</v>
      </c>
      <c r="AC269" s="48" t="str">
        <f t="shared" si="172"/>
        <v>-0,041415980230212-0,697326529425886i</v>
      </c>
      <c r="AD269" s="20">
        <f t="shared" si="173"/>
        <v>-3.1159835817658035</v>
      </c>
      <c r="AE269" s="44">
        <f t="shared" si="174"/>
        <v>-93.398947950727447</v>
      </c>
      <c r="AF269" t="str">
        <f t="shared" si="160"/>
        <v>-0,0000125211169631323</v>
      </c>
      <c r="AG269" t="str">
        <f t="shared" si="161"/>
        <v>0,0000982645033549406i</v>
      </c>
      <c r="AH269">
        <f t="shared" si="175"/>
        <v>9.8264503354940594E-5</v>
      </c>
      <c r="AI269">
        <f t="shared" si="176"/>
        <v>1.5707963267948966</v>
      </c>
      <c r="AJ269" t="str">
        <f t="shared" si="162"/>
        <v>1+0,157264338837115i</v>
      </c>
      <c r="AK269">
        <f t="shared" si="177"/>
        <v>1.012290507843413</v>
      </c>
      <c r="AL269">
        <f t="shared" si="178"/>
        <v>0.15598675332216647</v>
      </c>
      <c r="AM269" t="str">
        <f t="shared" si="163"/>
        <v>1+23,0320772605993i</v>
      </c>
      <c r="AN269">
        <f t="shared" si="179"/>
        <v>23.053775893293825</v>
      </c>
      <c r="AO269">
        <f t="shared" si="180"/>
        <v>1.5274058704034723</v>
      </c>
      <c r="AP269" s="42" t="str">
        <f t="shared" si="181"/>
        <v>-2,84441939206027+0,574748319374846i</v>
      </c>
      <c r="AQ269">
        <f t="shared" si="182"/>
        <v>9.2536662290611744</v>
      </c>
      <c r="AR269" s="44">
        <f t="shared" si="183"/>
        <v>168.57652735231653</v>
      </c>
      <c r="AS269" s="42" t="str">
        <f t="shared" si="184"/>
        <v>0,518591668151022+1,9596853378645i</v>
      </c>
      <c r="AT269" s="20">
        <f t="shared" si="185"/>
        <v>6.1376826472953683</v>
      </c>
      <c r="AU269" s="44">
        <f t="shared" si="186"/>
        <v>75.177579401589085</v>
      </c>
    </row>
    <row r="270" spans="14:47" x14ac:dyDescent="0.3">
      <c r="N270" s="8">
        <v>52</v>
      </c>
      <c r="O270" s="35">
        <f t="shared" si="187"/>
        <v>3311.3112148259115</v>
      </c>
      <c r="P270" s="34" t="str">
        <f t="shared" si="155"/>
        <v>324,571428571429</v>
      </c>
      <c r="Q270" s="4" t="str">
        <f t="shared" si="156"/>
        <v>1+475,556159371273i</v>
      </c>
      <c r="R270" s="4">
        <f t="shared" si="164"/>
        <v>475.55721077064493</v>
      </c>
      <c r="S270" s="4">
        <f t="shared" si="165"/>
        <v>1.5686935288258788</v>
      </c>
      <c r="T270" s="4" t="str">
        <f t="shared" si="157"/>
        <v>1+0,00416111639449864i</v>
      </c>
      <c r="U270" s="4">
        <f t="shared" si="166"/>
        <v>1.000008657407349</v>
      </c>
      <c r="V270" s="4">
        <f t="shared" si="167"/>
        <v>4.1610923783244134E-3</v>
      </c>
      <c r="W270" t="str">
        <f t="shared" si="158"/>
        <v>1-0,0361208020355785i</v>
      </c>
      <c r="X270" s="4">
        <f t="shared" si="168"/>
        <v>1.0006521435242586</v>
      </c>
      <c r="Y270" s="4">
        <f t="shared" si="169"/>
        <v>-3.6105105236253654E-2</v>
      </c>
      <c r="Z270" t="str">
        <f t="shared" si="159"/>
        <v>0,999956140872154+0,030969975665305i</v>
      </c>
      <c r="AA270" s="4">
        <f t="shared" si="170"/>
        <v>1.0004356166493877</v>
      </c>
      <c r="AB270" s="4">
        <f t="shared" si="171"/>
        <v>3.0961436925694936E-2</v>
      </c>
      <c r="AC270" s="48" t="str">
        <f>(IMDIV(IMPRODUCT(P270,T270,W270),IMPRODUCT(Q270,Z270)))</f>
        <v>-0,0414820445654195-0,681399766921032i</v>
      </c>
      <c r="AD270" s="20">
        <f t="shared" si="173"/>
        <v>-3.3158947798013068</v>
      </c>
      <c r="AE270" s="44">
        <f t="shared" si="174"/>
        <v>-93.483735332180416</v>
      </c>
      <c r="AF270" t="str">
        <f t="shared" si="160"/>
        <v>-0,0000125211169631323</v>
      </c>
      <c r="AG270" t="str">
        <f t="shared" si="161"/>
        <v>0,000100553377673059i</v>
      </c>
      <c r="AH270">
        <f t="shared" si="175"/>
        <v>1.00553377673059E-4</v>
      </c>
      <c r="AI270">
        <f t="shared" si="176"/>
        <v>1.5707963267948966</v>
      </c>
      <c r="AJ270" t="str">
        <f t="shared" si="162"/>
        <v>1+0,160927495867687i</v>
      </c>
      <c r="AK270">
        <f t="shared" si="177"/>
        <v>1.0128660616913989</v>
      </c>
      <c r="AL270">
        <f t="shared" si="178"/>
        <v>0.15955947574940635</v>
      </c>
      <c r="AM270" t="str">
        <f t="shared" si="163"/>
        <v>1+23,5685632584403i</v>
      </c>
      <c r="AN270">
        <f t="shared" si="179"/>
        <v>23.589768419107084</v>
      </c>
      <c r="AO270">
        <f t="shared" si="180"/>
        <v>1.5283923604721423</v>
      </c>
      <c r="AP270" s="42" t="str">
        <f t="shared" si="181"/>
        <v>-2,84118766883756+0,581747309011379i</v>
      </c>
      <c r="AQ270">
        <f t="shared" si="182"/>
        <v>9.2483613396408888</v>
      </c>
      <c r="AR270" s="44">
        <f t="shared" si="183"/>
        <v>168.42834715333032</v>
      </c>
      <c r="AS270" s="42" t="str">
        <f t="shared" si="184"/>
        <v>0,514260754264731+1,9118525475266i</v>
      </c>
      <c r="AT270" s="20">
        <f t="shared" si="185"/>
        <v>5.9324665598395772</v>
      </c>
      <c r="AU270" s="44">
        <f t="shared" si="186"/>
        <v>74.94461182114992</v>
      </c>
    </row>
    <row r="271" spans="14:47" x14ac:dyDescent="0.3">
      <c r="N271" s="8">
        <v>53</v>
      </c>
      <c r="O271" s="35">
        <f t="shared" si="187"/>
        <v>3388.4415613920314</v>
      </c>
      <c r="P271" s="34" t="str">
        <f t="shared" si="155"/>
        <v>324,571428571429</v>
      </c>
      <c r="Q271" s="4" t="str">
        <f t="shared" si="156"/>
        <v>1+486,633285320574i</v>
      </c>
      <c r="R271" s="4">
        <f t="shared" si="164"/>
        <v>486.63431278722544</v>
      </c>
      <c r="S271" s="4">
        <f t="shared" si="165"/>
        <v>1.5687413942151036</v>
      </c>
      <c r="T271" s="4" t="str">
        <f t="shared" si="157"/>
        <v>1+0,00425804124655502i</v>
      </c>
      <c r="U271" s="4">
        <f t="shared" si="166"/>
        <v>1.0000090654165379</v>
      </c>
      <c r="V271" s="4">
        <f t="shared" si="167"/>
        <v>4.2580155127732982E-3</v>
      </c>
      <c r="W271" t="str">
        <f t="shared" si="158"/>
        <v>1-0,0369621635985679i</v>
      </c>
      <c r="X271" s="4">
        <f t="shared" si="168"/>
        <v>1.0006828676148538</v>
      </c>
      <c r="Y271" s="4">
        <f t="shared" si="169"/>
        <v>-3.694534479489138E-2</v>
      </c>
      <c r="Z271" t="str">
        <f t="shared" si="159"/>
        <v>0,99995407385514+0,0316913590694121i</v>
      </c>
      <c r="AA271" s="4">
        <f t="shared" si="170"/>
        <v>1.0004561419968179</v>
      </c>
      <c r="AB271" s="4">
        <f t="shared" si="171"/>
        <v>3.1682209869761335E-2</v>
      </c>
      <c r="AC271" s="48" t="str">
        <f t="shared" si="172"/>
        <v>-0,0415449899156418-0,665834283177101i</v>
      </c>
      <c r="AD271" s="20">
        <f t="shared" si="173"/>
        <v>-3.515801885015037</v>
      </c>
      <c r="AE271" s="44">
        <f t="shared" si="174"/>
        <v>-93.570363958598733</v>
      </c>
      <c r="AF271" t="str">
        <f t="shared" si="160"/>
        <v>-0,0000125211169631323</v>
      </c>
      <c r="AG271" t="str">
        <f t="shared" si="161"/>
        <v>0,000102895566723002i</v>
      </c>
      <c r="AH271">
        <f t="shared" si="175"/>
        <v>1.0289556672300201E-4</v>
      </c>
      <c r="AI271">
        <f t="shared" si="176"/>
        <v>1.5707963267948966</v>
      </c>
      <c r="AJ271" t="str">
        <f t="shared" si="162"/>
        <v>1+0,164675978786694i</v>
      </c>
      <c r="AK271">
        <f t="shared" si="177"/>
        <v>1.0134683902270241</v>
      </c>
      <c r="AL271">
        <f t="shared" si="178"/>
        <v>0.16321116887807272</v>
      </c>
      <c r="AM271" t="str">
        <f t="shared" si="163"/>
        <v>1+24,1175456204876i</v>
      </c>
      <c r="AN271">
        <f t="shared" si="179"/>
        <v>24.138268511977007</v>
      </c>
      <c r="AO271">
        <f t="shared" si="180"/>
        <v>1.5293564750891417</v>
      </c>
      <c r="AP271" s="42" t="str">
        <f t="shared" si="181"/>
        <v>-2,83781150065553+0,589007009787479i</v>
      </c>
      <c r="AQ271">
        <f t="shared" si="182"/>
        <v>9.2428463047920495</v>
      </c>
      <c r="AR271" s="44">
        <f t="shared" si="183"/>
        <v>168.27436024750179</v>
      </c>
      <c r="AS271" s="42" t="str">
        <f t="shared" si="184"/>
        <v>0,51007791032536+1,86504189604884i</v>
      </c>
      <c r="AT271" s="20">
        <f t="shared" si="185"/>
        <v>5.7270444197769921</v>
      </c>
      <c r="AU271" s="44">
        <f t="shared" si="186"/>
        <v>74.703996288903028</v>
      </c>
    </row>
    <row r="272" spans="14:47" x14ac:dyDescent="0.3">
      <c r="N272" s="8">
        <v>54</v>
      </c>
      <c r="O272" s="35">
        <f t="shared" si="187"/>
        <v>3467.3685045253224</v>
      </c>
      <c r="P272" s="34" t="str">
        <f t="shared" si="155"/>
        <v>324,571428571429</v>
      </c>
      <c r="Q272" s="4" t="str">
        <f t="shared" si="156"/>
        <v>1+497,968430679104i</v>
      </c>
      <c r="R272" s="4">
        <f t="shared" si="164"/>
        <v>497.96943475780677</v>
      </c>
      <c r="S272" s="4">
        <f t="shared" si="165"/>
        <v>1.5687881700641482</v>
      </c>
      <c r="T272" s="4" t="str">
        <f t="shared" si="157"/>
        <v>1+0,00435722376844216i</v>
      </c>
      <c r="U272" s="4">
        <f t="shared" si="166"/>
        <v>1.000009492654429</v>
      </c>
      <c r="V272" s="4">
        <f t="shared" si="167"/>
        <v>4.3571961942123847E-3</v>
      </c>
      <c r="W272" t="str">
        <f t="shared" si="158"/>
        <v>1-0,0378231229899493i</v>
      </c>
      <c r="X272" s="4">
        <f t="shared" si="168"/>
        <v>1.0007150386762023</v>
      </c>
      <c r="Y272" s="4">
        <f t="shared" si="169"/>
        <v>-3.7805102012517702E-2</v>
      </c>
      <c r="Z272" t="str">
        <f t="shared" si="159"/>
        <v>0,999951909422615+0,0324295456515825i</v>
      </c>
      <c r="AA272" s="4">
        <f t="shared" si="170"/>
        <v>1.0004776342273232</v>
      </c>
      <c r="AB272" s="4">
        <f t="shared" si="171"/>
        <v>3.2419742359613542E-2</v>
      </c>
      <c r="AC272" s="48" t="str">
        <f t="shared" si="172"/>
        <v>-0,0416049498115829-0,650621826337017i</v>
      </c>
      <c r="AD272" s="20">
        <f t="shared" si="173"/>
        <v>-3.7157047016224594</v>
      </c>
      <c r="AE272" s="44">
        <f t="shared" si="174"/>
        <v>-93.658879341774622</v>
      </c>
      <c r="AF272" t="str">
        <f t="shared" si="160"/>
        <v>-0,0000125211169631323</v>
      </c>
      <c r="AG272" t="str">
        <f t="shared" si="161"/>
        <v>0,000105292312364405i</v>
      </c>
      <c r="AH272">
        <f t="shared" si="175"/>
        <v>1.0529231236440501E-4</v>
      </c>
      <c r="AI272">
        <f t="shared" si="176"/>
        <v>1.5707963267948966</v>
      </c>
      <c r="AJ272" t="str">
        <f t="shared" si="162"/>
        <v>1+0,168511775089398i</v>
      </c>
      <c r="AK272">
        <f t="shared" si="177"/>
        <v>1.0140987221882196</v>
      </c>
      <c r="AL272">
        <f t="shared" si="178"/>
        <v>0.16694337912778121</v>
      </c>
      <c r="AM272" t="str">
        <f t="shared" si="163"/>
        <v>1+24,6793154244564i</v>
      </c>
      <c r="AN272">
        <f t="shared" si="179"/>
        <v>24.699566996605661</v>
      </c>
      <c r="AO272">
        <f t="shared" si="180"/>
        <v>1.5302987182674292</v>
      </c>
      <c r="AP272" s="42" t="str">
        <f t="shared" si="181"/>
        <v>-2,83428480778035+0,596528038891174i</v>
      </c>
      <c r="AQ272">
        <f t="shared" si="182"/>
        <v>9.2371102647675425</v>
      </c>
      <c r="AR272" s="44">
        <f t="shared" si="183"/>
        <v>168.11450690932881</v>
      </c>
      <c r="AS272" s="42" t="str">
        <f t="shared" si="184"/>
        <v>0,506034439304048+1,81922903887804i</v>
      </c>
      <c r="AT272" s="20">
        <f t="shared" si="185"/>
        <v>5.5214055631450689</v>
      </c>
      <c r="AU272" s="44">
        <f t="shared" si="186"/>
        <v>74.45562756755416</v>
      </c>
    </row>
    <row r="273" spans="14:47" x14ac:dyDescent="0.3">
      <c r="N273" s="8">
        <v>55</v>
      </c>
      <c r="O273" s="35">
        <f t="shared" si="187"/>
        <v>3548.1338923357539</v>
      </c>
      <c r="P273" s="34" t="str">
        <f t="shared" si="155"/>
        <v>324,571428571429</v>
      </c>
      <c r="Q273" s="4" t="str">
        <f t="shared" si="156"/>
        <v>1+509,567605490969i</v>
      </c>
      <c r="R273" s="4">
        <f t="shared" si="164"/>
        <v>509.56858671409464</v>
      </c>
      <c r="S273" s="4">
        <f t="shared" si="165"/>
        <v>1.5688338811733678</v>
      </c>
      <c r="T273" s="4" t="str">
        <f t="shared" si="157"/>
        <v>1+0,00445871654804598i</v>
      </c>
      <c r="U273" s="4">
        <f t="shared" si="166"/>
        <v>1.0000099400272258</v>
      </c>
      <c r="V273" s="4">
        <f t="shared" si="167"/>
        <v>4.4586870017423105E-3</v>
      </c>
      <c r="W273" t="str">
        <f t="shared" si="158"/>
        <v>1-0,038704136701788i</v>
      </c>
      <c r="X273" s="4">
        <f t="shared" si="168"/>
        <v>1.0007487248044991</v>
      </c>
      <c r="Y273" s="4">
        <f t="shared" si="169"/>
        <v>-3.8684827656747724E-2</v>
      </c>
      <c r="Z273" t="str">
        <f t="shared" si="159"/>
        <v>0,999949642983528+0,033184926808113i</v>
      </c>
      <c r="AA273" s="4">
        <f t="shared" si="170"/>
        <v>1.0005001388656298</v>
      </c>
      <c r="AB273" s="4">
        <f t="shared" si="171"/>
        <v>3.3174422674338899E-2</v>
      </c>
      <c r="AC273" s="48" t="str">
        <f t="shared" si="172"/>
        <v>-0,0416620514535143-0,635754331688546i</v>
      </c>
      <c r="AD273" s="20">
        <f t="shared" si="173"/>
        <v>-3.9156030248633327</v>
      </c>
      <c r="AE273" s="44">
        <f t="shared" si="174"/>
        <v>-93.749327963938129</v>
      </c>
      <c r="AF273" t="str">
        <f t="shared" si="160"/>
        <v>-0,0000125211169631323</v>
      </c>
      <c r="AG273" t="str">
        <f t="shared" si="161"/>
        <v>0,000107744885383531i</v>
      </c>
      <c r="AH273">
        <f t="shared" si="175"/>
        <v>1.0774488538353099E-4</v>
      </c>
      <c r="AI273">
        <f t="shared" si="176"/>
        <v>1.5707963267948966</v>
      </c>
      <c r="AJ273" t="str">
        <f t="shared" si="162"/>
        <v>1+0,172436918565771i</v>
      </c>
      <c r="AK273">
        <f t="shared" si="177"/>
        <v>1.0147583411258358</v>
      </c>
      <c r="AL273">
        <f t="shared" si="178"/>
        <v>0.17075766925646629</v>
      </c>
      <c r="AM273" t="str">
        <f t="shared" si="163"/>
        <v>1+25,2541705281324i</v>
      </c>
      <c r="AN273">
        <f t="shared" si="179"/>
        <v>25.273961483392174</v>
      </c>
      <c r="AO273">
        <f t="shared" si="180"/>
        <v>1.5312195829006394</v>
      </c>
      <c r="AP273" s="42" t="str">
        <f t="shared" si="181"/>
        <v>-2,83060128978199+0,604310942165048i</v>
      </c>
      <c r="AQ273">
        <f t="shared" si="182"/>
        <v>9.2311419682416833</v>
      </c>
      <c r="AR273" s="44">
        <f t="shared" si="183"/>
        <v>167.94872584010258</v>
      </c>
      <c r="AS273" s="42" t="str">
        <f t="shared" si="184"/>
        <v>0,502121955747497+1,77439019769568i</v>
      </c>
      <c r="AT273" s="20">
        <f t="shared" si="185"/>
        <v>5.3155389433783355</v>
      </c>
      <c r="AU273" s="44">
        <f t="shared" si="186"/>
        <v>74.199397876164412</v>
      </c>
    </row>
    <row r="274" spans="14:47" x14ac:dyDescent="0.3">
      <c r="N274" s="8">
        <v>56</v>
      </c>
      <c r="O274" s="35">
        <f t="shared" si="187"/>
        <v>3630.7805477010188</v>
      </c>
      <c r="P274" s="34" t="str">
        <f t="shared" si="155"/>
        <v>324,571428571429</v>
      </c>
      <c r="Q274" s="4" t="str">
        <f t="shared" si="156"/>
        <v>1+521,436959792194i</v>
      </c>
      <c r="R274" s="4">
        <f t="shared" si="164"/>
        <v>521.43791867999596</v>
      </c>
      <c r="S274" s="4">
        <f t="shared" si="165"/>
        <v>1.5688785517786328</v>
      </c>
      <c r="T274" s="4" t="str">
        <f t="shared" si="157"/>
        <v>1+0,0045625733981817i</v>
      </c>
      <c r="U274" s="4">
        <f t="shared" si="166"/>
        <v>1.0000104084838386</v>
      </c>
      <c r="V274" s="4">
        <f t="shared" si="167"/>
        <v>4.5625417387647168E-3</v>
      </c>
      <c r="W274" t="str">
        <f t="shared" si="158"/>
        <v>1-0,0396056718592161i</v>
      </c>
      <c r="X274" s="4">
        <f t="shared" si="168"/>
        <v>1.0007839972958301</v>
      </c>
      <c r="Y274" s="4">
        <f t="shared" si="169"/>
        <v>-3.9584982719976465E-2</v>
      </c>
      <c r="Z274" t="str">
        <f t="shared" si="159"/>
        <v>0,999947269730458+0,0339579030520919i</v>
      </c>
      <c r="AA274" s="4">
        <f t="shared" si="170"/>
        <v>1.0005237035778276</v>
      </c>
      <c r="AB274" s="4">
        <f t="shared" si="171"/>
        <v>3.3946647987282766E-2</v>
      </c>
      <c r="AC274" s="48" t="str">
        <f t="shared" si="172"/>
        <v>-0,0417164159812295-0,621223917393659i</v>
      </c>
      <c r="AD274" s="20">
        <f t="shared" si="173"/>
        <v>-4.1154966405792548</v>
      </c>
      <c r="AE274" s="44">
        <f t="shared" si="174"/>
        <v>-93.841757300269478</v>
      </c>
      <c r="AF274" t="str">
        <f t="shared" si="160"/>
        <v>-0,0000125211169631323</v>
      </c>
      <c r="AG274" t="str">
        <f t="shared" si="161"/>
        <v>0,000110254586167061i</v>
      </c>
      <c r="AH274">
        <f t="shared" si="175"/>
        <v>1.1025458616706099E-4</v>
      </c>
      <c r="AI274">
        <f t="shared" si="176"/>
        <v>1.5707963267948966</v>
      </c>
      <c r="AJ274" t="str">
        <f t="shared" si="162"/>
        <v>1+0,176453490378841i</v>
      </c>
      <c r="AK274">
        <f t="shared" si="177"/>
        <v>1.015448587702438</v>
      </c>
      <c r="AL274">
        <f t="shared" si="178"/>
        <v>0.1746556174814832</v>
      </c>
      <c r="AM274" t="str">
        <f t="shared" si="163"/>
        <v>1+25,8424157273011i</v>
      </c>
      <c r="AN274">
        <f t="shared" si="179"/>
        <v>25.861756526242747</v>
      </c>
      <c r="AO274">
        <f t="shared" si="180"/>
        <v>1.5321195509927437</v>
      </c>
      <c r="AP274" s="42" t="str">
        <f t="shared" si="181"/>
        <v>-2,82675442086919+0,612356181809245i</v>
      </c>
      <c r="AQ274">
        <f t="shared" si="182"/>
        <v>9.2249297555339851</v>
      </c>
      <c r="AR274" s="44">
        <f t="shared" si="183"/>
        <v>167.77695423142262</v>
      </c>
      <c r="AS274" s="42" t="str">
        <f t="shared" si="184"/>
        <v>0,498332369401521+1,73050214963317i</v>
      </c>
      <c r="AT274" s="20">
        <f t="shared" si="185"/>
        <v>5.1094331149547276</v>
      </c>
      <c r="AU274" s="44">
        <f t="shared" si="186"/>
        <v>73.935196931153143</v>
      </c>
    </row>
    <row r="275" spans="14:47" x14ac:dyDescent="0.3">
      <c r="N275" s="8">
        <v>57</v>
      </c>
      <c r="O275" s="35">
        <f t="shared" si="187"/>
        <v>3715.352290971724</v>
      </c>
      <c r="P275" s="34" t="str">
        <f t="shared" ref="P275:P338" si="188">COMPLEX(Adc,0)</f>
        <v>324,571428571429</v>
      </c>
      <c r="Q275" s="4" t="str">
        <f t="shared" ref="Q275:Q338" si="189">IMSUM(COMPLEX(1,0),IMDIV(COMPLEX(0,2*PI()*O275),COMPLEX(wp_lf,0)))</f>
        <v>1+533,582786871534i</v>
      </c>
      <c r="R275" s="4">
        <f t="shared" si="164"/>
        <v>533.58372393242371</v>
      </c>
      <c r="S275" s="4">
        <f t="shared" si="165"/>
        <v>1.5689222055641761</v>
      </c>
      <c r="T275" s="4" t="str">
        <f t="shared" ref="T275:T338" si="190">IMSUM(COMPLEX(1,0),IMDIV(COMPLEX(0,2*PI()*O275),COMPLEX(wz_esr,0)))</f>
        <v>1+0,00466884938512592i</v>
      </c>
      <c r="U275" s="4">
        <f t="shared" si="166"/>
        <v>1.0000108990178962</v>
      </c>
      <c r="V275" s="4">
        <f t="shared" si="167"/>
        <v>4.6688154614693989E-3</v>
      </c>
      <c r="W275" t="str">
        <f t="shared" ref="W275:W338" si="191">IMSUB(COMPLEX(1,0),IMDIV(COMPLEX(0,2*PI()*O275),COMPLEX(wz_rhp,0)))</f>
        <v>1-0,0405282064681069i</v>
      </c>
      <c r="X275" s="4">
        <f t="shared" si="168"/>
        <v>1.0008209307960747</v>
      </c>
      <c r="Y275" s="4">
        <f t="shared" si="169"/>
        <v>-4.0506038637989503E-2</v>
      </c>
      <c r="Z275" t="str">
        <f t="shared" ref="Z275:Z338" si="192">IMSUM(COMPLEX(1,0),IMDIV(COMPLEX(0,2*PI()*O275),COMPLEX(Q*(wsl/2),0)),IMDIV(IMPOWER(COMPLEX(0,2*PI()*O275),2),IMPOWER(COMPLEX(wsl/2,0),2)))</f>
        <v>0,999944784629416+0,0347488842257549i</v>
      </c>
      <c r="AA275" s="4">
        <f t="shared" si="170"/>
        <v>1.0005483782718876</v>
      </c>
      <c r="AB275" s="4">
        <f t="shared" si="171"/>
        <v>3.4736824562538619E-2</v>
      </c>
      <c r="AC275" s="48" t="str">
        <f t="shared" si="172"/>
        <v>-0,0417681587311643-0,607022880314765i</v>
      </c>
      <c r="AD275" s="20">
        <f t="shared" si="173"/>
        <v>-4.3153853247717491</v>
      </c>
      <c r="AE275" s="44">
        <f t="shared" si="174"/>
        <v>-93.936215841786705</v>
      </c>
      <c r="AF275" t="str">
        <f t="shared" ref="AF275:AF338" si="193">COMPLEX(Adc_ea,0)</f>
        <v>-0,0000125211169631323</v>
      </c>
      <c r="AG275" t="str">
        <f t="shared" ref="AG275:AG338" si="194">COMPLEX(0,2*PI()*O275*wp0_ea)</f>
        <v>0,000112822745391568i</v>
      </c>
      <c r="AH275">
        <f t="shared" si="175"/>
        <v>1.1282274539156801E-4</v>
      </c>
      <c r="AI275">
        <f t="shared" si="176"/>
        <v>1.5707963267948966</v>
      </c>
      <c r="AJ275" t="str">
        <f t="shared" ref="AJ275:AJ338" si="195">IMSUM(COMPLEX(1,0),IMDIV(COMPLEX(0,2*PI()*O275),COMPLEX(wp1_ea,0)))</f>
        <v>1+0,180563620168147i</v>
      </c>
      <c r="AK275">
        <f t="shared" si="177"/>
        <v>1.0161708620740051</v>
      </c>
      <c r="AL275">
        <f t="shared" si="178"/>
        <v>0.17863881650698493</v>
      </c>
      <c r="AM275" t="str">
        <f t="shared" ref="AM275:AM338" si="196">IMSUM(COMPLEX(1,0),IMDIV(COMPLEX(0,2*PI()*O275),COMPLEX(wz_ea,0)))</f>
        <v>1+26,4443629173532i</v>
      </c>
      <c r="AN275">
        <f t="shared" si="179"/>
        <v>26.463263784058928</v>
      </c>
      <c r="AO275">
        <f t="shared" si="180"/>
        <v>1.5329990938840303</v>
      </c>
      <c r="AP275" s="42" t="str">
        <f t="shared" si="181"/>
        <v>-2,82273744547339+0,620664123408384i</v>
      </c>
      <c r="AQ275">
        <f t="shared" si="182"/>
        <v>9.2184615415860272</v>
      </c>
      <c r="AR275" s="44">
        <f t="shared" si="183"/>
        <v>167.59912783387222</v>
      </c>
      <c r="AS275" s="42" t="str">
        <f t="shared" si="184"/>
        <v>0,49465786957833+1,68754221689834i</v>
      </c>
      <c r="AT275" s="20">
        <f t="shared" si="185"/>
        <v>4.9030762168142843</v>
      </c>
      <c r="AU275" s="44">
        <f t="shared" si="186"/>
        <v>73.662911992085526</v>
      </c>
    </row>
    <row r="276" spans="14:47" x14ac:dyDescent="0.3">
      <c r="N276" s="8">
        <v>58</v>
      </c>
      <c r="O276" s="35">
        <f t="shared" si="187"/>
        <v>3801.8939632056172</v>
      </c>
      <c r="P276" s="34" t="str">
        <f t="shared" si="188"/>
        <v>324,571428571429</v>
      </c>
      <c r="Q276" s="4" t="str">
        <f t="shared" si="189"/>
        <v>1+546,011526607275i</v>
      </c>
      <c r="R276" s="4">
        <f t="shared" ref="R276:R339" si="197">IMABS(Q276)</f>
        <v>546.01244233809086</v>
      </c>
      <c r="S276" s="4">
        <f t="shared" ref="S276:S339" si="198">IMARGUMENT(Q276)</f>
        <v>1.5689648656751467</v>
      </c>
      <c r="T276" s="4" t="str">
        <f t="shared" si="190"/>
        <v>1+0,00477760085781366i</v>
      </c>
      <c r="U276" s="4">
        <f t="shared" ref="U276:U339" si="199">IMABS(T276)</f>
        <v>1.0000114126698538</v>
      </c>
      <c r="V276" s="4">
        <f t="shared" ref="V276:V339" si="200">IMARGUMENT(T276)</f>
        <v>4.7775645079831987E-3</v>
      </c>
      <c r="W276" t="str">
        <f t="shared" si="191"/>
        <v>1-0,0414722296685214i</v>
      </c>
      <c r="X276" s="4">
        <f t="shared" ref="X276:X339" si="201">IMABS(W276)</f>
        <v>1.000859603457787</v>
      </c>
      <c r="Y276" s="4">
        <f t="shared" ref="Y276:Y339" si="202">IMARGUMENT(W276)</f>
        <v>-4.1448477512283581E-2</v>
      </c>
      <c r="Z276" t="str">
        <f t="shared" si="192"/>
        <v>0,99994218240917+0,0355582897177902i</v>
      </c>
      <c r="AA276" s="4">
        <f t="shared" ref="AA276:AA339" si="203">IMABS(Z276)</f>
        <v>1.0005742152028845</v>
      </c>
      <c r="AB276" s="4">
        <f t="shared" ref="AB276:AB339" si="204">IMARGUMENT(Z276)</f>
        <v>3.5545367955258575E-2</v>
      </c>
      <c r="AC276" s="48" t="str">
        <f t="shared" ref="AC276:AC339" si="205">(IMDIV(IMPRODUCT(P276,T276,W276),IMPRODUCT(Q276,Z276)))</f>
        <v>-0,0418173894812259-0,593143691935523i</v>
      </c>
      <c r="AD276" s="20">
        <f t="shared" ref="AD276:AD339" si="206">20*LOG(IMABS(AC276))</f>
        <v>-4.5152688431414214</v>
      </c>
      <c r="AE276" s="44">
        <f t="shared" ref="AE276:AE339" si="207">(180/PI())*IMARGUMENT(AC276)</f>
        <v>-94.032753118609719</v>
      </c>
      <c r="AF276" t="str">
        <f t="shared" si="193"/>
        <v>-0,0000125211169631323</v>
      </c>
      <c r="AG276" t="str">
        <f t="shared" si="194"/>
        <v>0,000115450724729067i</v>
      </c>
      <c r="AH276">
        <f t="shared" ref="AH276:AH339" si="208">IMABS(AG276)</f>
        <v>1.15450724729067E-4</v>
      </c>
      <c r="AI276">
        <f t="shared" ref="AI276:AI339" si="209">IMARGUMENT(AG276)</f>
        <v>1.5707963267948966</v>
      </c>
      <c r="AJ276" t="str">
        <f t="shared" si="195"/>
        <v>1+0,184769487178909i</v>
      </c>
      <c r="AK276">
        <f t="shared" ref="AK276:AK339" si="210">IMABS(AJ276)</f>
        <v>1.016926626356276</v>
      </c>
      <c r="AL276">
        <f t="shared" ref="AL276:AL339" si="211">IMARGUMENT(AJ276)</f>
        <v>0.18270887245202119</v>
      </c>
      <c r="AM276" t="str">
        <f t="shared" si="196"/>
        <v>1+27,0603312586566i</v>
      </c>
      <c r="AN276">
        <f t="shared" ref="AN276:AN339" si="212">IMABS(AM276)</f>
        <v>27.078802185994629</v>
      </c>
      <c r="AO276">
        <f t="shared" ref="AO276:AO339" si="213">IMARGUMENT(AM276)</f>
        <v>1.5338586724733914</v>
      </c>
      <c r="AP276" s="42" t="str">
        <f t="shared" ref="AP276:AP339" si="214">IMPRODUCT(AF276,IMDIV(AM276,IMPRODUCT(AG276,AJ276)))</f>
        <v>-2,81854337412676+0,629235022258668i</v>
      </c>
      <c r="AQ276">
        <f t="shared" ref="AQ276:AQ339" si="215">20*LOG(IMABS(AP276))</f>
        <v>9.2117247987059638</v>
      </c>
      <c r="AR276" s="44">
        <f t="shared" ref="AR276:AR339" si="216">(180/PI())*IMARGUMENT(AP276)</f>
        <v>167.41518103116965</v>
      </c>
      <c r="AS276" s="42" t="str">
        <f t="shared" ref="AS276:AS339" si="217">IMPRODUCT(AC276,AP276)</f>
        <v>0,491090910243225+1,64548825680893i</v>
      </c>
      <c r="AT276" s="20">
        <f t="shared" ref="AT276:AT339" si="218">20*LOG(IMABS(AS276))</f>
        <v>4.6964559555645256</v>
      </c>
      <c r="AU276" s="44">
        <f t="shared" ref="AU276:AU339" si="219">(180/PI())*IMARGUMENT(AS276)</f>
        <v>73.382427912559905</v>
      </c>
    </row>
    <row r="277" spans="14:47" x14ac:dyDescent="0.3">
      <c r="N277" s="8">
        <v>59</v>
      </c>
      <c r="O277" s="35">
        <f t="shared" si="187"/>
        <v>3890.451449942811</v>
      </c>
      <c r="P277" s="34" t="str">
        <f t="shared" si="188"/>
        <v>324,571428571429</v>
      </c>
      <c r="Q277" s="4" t="str">
        <f t="shared" si="189"/>
        <v>1+558,729768881742i</v>
      </c>
      <c r="R277" s="4">
        <f t="shared" si="197"/>
        <v>558.73066376801341</v>
      </c>
      <c r="S277" s="4">
        <f t="shared" si="198"/>
        <v>1.5690065547298788</v>
      </c>
      <c r="T277" s="4" t="str">
        <f t="shared" si="190"/>
        <v>1+0,00488888547771524i</v>
      </c>
      <c r="U277" s="4">
        <f t="shared" si="199"/>
        <v>1.0000119505291996</v>
      </c>
      <c r="V277" s="4">
        <f t="shared" si="200"/>
        <v>4.888846528195297E-3</v>
      </c>
      <c r="W277" t="str">
        <f t="shared" si="191"/>
        <v>1-0,0424382419940559i</v>
      </c>
      <c r="X277" s="4">
        <f t="shared" si="201"/>
        <v>1.0009000971043744</v>
      </c>
      <c r="Y277" s="4">
        <f t="shared" si="202"/>
        <v>-4.2412792336080855E-2</v>
      </c>
      <c r="Z277" t="str">
        <f t="shared" si="192"/>
        <v>0,999939457550063+0,0363865486857035i</v>
      </c>
      <c r="AA277" s="4">
        <f t="shared" si="203"/>
        <v>1.0006012690831305</v>
      </c>
      <c r="AB277" s="4">
        <f t="shared" si="204"/>
        <v>3.6372703215815171E-2</v>
      </c>
      <c r="AC277" s="48" t="str">
        <f t="shared" si="205"/>
        <v>-0,0418642126838532-0,579578994374175i</v>
      </c>
      <c r="AD277" s="20">
        <f t="shared" si="206"/>
        <v>-4.7151469506062309</v>
      </c>
      <c r="AE277" s="44">
        <f t="shared" si="207"/>
        <v>-94.131419723601638</v>
      </c>
      <c r="AF277" t="str">
        <f t="shared" si="193"/>
        <v>-0,0000125211169631323</v>
      </c>
      <c r="AG277" t="str">
        <f t="shared" si="194"/>
        <v>0,000118139917568989i</v>
      </c>
      <c r="AH277">
        <f t="shared" si="208"/>
        <v>1.18139917568989E-4</v>
      </c>
      <c r="AI277">
        <f t="shared" si="209"/>
        <v>1.5707963267948966</v>
      </c>
      <c r="AJ277" t="str">
        <f t="shared" si="195"/>
        <v>1+0,189073321417486i</v>
      </c>
      <c r="AK277">
        <f t="shared" si="210"/>
        <v>1.0177174071773756</v>
      </c>
      <c r="AL277">
        <f t="shared" si="211"/>
        <v>0.18686740367358079</v>
      </c>
      <c r="AM277" t="str">
        <f t="shared" si="196"/>
        <v>1+27,6906473457791i</v>
      </c>
      <c r="AN277">
        <f t="shared" si="212"/>
        <v>27.708698100565883</v>
      </c>
      <c r="AO277">
        <f t="shared" si="213"/>
        <v>1.5346987374369014</v>
      </c>
      <c r="AP277" s="42" t="str">
        <f t="shared" si="214"/>
        <v>-2,81416497968449+0,638069008972574i</v>
      </c>
      <c r="AQ277">
        <f t="shared" si="215"/>
        <v>9.2047065391015952</v>
      </c>
      <c r="AR277" s="44">
        <f t="shared" si="216"/>
        <v>167.22504692012686</v>
      </c>
      <c r="AS277" s="42" t="str">
        <f t="shared" si="217"/>
        <v>0,487624195798614+1,60431865222995i</v>
      </c>
      <c r="AT277" s="20">
        <f t="shared" si="218"/>
        <v>4.489559588495343</v>
      </c>
      <c r="AU277" s="44">
        <f t="shared" si="219"/>
        <v>73.093627196525162</v>
      </c>
    </row>
    <row r="278" spans="14:47" x14ac:dyDescent="0.3">
      <c r="N278" s="8">
        <v>60</v>
      </c>
      <c r="O278" s="35">
        <f t="shared" si="187"/>
        <v>3981.0717055349769</v>
      </c>
      <c r="P278" s="34" t="str">
        <f t="shared" si="188"/>
        <v>324,571428571429</v>
      </c>
      <c r="Q278" s="4" t="str">
        <f t="shared" si="189"/>
        <v>1+571,74425707533i</v>
      </c>
      <c r="R278" s="4">
        <f t="shared" si="197"/>
        <v>571.74513159153446</v>
      </c>
      <c r="S278" s="4">
        <f t="shared" si="198"/>
        <v>1.5690472948318808</v>
      </c>
      <c r="T278" s="4" t="str">
        <f t="shared" si="190"/>
        <v>1+0,00500276224940914i</v>
      </c>
      <c r="U278" s="4">
        <f t="shared" si="199"/>
        <v>1.0000125137367653</v>
      </c>
      <c r="V278" s="4">
        <f t="shared" si="200"/>
        <v>5.0027205142747985E-3</v>
      </c>
      <c r="W278" t="str">
        <f t="shared" si="191"/>
        <v>1-0,0434267556372321i</v>
      </c>
      <c r="X278" s="4">
        <f t="shared" si="201"/>
        <v>1.0009424974019117</v>
      </c>
      <c r="Y278" s="4">
        <f t="shared" si="202"/>
        <v>-4.3399487224022579E-2</v>
      </c>
      <c r="Z278" t="str">
        <f t="shared" si="192"/>
        <v>0,999936604272302+0,0372341002833628i</v>
      </c>
      <c r="AA278" s="4">
        <f t="shared" si="203"/>
        <v>1.0006295971974513</v>
      </c>
      <c r="AB278" s="4">
        <f t="shared" si="204"/>
        <v>3.7219265097848897E-2</v>
      </c>
      <c r="AC278" s="48" t="str">
        <f t="shared" si="205"/>
        <v>-0,0419087276878068-0,566321596487289i</v>
      </c>
      <c r="AD278" s="20">
        <f t="shared" si="206"/>
        <v>-4.9150193907983111</v>
      </c>
      <c r="AE278" s="44">
        <f t="shared" si="207"/>
        <v>-94.232267336387977</v>
      </c>
      <c r="AF278" t="str">
        <f t="shared" si="193"/>
        <v>-0,0000125211169631323</v>
      </c>
      <c r="AG278" t="str">
        <f t="shared" si="194"/>
        <v>0,000120891749756972i</v>
      </c>
      <c r="AH278">
        <f t="shared" si="208"/>
        <v>1.2089174975697199E-4</v>
      </c>
      <c r="AI278">
        <f t="shared" si="209"/>
        <v>1.5707963267948966</v>
      </c>
      <c r="AJ278" t="str">
        <f t="shared" si="195"/>
        <v>1+0,19347740483376i</v>
      </c>
      <c r="AK278">
        <f t="shared" si="210"/>
        <v>1.0185447983182707</v>
      </c>
      <c r="AL278">
        <f t="shared" si="211"/>
        <v>0.19111603947867886</v>
      </c>
      <c r="AM278" t="str">
        <f t="shared" si="196"/>
        <v>1+28,3356453806534i</v>
      </c>
      <c r="AN278">
        <f t="shared" si="212"/>
        <v>28.35328550870506</v>
      </c>
      <c r="AO278">
        <f t="shared" si="213"/>
        <v>1.5355197294426834</v>
      </c>
      <c r="AP278" s="42" t="str">
        <f t="shared" si="214"/>
        <v>-2,80959479394473+0,647166074340108i</v>
      </c>
      <c r="AQ278">
        <f t="shared" si="215"/>
        <v>9.1973932972239361</v>
      </c>
      <c r="AR278" s="44">
        <f t="shared" si="216"/>
        <v>167.02865739675187</v>
      </c>
      <c r="AS278" s="42" t="str">
        <f t="shared" si="217"/>
        <v>0,484250667545211+1,56401230241085i</v>
      </c>
      <c r="AT278" s="20">
        <f t="shared" si="218"/>
        <v>4.2823739064256285</v>
      </c>
      <c r="AU278" s="44">
        <f t="shared" si="219"/>
        <v>72.796390060363905</v>
      </c>
    </row>
    <row r="279" spans="14:47" x14ac:dyDescent="0.3">
      <c r="N279" s="8">
        <v>61</v>
      </c>
      <c r="O279" s="35">
        <f t="shared" si="187"/>
        <v>4073.8027780411317</v>
      </c>
      <c r="P279" s="34" t="str">
        <f t="shared" si="188"/>
        <v>324,571428571429</v>
      </c>
      <c r="Q279" s="4" t="str">
        <f t="shared" si="189"/>
        <v>1+585,061891641952i</v>
      </c>
      <c r="R279" s="4">
        <f t="shared" si="197"/>
        <v>585.06274625176673</v>
      </c>
      <c r="S279" s="4">
        <f t="shared" si="198"/>
        <v>1.5690871075815529</v>
      </c>
      <c r="T279" s="4" t="str">
        <f t="shared" si="190"/>
        <v>1+0,00511929155186708i</v>
      </c>
      <c r="U279" s="4">
        <f t="shared" si="199"/>
        <v>1.0000131034871458</v>
      </c>
      <c r="V279" s="4">
        <f t="shared" si="200"/>
        <v>5.1192468318965734E-3</v>
      </c>
      <c r="W279" t="str">
        <f t="shared" si="191"/>
        <v>1-0,0444382947210684i</v>
      </c>
      <c r="X279" s="4">
        <f t="shared" si="201"/>
        <v>1.0009868940389364</v>
      </c>
      <c r="Y279" s="4">
        <f t="shared" si="202"/>
        <v>-4.4409077645514418E-2</v>
      </c>
      <c r="Z279" t="str">
        <f t="shared" si="192"/>
        <v>0,999933616523702+0,038101393893844i</v>
      </c>
      <c r="AA279" s="4">
        <f t="shared" si="203"/>
        <v>1.0006592595238522</v>
      </c>
      <c r="AB279" s="4">
        <f t="shared" si="204"/>
        <v>3.8085498270230229E-2</v>
      </c>
      <c r="AC279" s="48" t="str">
        <f t="shared" si="205"/>
        <v>-0,0419510289491581-0,55336447006184i</v>
      </c>
      <c r="AD279" s="20">
        <f t="shared" si="206"/>
        <v>-5.1148858955387588</v>
      </c>
      <c r="AE279" s="44">
        <f t="shared" si="207"/>
        <v>-94.335348747753073</v>
      </c>
      <c r="AF279" t="str">
        <f t="shared" si="193"/>
        <v>-0,0000125211169631323</v>
      </c>
      <c r="AG279" t="str">
        <f t="shared" si="194"/>
        <v>0,000123707680350868i</v>
      </c>
      <c r="AH279">
        <f t="shared" si="208"/>
        <v>1.2370768035086801E-4</v>
      </c>
      <c r="AI279">
        <f t="shared" si="209"/>
        <v>1.5707963267948966</v>
      </c>
      <c r="AJ279" t="str">
        <f t="shared" si="195"/>
        <v>1+0,197984072531053i</v>
      </c>
      <c r="AK279">
        <f t="shared" si="210"/>
        <v>1.019410463442465</v>
      </c>
      <c r="AL279">
        <f t="shared" si="211"/>
        <v>0.19545641871938921</v>
      </c>
      <c r="AM279" t="str">
        <f t="shared" si="196"/>
        <v>1+28,9956673497751i</v>
      </c>
      <c r="AN279">
        <f t="shared" si="212"/>
        <v>29.01290618085017</v>
      </c>
      <c r="AO279">
        <f t="shared" si="213"/>
        <v>1.5363220793620656</v>
      </c>
      <c r="AP279" s="42" t="str">
        <f t="shared" si="214"/>
        <v>-2,80482510472423+0,656526053427242i</v>
      </c>
      <c r="AQ279">
        <f t="shared" si="215"/>
        <v>9.1897711119479499</v>
      </c>
      <c r="AR279" s="44">
        <f t="shared" si="216"/>
        <v>166.82594324884622</v>
      </c>
      <c r="AS279" s="42" t="str">
        <f t="shared" si="217"/>
        <v>0,480963490802169+1,52454861421867i</v>
      </c>
      <c r="AT279" s="20">
        <f t="shared" si="218"/>
        <v>4.0748852164092124</v>
      </c>
      <c r="AU279" s="44">
        <f t="shared" si="219"/>
        <v>72.49059450109317</v>
      </c>
    </row>
    <row r="280" spans="14:47" x14ac:dyDescent="0.3">
      <c r="N280" s="8">
        <v>62</v>
      </c>
      <c r="O280" s="35">
        <f t="shared" si="187"/>
        <v>4168.6938347033583</v>
      </c>
      <c r="P280" s="34" t="str">
        <f t="shared" si="188"/>
        <v>324,571428571429</v>
      </c>
      <c r="Q280" s="4" t="str">
        <f t="shared" si="189"/>
        <v>1+598,689733767733i</v>
      </c>
      <c r="R280" s="4">
        <f t="shared" si="197"/>
        <v>598.6905689242808</v>
      </c>
      <c r="S280" s="4">
        <f t="shared" si="198"/>
        <v>1.5691260140876366</v>
      </c>
      <c r="T280" s="4" t="str">
        <f t="shared" si="190"/>
        <v>1+0,00523853517046766i</v>
      </c>
      <c r="U280" s="4">
        <f t="shared" si="199"/>
        <v>1.0000137210312328</v>
      </c>
      <c r="V280" s="4">
        <f t="shared" si="200"/>
        <v>5.2384872521914431E-3</v>
      </c>
      <c r="W280" t="str">
        <f t="shared" si="191"/>
        <v>1-0,0454733955769762i</v>
      </c>
      <c r="X280" s="4">
        <f t="shared" si="201"/>
        <v>1.0010333809145928</v>
      </c>
      <c r="Y280" s="4">
        <f t="shared" si="202"/>
        <v>-4.5442090661689041E-2</v>
      </c>
      <c r="Z280" t="str">
        <f t="shared" si="192"/>
        <v>0,99993048796685+0,0389888893676994i</v>
      </c>
      <c r="AA280" s="4">
        <f t="shared" si="203"/>
        <v>1.0006903188598106</v>
      </c>
      <c r="AB280" s="4">
        <f t="shared" si="204"/>
        <v>3.8971857532960695E-2</v>
      </c>
      <c r="AC280" s="48" t="str">
        <f t="shared" si="205"/>
        <v>-0,0419912062319271-0,540700746093687i</v>
      </c>
      <c r="AD280" s="20">
        <f t="shared" si="206"/>
        <v>-5.3147461842887287</v>
      </c>
      <c r="AE280" s="44">
        <f t="shared" si="207"/>
        <v>-94.440717884412678</v>
      </c>
      <c r="AF280" t="str">
        <f t="shared" si="193"/>
        <v>-0,0000125211169631323</v>
      </c>
      <c r="AG280" t="str">
        <f t="shared" si="194"/>
        <v>0,000126589202394351i</v>
      </c>
      <c r="AH280">
        <f t="shared" si="208"/>
        <v>1.2658920239435101E-4</v>
      </c>
      <c r="AI280">
        <f t="shared" si="209"/>
        <v>1.5707963267948966</v>
      </c>
      <c r="AJ280" t="str">
        <f t="shared" si="195"/>
        <v>1+0,202595714004232i</v>
      </c>
      <c r="AK280">
        <f t="shared" si="210"/>
        <v>1.0203161389162108</v>
      </c>
      <c r="AL280">
        <f t="shared" si="211"/>
        <v>0.19989018826461491</v>
      </c>
      <c r="AM280" t="str">
        <f t="shared" si="196"/>
        <v>1+29,6710632055288i</v>
      </c>
      <c r="AN280">
        <f t="shared" si="212"/>
        <v>29.687909858164236</v>
      </c>
      <c r="AO280">
        <f t="shared" si="213"/>
        <v>1.5371062084770339</v>
      </c>
      <c r="AP280" s="42" t="str">
        <f t="shared" si="214"/>
        <v>-2,79984795345256+0,666148608894708i</v>
      </c>
      <c r="AQ280">
        <f t="shared" si="215"/>
        <v>9.1818255086225555</v>
      </c>
      <c r="AR280" s="44">
        <f t="shared" si="216"/>
        <v>166.61683425545223</v>
      </c>
      <c r="AS280" s="42" t="str">
        <f t="shared" si="217"/>
        <v>0,477756042670106+1,48590749376347i</v>
      </c>
      <c r="AT280" s="20">
        <f t="shared" si="218"/>
        <v>3.8670793243338113</v>
      </c>
      <c r="AU280" s="44">
        <f t="shared" si="219"/>
        <v>72.176116371039498</v>
      </c>
    </row>
    <row r="281" spans="14:47" x14ac:dyDescent="0.3">
      <c r="N281" s="8">
        <v>63</v>
      </c>
      <c r="O281" s="35">
        <f t="shared" si="187"/>
        <v>4265.7951880159299</v>
      </c>
      <c r="P281" s="34" t="str">
        <f t="shared" si="188"/>
        <v>324,571428571429</v>
      </c>
      <c r="Q281" s="4" t="str">
        <f t="shared" si="189"/>
        <v>1+612,635009114951i</v>
      </c>
      <c r="R281" s="4">
        <f t="shared" si="197"/>
        <v>612.63582526104051</v>
      </c>
      <c r="S281" s="4">
        <f t="shared" si="198"/>
        <v>1.5691640349784055</v>
      </c>
      <c r="T281" s="4" t="str">
        <f t="shared" si="190"/>
        <v>1+0,00536055632975582i</v>
      </c>
      <c r="U281" s="4">
        <f t="shared" si="199"/>
        <v>1.0000143676788671</v>
      </c>
      <c r="V281" s="4">
        <f t="shared" si="200"/>
        <v>5.360504984437622E-3</v>
      </c>
      <c r="W281" t="str">
        <f t="shared" si="191"/>
        <v>1-0,0465326070291304i</v>
      </c>
      <c r="X281" s="4">
        <f t="shared" si="201"/>
        <v>1.0010820563355072</v>
      </c>
      <c r="Y281" s="4">
        <f t="shared" si="202"/>
        <v>-4.6499065165944958E-2</v>
      </c>
      <c r="Z281" t="str">
        <f t="shared" si="192"/>
        <v>0,999927211965656+0,0398970572667764i</v>
      </c>
      <c r="AA281" s="4">
        <f t="shared" si="203"/>
        <v>1.0007228409544566</v>
      </c>
      <c r="AB281" s="4">
        <f t="shared" si="204"/>
        <v>3.9878808037035432E-2</v>
      </c>
      <c r="AC281" s="48" t="str">
        <f t="shared" si="205"/>
        <v>-0,0420293447988003-0,52832371115044i</v>
      </c>
      <c r="AD281" s="20">
        <f t="shared" si="206"/>
        <v>-5.5145999635766145</v>
      </c>
      <c r="AE281" s="44">
        <f t="shared" si="207"/>
        <v>-94.548429834161141</v>
      </c>
      <c r="AF281" t="str">
        <f t="shared" si="193"/>
        <v>-0,0000125211169631323</v>
      </c>
      <c r="AG281" t="str">
        <f t="shared" si="194"/>
        <v>0,000129537843708549i</v>
      </c>
      <c r="AH281">
        <f t="shared" si="208"/>
        <v>1.2953784370854901E-4</v>
      </c>
      <c r="AI281">
        <f t="shared" si="209"/>
        <v>1.5707963267948966</v>
      </c>
      <c r="AJ281" t="str">
        <f t="shared" si="195"/>
        <v>1+0,207314774406646i</v>
      </c>
      <c r="AK281">
        <f t="shared" si="210"/>
        <v>1.0212636367203516</v>
      </c>
      <c r="AL281">
        <f t="shared" si="211"/>
        <v>0.20441900134224353</v>
      </c>
      <c r="AM281" t="str">
        <f t="shared" si="196"/>
        <v>1+30,362191051737i</v>
      </c>
      <c r="AN281">
        <f t="shared" si="212"/>
        <v>30.378654437979609</v>
      </c>
      <c r="AO281">
        <f t="shared" si="213"/>
        <v>1.5378725286839932</v>
      </c>
      <c r="AP281" s="42" t="str">
        <f t="shared" si="214"/>
        <v>-2,79465513335165+0,676033213522743i</v>
      </c>
      <c r="AQ281">
        <f t="shared" si="215"/>
        <v>9.1735414810239337</v>
      </c>
      <c r="AR281" s="44">
        <f t="shared" si="216"/>
        <v>166.40125929351478</v>
      </c>
      <c r="AS281" s="42" t="str">
        <f t="shared" si="217"/>
        <v>0,474621900422667+1,44806933841138i</v>
      </c>
      <c r="AT281" s="20">
        <f t="shared" si="218"/>
        <v>3.6589415174473032</v>
      </c>
      <c r="AU281" s="44">
        <f t="shared" si="219"/>
        <v>71.8528294593536</v>
      </c>
    </row>
    <row r="282" spans="14:47" x14ac:dyDescent="0.3">
      <c r="N282" s="8">
        <v>64</v>
      </c>
      <c r="O282" s="35">
        <f t="shared" si="187"/>
        <v>4365.1583224016631</v>
      </c>
      <c r="P282" s="34" t="str">
        <f t="shared" si="188"/>
        <v>324,571428571429</v>
      </c>
      <c r="Q282" s="4" t="str">
        <f t="shared" si="189"/>
        <v>1+626,905111653184i</v>
      </c>
      <c r="R282" s="4">
        <f t="shared" si="197"/>
        <v>626.90590922154422</v>
      </c>
      <c r="S282" s="4">
        <f t="shared" si="198"/>
        <v>1.5692011904125989</v>
      </c>
      <c r="T282" s="4" t="str">
        <f t="shared" si="190"/>
        <v>1+0,00548541972696536i</v>
      </c>
      <c r="U282" s="4">
        <f t="shared" si="199"/>
        <v>1.0000150448016174</v>
      </c>
      <c r="V282" s="4">
        <f t="shared" si="200"/>
        <v>5.4853647095103814E-3</v>
      </c>
      <c r="W282" t="str">
        <f t="shared" si="191"/>
        <v>1-0,0476164906854632i</v>
      </c>
      <c r="X282" s="4">
        <f t="shared" si="201"/>
        <v>1.0011330232217888</v>
      </c>
      <c r="Y282" s="4">
        <f t="shared" si="202"/>
        <v>-4.7580552128006673E-2</v>
      </c>
      <c r="Z282" t="str">
        <f t="shared" si="192"/>
        <v>0,999923781571281+0,0408263791137161i</v>
      </c>
      <c r="AA282" s="4">
        <f t="shared" si="203"/>
        <v>1.0007568946469205</v>
      </c>
      <c r="AB282" s="4">
        <f t="shared" si="204"/>
        <v>4.0806825508283934E-2</v>
      </c>
      <c r="AC282" s="48" t="str">
        <f t="shared" si="205"/>
        <v>-0,0420655255923319-0,516226803816856i</v>
      </c>
      <c r="AD282" s="20">
        <f t="shared" si="206"/>
        <v>-5.7144469263996278</v>
      </c>
      <c r="AE282" s="44">
        <f t="shared" si="207"/>
        <v>-94.658540871390059</v>
      </c>
      <c r="AF282" t="str">
        <f t="shared" si="193"/>
        <v>-0,0000125211169631323</v>
      </c>
      <c r="AG282" t="str">
        <f t="shared" si="194"/>
        <v>0,000132555167702118i</v>
      </c>
      <c r="AH282">
        <f t="shared" si="208"/>
        <v>1.32555167702118E-4</v>
      </c>
      <c r="AI282">
        <f t="shared" si="209"/>
        <v>1.5707963267948966</v>
      </c>
      <c r="AJ282" t="str">
        <f t="shared" si="195"/>
        <v>1+0,212143755846586i</v>
      </c>
      <c r="AK282">
        <f t="shared" si="210"/>
        <v>1.0222548474547313</v>
      </c>
      <c r="AL282">
        <f t="shared" si="211"/>
        <v>0.20904451574526736</v>
      </c>
      <c r="AM282" t="str">
        <f t="shared" si="196"/>
        <v>1+31,0694173335318i</v>
      </c>
      <c r="AN282">
        <f t="shared" si="212"/>
        <v>31.085506163567068</v>
      </c>
      <c r="AO282">
        <f t="shared" si="213"/>
        <v>1.5386214426938507</v>
      </c>
      <c r="AP282" s="42" t="str">
        <f t="shared" si="214"/>
        <v>-2,78923818827315+0,686179131930816i</v>
      </c>
      <c r="AQ282">
        <f t="shared" si="215"/>
        <v>9.1649034732542596</v>
      </c>
      <c r="AR282" s="44">
        <f t="shared" si="216"/>
        <v>166.17914645212758</v>
      </c>
      <c r="AS282" s="42" t="str">
        <f t="shared" si="217"/>
        <v>0,471554830514384+1,41101502918101i</v>
      </c>
      <c r="AT282" s="20">
        <f t="shared" si="218"/>
        <v>3.4504565468546526</v>
      </c>
      <c r="AU282" s="44">
        <f t="shared" si="219"/>
        <v>71.520605580737566</v>
      </c>
    </row>
    <row r="283" spans="14:47" x14ac:dyDescent="0.3">
      <c r="N283" s="8">
        <v>65</v>
      </c>
      <c r="O283" s="35">
        <f t="shared" si="187"/>
        <v>4466.8359215096343</v>
      </c>
      <c r="P283" s="34" t="str">
        <f t="shared" si="188"/>
        <v>324,571428571429</v>
      </c>
      <c r="Q283" s="4" t="str">
        <f t="shared" si="189"/>
        <v>1+641,507607579687i</v>
      </c>
      <c r="R283" s="4">
        <f t="shared" si="197"/>
        <v>641.50838699319718</v>
      </c>
      <c r="S283" s="4">
        <f t="shared" si="198"/>
        <v>1.5692375000901091</v>
      </c>
      <c r="T283" s="4" t="str">
        <f t="shared" si="190"/>
        <v>1+0,00561319156632226i</v>
      </c>
      <c r="U283" s="4">
        <f t="shared" si="199"/>
        <v>1.0000157538356884</v>
      </c>
      <c r="V283" s="4">
        <f t="shared" si="200"/>
        <v>5.613132614107284E-3</v>
      </c>
      <c r="W283" t="str">
        <f t="shared" si="191"/>
        <v>1-0,0487256212354363i</v>
      </c>
      <c r="X283" s="4">
        <f t="shared" si="201"/>
        <v>1.0011863893225772</v>
      </c>
      <c r="Y283" s="4">
        <f t="shared" si="202"/>
        <v>-4.8687114841443724E-2</v>
      </c>
      <c r="Z283" t="str">
        <f t="shared" si="192"/>
        <v>0,999920189507401+0,041777347647263i</v>
      </c>
      <c r="AA283" s="4">
        <f t="shared" si="203"/>
        <v>1.0007925520111332</v>
      </c>
      <c r="AB283" s="4">
        <f t="shared" si="204"/>
        <v>4.1756396475200352E-2</v>
      </c>
      <c r="AC283" s="48" t="str">
        <f t="shared" si="205"/>
        <v>-0,0420998254070171-0,504403611220864i</v>
      </c>
      <c r="AD283" s="20">
        <f t="shared" si="206"/>
        <v>-5.9142867515993345</v>
      </c>
      <c r="AE283" s="44">
        <f t="shared" si="207"/>
        <v>-94.771108482975208</v>
      </c>
      <c r="AF283" t="str">
        <f t="shared" si="193"/>
        <v>-0,0000125211169631323</v>
      </c>
      <c r="AG283" t="str">
        <f t="shared" si="194"/>
        <v>0,000135642774200178i</v>
      </c>
      <c r="AH283">
        <f t="shared" si="208"/>
        <v>1.3564277420017801E-4</v>
      </c>
      <c r="AI283">
        <f t="shared" si="209"/>
        <v>1.5707963267948966</v>
      </c>
      <c r="AJ283" t="str">
        <f t="shared" si="195"/>
        <v>1+0,217085218713931i</v>
      </c>
      <c r="AK283">
        <f t="shared" si="210"/>
        <v>1.0232917434358959</v>
      </c>
      <c r="AL283">
        <f t="shared" si="211"/>
        <v>0.21376839189533484</v>
      </c>
      <c r="AM283" t="str">
        <f t="shared" si="196"/>
        <v>1+31,7931170316493i</v>
      </c>
      <c r="AN283">
        <f t="shared" si="212"/>
        <v>31.80883981832957</v>
      </c>
      <c r="AO283">
        <f t="shared" si="213"/>
        <v>1.5393533442284462</v>
      </c>
      <c r="AP283" s="42" t="str">
        <f t="shared" si="214"/>
        <v>-2,78358841227021+0,696585401484933i</v>
      </c>
      <c r="AQ283">
        <f t="shared" si="215"/>
        <v>9.1558953616305754</v>
      </c>
      <c r="AR283" s="44">
        <f t="shared" si="216"/>
        <v>165.95042315473771</v>
      </c>
      <c r="AS283" s="42" t="str">
        <f t="shared" si="217"/>
        <v>0,468548778194307+1,37472592351805i</v>
      </c>
      <c r="AT283" s="20">
        <f t="shared" si="218"/>
        <v>3.2416086100312258</v>
      </c>
      <c r="AU283" s="44">
        <f t="shared" si="219"/>
        <v>71.179314671762484</v>
      </c>
    </row>
    <row r="284" spans="14:47" x14ac:dyDescent="0.3">
      <c r="N284" s="8">
        <v>66</v>
      </c>
      <c r="O284" s="35">
        <f t="shared" ref="O284:O318" si="220">10^(3+(N284/100))</f>
        <v>4570.8818961487532</v>
      </c>
      <c r="P284" s="34" t="str">
        <f t="shared" si="188"/>
        <v>324,571428571429</v>
      </c>
      <c r="Q284" s="4" t="str">
        <f t="shared" si="189"/>
        <v>1+656,450239331086i</v>
      </c>
      <c r="R284" s="4">
        <f t="shared" si="197"/>
        <v>656.45100100299942</v>
      </c>
      <c r="S284" s="4">
        <f t="shared" si="198"/>
        <v>1.5692729832624246</v>
      </c>
      <c r="T284" s="4" t="str">
        <f t="shared" si="190"/>
        <v>1+0,005743939594147i</v>
      </c>
      <c r="U284" s="4">
        <f t="shared" si="199"/>
        <v>1.0000164962849669</v>
      </c>
      <c r="V284" s="4">
        <f t="shared" si="200"/>
        <v>5.7438764257668447E-3</v>
      </c>
      <c r="W284" t="str">
        <f t="shared" si="191"/>
        <v>1-0,0498605867547483i</v>
      </c>
      <c r="X284" s="4">
        <f t="shared" si="201"/>
        <v>1.0012422674415657</v>
      </c>
      <c r="Y284" s="4">
        <f t="shared" si="202"/>
        <v>-4.9819329174572276E-2</v>
      </c>
      <c r="Z284" t="str">
        <f t="shared" si="192"/>
        <v>0,999916428154766+0,0427504670835211i</v>
      </c>
      <c r="AA284" s="4">
        <f t="shared" si="203"/>
        <v>1.0008298885073548</v>
      </c>
      <c r="AB284" s="4">
        <f t="shared" si="204"/>
        <v>4.2728018500770494E-2</v>
      </c>
      <c r="AC284" s="48" t="str">
        <f t="shared" si="205"/>
        <v>-0,0421323170526067-0,492847865638449i</v>
      </c>
      <c r="AD284" s="20">
        <f t="shared" si="206"/>
        <v>-6.1141191032092141</v>
      </c>
      <c r="AE284" s="44">
        <f t="shared" si="207"/>
        <v>-94.886191394526676</v>
      </c>
      <c r="AF284" t="str">
        <f t="shared" si="193"/>
        <v>-0,0000125211169631323</v>
      </c>
      <c r="AG284" t="str">
        <f t="shared" si="194"/>
        <v>0,000138802300292562i</v>
      </c>
      <c r="AH284">
        <f t="shared" si="208"/>
        <v>1.3880230029256199E-4</v>
      </c>
      <c r="AI284">
        <f t="shared" si="209"/>
        <v>1.5707963267948966</v>
      </c>
      <c r="AJ284" t="str">
        <f t="shared" si="195"/>
        <v>1+0,2221417830377i</v>
      </c>
      <c r="AK284">
        <f t="shared" si="210"/>
        <v>1.0243763818885949</v>
      </c>
      <c r="AL284">
        <f t="shared" si="211"/>
        <v>0.21859229075720207</v>
      </c>
      <c r="AM284" t="str">
        <f t="shared" si="196"/>
        <v>1+32,5336738612486i</v>
      </c>
      <c r="AN284">
        <f t="shared" si="212"/>
        <v>32.549038924522648</v>
      </c>
      <c r="AO284">
        <f t="shared" si="213"/>
        <v>1.5400686182133485</v>
      </c>
      <c r="AP284" s="42" t="str">
        <f t="shared" si="214"/>
        <v>-2,77769684998546+0,707250812389458i</v>
      </c>
      <c r="AQ284">
        <f t="shared" si="215"/>
        <v>9.14650043661495</v>
      </c>
      <c r="AR284" s="44">
        <f t="shared" si="216"/>
        <v>165.71501628968517</v>
      </c>
      <c r="AS284" s="42" t="str">
        <f t="shared" si="217"/>
        <v>0,465597857716818+1,33918384844267i</v>
      </c>
      <c r="AT284" s="20">
        <f t="shared" si="218"/>
        <v>3.0323813334057292</v>
      </c>
      <c r="AU284" s="44">
        <f t="shared" si="219"/>
        <v>70.828824895158462</v>
      </c>
    </row>
    <row r="285" spans="14:47" x14ac:dyDescent="0.3">
      <c r="N285" s="8">
        <v>67</v>
      </c>
      <c r="O285" s="35">
        <f t="shared" si="220"/>
        <v>4677.3514128719844</v>
      </c>
      <c r="P285" s="34" t="str">
        <f t="shared" si="188"/>
        <v>324,571428571429</v>
      </c>
      <c r="Q285" s="4" t="str">
        <f t="shared" si="189"/>
        <v>1+671,740929688523i</v>
      </c>
      <c r="R285" s="4">
        <f t="shared" si="197"/>
        <v>671.74167402268654</v>
      </c>
      <c r="S285" s="4">
        <f t="shared" si="198"/>
        <v>1.5693076587428356</v>
      </c>
      <c r="T285" s="4" t="str">
        <f t="shared" si="190"/>
        <v>1+0,00587773313477458i</v>
      </c>
      <c r="U285" s="4">
        <f t="shared" si="199"/>
        <v>1.000017273724211</v>
      </c>
      <c r="V285" s="4">
        <f t="shared" si="200"/>
        <v>5.8776654486989086E-3</v>
      </c>
      <c r="W285" t="str">
        <f t="shared" si="191"/>
        <v>1-0,0510219890171405i</v>
      </c>
      <c r="X285" s="4">
        <f t="shared" si="201"/>
        <v>1.0013007756729568</v>
      </c>
      <c r="Y285" s="4">
        <f t="shared" si="202"/>
        <v>-5.0977783824653525E-2</v>
      </c>
      <c r="Z285" t="str">
        <f t="shared" si="192"/>
        <v>0,999912489535042+0,0437462533832962i</v>
      </c>
      <c r="AA285" s="4">
        <f t="shared" si="203"/>
        <v>1.0008689831407711</v>
      </c>
      <c r="AB285" s="4">
        <f t="shared" si="204"/>
        <v>4.3722200418296664E-2</v>
      </c>
      <c r="AC285" s="48" t="str">
        <f t="shared" si="205"/>
        <v>-0,0421630695090121-0,481553441175568i</v>
      </c>
      <c r="AD285" s="20">
        <f t="shared" si="206"/>
        <v>-6.3139436297739584</v>
      </c>
      <c r="AE285" s="44">
        <f t="shared" si="207"/>
        <v>-95.003849596997071</v>
      </c>
      <c r="AF285" t="str">
        <f t="shared" si="193"/>
        <v>-0,0000125211169631323</v>
      </c>
      <c r="AG285" t="str">
        <f t="shared" si="194"/>
        <v>0,000142035421201828i</v>
      </c>
      <c r="AH285">
        <f t="shared" si="208"/>
        <v>1.4203542120182799E-4</v>
      </c>
      <c r="AI285">
        <f t="shared" si="209"/>
        <v>1.5707963267948966</v>
      </c>
      <c r="AJ285" t="str">
        <f t="shared" si="195"/>
        <v>1+0,22731612987523i</v>
      </c>
      <c r="AK285">
        <f t="shared" si="210"/>
        <v>1.0255109082313325</v>
      </c>
      <c r="AL285">
        <f t="shared" si="211"/>
        <v>0.22351787159753364</v>
      </c>
      <c r="AM285" t="str">
        <f t="shared" si="196"/>
        <v>1+33,2914804753632i</v>
      </c>
      <c r="AN285">
        <f t="shared" si="212"/>
        <v>33.306495946609111</v>
      </c>
      <c r="AO285">
        <f t="shared" si="213"/>
        <v>1.5407676409670474</v>
      </c>
      <c r="AP285" s="42" t="str">
        <f t="shared" si="214"/>
        <v>-2,77155429794207+0,718173886965378i</v>
      </c>
      <c r="AQ285">
        <f t="shared" si="215"/>
        <v>9.1367013848432368</v>
      </c>
      <c r="AR285" s="44">
        <f t="shared" si="216"/>
        <v>165.47285234945417</v>
      </c>
      <c r="AS285" s="42" t="str">
        <f t="shared" si="217"/>
        <v>0,462696343142744+1,30437109406326i</v>
      </c>
      <c r="AT285" s="20">
        <f t="shared" si="218"/>
        <v>2.8227577550692775</v>
      </c>
      <c r="AU285" s="44">
        <f t="shared" si="219"/>
        <v>70.469002752457087</v>
      </c>
    </row>
    <row r="286" spans="14:47" x14ac:dyDescent="0.3">
      <c r="N286" s="8">
        <v>68</v>
      </c>
      <c r="O286" s="35">
        <f t="shared" si="220"/>
        <v>4786.3009232263848</v>
      </c>
      <c r="P286" s="34" t="str">
        <f t="shared" si="188"/>
        <v>324,571428571429</v>
      </c>
      <c r="Q286" s="4" t="str">
        <f t="shared" si="189"/>
        <v>1+687,387785978425i</v>
      </c>
      <c r="R286" s="4">
        <f t="shared" si="197"/>
        <v>687.38851336949244</v>
      </c>
      <c r="S286" s="4">
        <f t="shared" si="198"/>
        <v>1.569341544916407</v>
      </c>
      <c r="T286" s="4" t="str">
        <f t="shared" si="190"/>
        <v>1+0,00601464312731122i</v>
      </c>
      <c r="U286" s="4">
        <f t="shared" si="199"/>
        <v>1.0000180878023901</v>
      </c>
      <c r="V286" s="4">
        <f t="shared" si="200"/>
        <v>6.0145706004452928E-3</v>
      </c>
      <c r="W286" t="str">
        <f t="shared" si="191"/>
        <v>1-0,0522104438134654i</v>
      </c>
      <c r="X286" s="4">
        <f t="shared" si="201"/>
        <v>1.0013620376483219</v>
      </c>
      <c r="Y286" s="4">
        <f t="shared" si="202"/>
        <v>-5.2163080575286826E-2</v>
      </c>
      <c r="Z286" t="str">
        <f t="shared" si="192"/>
        <v>0,999908365293889+0,0447652345256652i</v>
      </c>
      <c r="AA286" s="4">
        <f t="shared" si="203"/>
        <v>1.0009099186274635</v>
      </c>
      <c r="AB286" s="4">
        <f t="shared" si="204"/>
        <v>4.4739462571214639E-2</v>
      </c>
      <c r="AC286" s="48" t="str">
        <f t="shared" si="205"/>
        <v>-0,0421921480731316-0,470514350525387i</v>
      </c>
      <c r="AD286" s="20">
        <f t="shared" si="206"/>
        <v>-6.5137599636388996</v>
      </c>
      <c r="AE286" s="44">
        <f t="shared" si="207"/>
        <v>-95.124144373640348</v>
      </c>
      <c r="AF286" t="str">
        <f t="shared" si="193"/>
        <v>-0,0000125211169631323</v>
      </c>
      <c r="AG286" t="str">
        <f t="shared" si="194"/>
        <v>0,000145343851171476i</v>
      </c>
      <c r="AH286">
        <f t="shared" si="208"/>
        <v>1.45343851171476E-4</v>
      </c>
      <c r="AI286">
        <f t="shared" si="209"/>
        <v>1.5707963267948966</v>
      </c>
      <c r="AJ286" t="str">
        <f t="shared" si="195"/>
        <v>1+0,232611002733705i</v>
      </c>
      <c r="AK286">
        <f t="shared" si="210"/>
        <v>1.0266975594559382</v>
      </c>
      <c r="AL286">
        <f t="shared" si="211"/>
        <v>0.22854678958153063</v>
      </c>
      <c r="AM286" t="str">
        <f t="shared" si="196"/>
        <v>1+34,0669386730907i</v>
      </c>
      <c r="AN286">
        <f t="shared" si="212"/>
        <v>34.081612499353994</v>
      </c>
      <c r="AO286">
        <f t="shared" si="213"/>
        <v>1.5414507803865733</v>
      </c>
      <c r="AP286" s="42" t="str">
        <f t="shared" si="214"/>
        <v>-2,76515130682991+0,729352858122545i</v>
      </c>
      <c r="AQ286">
        <f t="shared" si="215"/>
        <v>9.1264802713165665</v>
      </c>
      <c r="AR286" s="44">
        <f t="shared" si="216"/>
        <v>165.22385757901159</v>
      </c>
      <c r="AS286" s="42" t="str">
        <f t="shared" si="217"/>
        <v>0,459838659725745+1,27027040745003i</v>
      </c>
      <c r="AT286" s="20">
        <f t="shared" si="218"/>
        <v>2.6127203076776544</v>
      </c>
      <c r="AU286" s="44">
        <f t="shared" si="219"/>
        <v>70.099713205371202</v>
      </c>
    </row>
    <row r="287" spans="14:47" x14ac:dyDescent="0.3">
      <c r="N287" s="8">
        <v>69</v>
      </c>
      <c r="O287" s="35">
        <f t="shared" si="220"/>
        <v>4897.7881936844633</v>
      </c>
      <c r="P287" s="34" t="str">
        <f t="shared" si="188"/>
        <v>324,571428571429</v>
      </c>
      <c r="Q287" s="4" t="str">
        <f t="shared" si="189"/>
        <v>1+703,399104371106i</v>
      </c>
      <c r="R287" s="4">
        <f t="shared" si="197"/>
        <v>703.39981520474839</v>
      </c>
      <c r="S287" s="4">
        <f t="shared" si="198"/>
        <v>1.5693746597497251</v>
      </c>
      <c r="T287" s="4" t="str">
        <f t="shared" si="190"/>
        <v>1+0,00615474216324718i</v>
      </c>
      <c r="U287" s="4">
        <f t="shared" si="199"/>
        <v>1.0000189402461817</v>
      </c>
      <c r="V287" s="4">
        <f t="shared" si="200"/>
        <v>6.1546644493896858E-3</v>
      </c>
      <c r="W287" t="str">
        <f t="shared" si="191"/>
        <v>1-0,0534265812781873i</v>
      </c>
      <c r="X287" s="4">
        <f t="shared" si="201"/>
        <v>1.0014261827948552</v>
      </c>
      <c r="Y287" s="4">
        <f t="shared" si="202"/>
        <v>-5.3375834556882558E-2</v>
      </c>
      <c r="Z287" t="str">
        <f t="shared" si="192"/>
        <v>0,999904046683239+0,0458079507879178i</v>
      </c>
      <c r="AA287" s="4">
        <f t="shared" si="203"/>
        <v>1.0009527815680943</v>
      </c>
      <c r="AB287" s="4">
        <f t="shared" si="204"/>
        <v>4.5780337056890469E-2</v>
      </c>
      <c r="AC287" s="48" t="str">
        <f t="shared" si="205"/>
        <v>-0,0422196144979168-0,459724741799149i</v>
      </c>
      <c r="AD287" s="20">
        <f t="shared" si="206"/>
        <v>-6.7135677202083368</v>
      </c>
      <c r="AE287" s="44">
        <f t="shared" si="207"/>
        <v>-95.247138327313692</v>
      </c>
      <c r="AF287" t="str">
        <f t="shared" si="193"/>
        <v>-0,0000125211169631323</v>
      </c>
      <c r="AG287" t="str">
        <f t="shared" si="194"/>
        <v>0,000148729344374868i</v>
      </c>
      <c r="AH287">
        <f t="shared" si="208"/>
        <v>1.4872934437486801E-4</v>
      </c>
      <c r="AI287">
        <f t="shared" si="209"/>
        <v>1.5707963267948966</v>
      </c>
      <c r="AJ287" t="str">
        <f t="shared" si="195"/>
        <v>1+0,2380292090248i</v>
      </c>
      <c r="AK287">
        <f t="shared" si="210"/>
        <v>1.0279386676008311</v>
      </c>
      <c r="AL287">
        <f t="shared" si="211"/>
        <v>0.23368069320097098</v>
      </c>
      <c r="AM287" t="str">
        <f t="shared" si="196"/>
        <v>1+34,860459612632i</v>
      </c>
      <c r="AN287">
        <f t="shared" si="212"/>
        <v>34.87479956077091</v>
      </c>
      <c r="AO287">
        <f t="shared" si="213"/>
        <v>1.5421183961295726</v>
      </c>
      <c r="AP287" s="42" t="str">
        <f t="shared" si="214"/>
        <v>-2,75847818488273+0,740785647039645i</v>
      </c>
      <c r="AQ287">
        <f t="shared" si="215"/>
        <v>9.1158185218232983</v>
      </c>
      <c r="AR287" s="44">
        <f t="shared" si="216"/>
        <v>164.96795813360106</v>
      </c>
      <c r="AS287" s="42" t="str">
        <f t="shared" si="217"/>
        <v>0,457019375880478+1,23686498686019i</v>
      </c>
      <c r="AT287" s="20">
        <f t="shared" si="218"/>
        <v>2.402250801614934</v>
      </c>
      <c r="AU287" s="44">
        <f t="shared" si="219"/>
        <v>69.720819806287324</v>
      </c>
    </row>
    <row r="288" spans="14:47" x14ac:dyDescent="0.3">
      <c r="N288" s="8">
        <v>70</v>
      </c>
      <c r="O288" s="35">
        <f t="shared" si="220"/>
        <v>5011.8723362727324</v>
      </c>
      <c r="P288" s="34" t="str">
        <f t="shared" si="188"/>
        <v>324,571428571429</v>
      </c>
      <c r="Q288" s="4" t="str">
        <f t="shared" si="189"/>
        <v>1+719,783374279513i</v>
      </c>
      <c r="R288" s="4">
        <f t="shared" si="197"/>
        <v>719.78406893262206</v>
      </c>
      <c r="S288" s="4">
        <f t="shared" si="198"/>
        <v>1.5694070208004223</v>
      </c>
      <c r="T288" s="4" t="str">
        <f t="shared" si="190"/>
        <v>1+0,00629810452494574i</v>
      </c>
      <c r="U288" s="4">
        <f t="shared" si="199"/>
        <v>1.0000198328636323</v>
      </c>
      <c r="V288" s="4">
        <f t="shared" si="200"/>
        <v>6.2980212531363452E-3</v>
      </c>
      <c r="W288" t="str">
        <f t="shared" si="191"/>
        <v>1-0,0546710462234873i</v>
      </c>
      <c r="X288" s="4">
        <f t="shared" si="201"/>
        <v>1.0014933466055431</v>
      </c>
      <c r="Y288" s="4">
        <f t="shared" si="202"/>
        <v>-5.4616674510082529E-2</v>
      </c>
      <c r="Z288" t="str">
        <f t="shared" si="192"/>
        <v>0,99989952454274+0,046874955032018i</v>
      </c>
      <c r="AA288" s="4">
        <f t="shared" si="203"/>
        <v>1.0009976626296644</v>
      </c>
      <c r="AB288" s="4">
        <f t="shared" si="204"/>
        <v>4.6845367974375801E-2</v>
      </c>
      <c r="AC288" s="48" t="str">
        <f t="shared" si="205"/>
        <v>-0,0422455271239764-0,449178895429007i</v>
      </c>
      <c r="AD288" s="20">
        <f t="shared" si="206"/>
        <v>-6.9133664971715705</v>
      </c>
      <c r="AE288" s="44">
        <f t="shared" si="207"/>
        <v>-95.372895408112498</v>
      </c>
      <c r="AF288" t="str">
        <f t="shared" si="193"/>
        <v>-0,0000125211169631323</v>
      </c>
      <c r="AG288" t="str">
        <f t="shared" si="194"/>
        <v>0,000152193695845314i</v>
      </c>
      <c r="AH288">
        <f t="shared" si="208"/>
        <v>1.52193695845314E-4</v>
      </c>
      <c r="AI288">
        <f t="shared" si="209"/>
        <v>1.5707963267948966</v>
      </c>
      <c r="AJ288" t="str">
        <f t="shared" si="195"/>
        <v>1+0,243573621553209i</v>
      </c>
      <c r="AK288">
        <f t="shared" si="210"/>
        <v>1.029236663317308</v>
      </c>
      <c r="AL288">
        <f t="shared" si="211"/>
        <v>0.23892122152737433</v>
      </c>
      <c r="AM288" t="str">
        <f t="shared" si="196"/>
        <v>1+35,6724640292927i</v>
      </c>
      <c r="AN288">
        <f t="shared" si="212"/>
        <v>35.686477690032412</v>
      </c>
      <c r="AO288">
        <f t="shared" si="213"/>
        <v>1.5427708397928781</v>
      </c>
      <c r="AP288" s="42" t="str">
        <f t="shared" si="214"/>
        <v>-2,75152500244839+0,752469840072907i</v>
      </c>
      <c r="AQ288">
        <f t="shared" si="215"/>
        <v>9.1046969056701741</v>
      </c>
      <c r="AR288" s="44">
        <f t="shared" si="216"/>
        <v>164.70508024635689</v>
      </c>
      <c r="AS288" s="42" t="str">
        <f t="shared" si="217"/>
        <v>0,454233195730823+1,20413847630629i</v>
      </c>
      <c r="AT288" s="20">
        <f t="shared" si="218"/>
        <v>2.1913304084986098</v>
      </c>
      <c r="AU288" s="44">
        <f t="shared" si="219"/>
        <v>69.332184838244373</v>
      </c>
    </row>
    <row r="289" spans="14:47" x14ac:dyDescent="0.3">
      <c r="N289" s="8">
        <v>71</v>
      </c>
      <c r="O289" s="35">
        <f t="shared" si="220"/>
        <v>5128.6138399136489</v>
      </c>
      <c r="P289" s="34" t="str">
        <f t="shared" si="188"/>
        <v>324,571428571429</v>
      </c>
      <c r="Q289" s="4" t="str">
        <f t="shared" si="189"/>
        <v>1+736,549282860418i</v>
      </c>
      <c r="R289" s="4">
        <f t="shared" si="197"/>
        <v>736.54996170130653</v>
      </c>
      <c r="S289" s="4">
        <f t="shared" si="198"/>
        <v>1.5694386452264844</v>
      </c>
      <c r="T289" s="4" t="str">
        <f t="shared" si="190"/>
        <v>1+0,00644480622502866i</v>
      </c>
      <c r="U289" s="4">
        <f t="shared" si="199"/>
        <v>1.0000207675479935</v>
      </c>
      <c r="V289" s="4">
        <f t="shared" si="200"/>
        <v>6.444716997777389E-3</v>
      </c>
      <c r="W289" t="str">
        <f t="shared" si="191"/>
        <v>1-0,0559444984811516i</v>
      </c>
      <c r="X289" s="4">
        <f t="shared" si="201"/>
        <v>1.0015636709217779</v>
      </c>
      <c r="Y289" s="4">
        <f t="shared" si="202"/>
        <v>-5.5886243051981928E-2</v>
      </c>
      <c r="Z289" t="str">
        <f t="shared" si="192"/>
        <v>0,999894789280324+0,0479668129977393i</v>
      </c>
      <c r="AA289" s="4">
        <f t="shared" si="203"/>
        <v>1.0010446567357041</v>
      </c>
      <c r="AB289" s="4">
        <f t="shared" si="204"/>
        <v>4.7935111676095675E-2</v>
      </c>
      <c r="AC289" s="48" t="str">
        <f t="shared" si="205"/>
        <v>-0,042269941004003-0,438871221141215i</v>
      </c>
      <c r="AD289" s="20">
        <f t="shared" si="206"/>
        <v>-7.1131558736952885</v>
      </c>
      <c r="AE289" s="44">
        <f t="shared" si="207"/>
        <v>-95.501480941327841</v>
      </c>
      <c r="AF289" t="str">
        <f t="shared" si="193"/>
        <v>-0,0000125211169631323</v>
      </c>
      <c r="AG289" t="str">
        <f t="shared" si="194"/>
        <v>0,000155738742427818i</v>
      </c>
      <c r="AH289">
        <f t="shared" si="208"/>
        <v>1.55738742427818E-4</v>
      </c>
      <c r="AI289">
        <f t="shared" si="209"/>
        <v>1.5707963267948966</v>
      </c>
      <c r="AJ289" t="str">
        <f t="shared" si="195"/>
        <v>1+0,249247180039842i</v>
      </c>
      <c r="AK289">
        <f t="shared" si="210"/>
        <v>1.0305940795278292</v>
      </c>
      <c r="AL289">
        <f t="shared" si="211"/>
        <v>0.24427000128420009</v>
      </c>
      <c r="AM289" t="str">
        <f t="shared" si="196"/>
        <v>1+36,5033824585623i</v>
      </c>
      <c r="AN289">
        <f t="shared" si="212"/>
        <v>36.517077250460147</v>
      </c>
      <c r="AO289">
        <f t="shared" si="213"/>
        <v>1.5434084550876124</v>
      </c>
      <c r="AP289" s="42" t="str">
        <f t="shared" si="214"/>
        <v>-2,74428159785764+0,764402664922409i</v>
      </c>
      <c r="AQ289">
        <f t="shared" si="215"/>
        <v>9.0930955188055318</v>
      </c>
      <c r="AR289" s="44">
        <f t="shared" si="216"/>
        <v>164.43515040608696</v>
      </c>
      <c r="AS289" s="42" t="str">
        <f t="shared" si="217"/>
        <v>0,45147495223791+1,17207496045757i</v>
      </c>
      <c r="AT289" s="20">
        <f t="shared" si="218"/>
        <v>1.9799396451102169</v>
      </c>
      <c r="AU289" s="44">
        <f t="shared" si="219"/>
        <v>68.933669464759078</v>
      </c>
    </row>
    <row r="290" spans="14:47" x14ac:dyDescent="0.3">
      <c r="N290" s="8">
        <v>72</v>
      </c>
      <c r="O290" s="35">
        <f t="shared" si="220"/>
        <v>5248.0746024977261</v>
      </c>
      <c r="P290" s="34" t="str">
        <f t="shared" si="188"/>
        <v>324,571428571429</v>
      </c>
      <c r="Q290" s="4" t="str">
        <f t="shared" si="189"/>
        <v>1+753,705719620482i</v>
      </c>
      <c r="R290" s="4">
        <f t="shared" si="197"/>
        <v>753.7063830090791</v>
      </c>
      <c r="S290" s="4">
        <f t="shared" si="198"/>
        <v>1.5694695497953477</v>
      </c>
      <c r="T290" s="4" t="str">
        <f t="shared" si="190"/>
        <v>1+0,00659492504667922i</v>
      </c>
      <c r="U290" s="4">
        <f t="shared" si="199"/>
        <v>1.0000217462817353</v>
      </c>
      <c r="V290" s="4">
        <f t="shared" si="200"/>
        <v>6.5948294380692189E-3</v>
      </c>
      <c r="W290" t="str">
        <f t="shared" si="191"/>
        <v>1-0,0572476132524238i</v>
      </c>
      <c r="X290" s="4">
        <f t="shared" si="201"/>
        <v>1.0016373042289803</v>
      </c>
      <c r="Y290" s="4">
        <f t="shared" si="202"/>
        <v>-5.7185196944985958E-2</v>
      </c>
      <c r="Z290" t="str">
        <f t="shared" si="192"/>
        <v>0,999889830851866+0,0490841036026281i</v>
      </c>
      <c r="AA290" s="4">
        <f t="shared" si="203"/>
        <v>1.0010938632653017</v>
      </c>
      <c r="AB290" s="4">
        <f t="shared" si="204"/>
        <v>4.9050137023429877E-2</v>
      </c>
      <c r="AC290" s="48" t="str">
        <f t="shared" si="205"/>
        <v>-0,0422929080202908-0,42879625499807i</v>
      </c>
      <c r="AD290" s="20">
        <f t="shared" si="206"/>
        <v>-7.3129354095814536</v>
      </c>
      <c r="AE290" s="44">
        <f t="shared" si="207"/>
        <v>-95.632961655713842</v>
      </c>
      <c r="AF290" t="str">
        <f t="shared" si="193"/>
        <v>-0,0000125211169631323</v>
      </c>
      <c r="AG290" t="str">
        <f t="shared" si="194"/>
        <v>0,000159366363753003i</v>
      </c>
      <c r="AH290">
        <f t="shared" si="208"/>
        <v>1.5936636375300301E-4</v>
      </c>
      <c r="AI290">
        <f t="shared" si="209"/>
        <v>1.5707963267948966</v>
      </c>
      <c r="AJ290" t="str">
        <f t="shared" si="195"/>
        <v>1+0,25505289268051i</v>
      </c>
      <c r="AK290">
        <f t="shared" si="210"/>
        <v>1.0320135551748804</v>
      </c>
      <c r="AL290">
        <f t="shared" si="211"/>
        <v>0.24972864373226752</v>
      </c>
      <c r="AM290" t="str">
        <f t="shared" si="196"/>
        <v>1+37,3536554643911i</v>
      </c>
      <c r="AN290">
        <f t="shared" si="212"/>
        <v>37.367038637714323</v>
      </c>
      <c r="AO290">
        <f t="shared" si="213"/>
        <v>1.5440315780108611</v>
      </c>
      <c r="AP290" s="42" t="str">
        <f t="shared" si="214"/>
        <v>-2,73673758470171+0,776580966093624i</v>
      </c>
      <c r="AQ290">
        <f t="shared" si="215"/>
        <v>9.0809937674264489</v>
      </c>
      <c r="AR290" s="44">
        <f t="shared" si="216"/>
        <v>164.15809554556179</v>
      </c>
      <c r="AS290" s="42" t="str">
        <f t="shared" si="217"/>
        <v>0,448739600909191+1,14065895986325i</v>
      </c>
      <c r="AT290" s="20">
        <f t="shared" si="218"/>
        <v>1.7680583578449895</v>
      </c>
      <c r="AU290" s="44">
        <f t="shared" si="219"/>
        <v>68.525133889847964</v>
      </c>
    </row>
    <row r="291" spans="14:47" x14ac:dyDescent="0.3">
      <c r="N291" s="8">
        <v>73</v>
      </c>
      <c r="O291" s="35">
        <f t="shared" si="220"/>
        <v>5370.3179637025269</v>
      </c>
      <c r="P291" s="34" t="str">
        <f t="shared" si="188"/>
        <v>324,571428571429</v>
      </c>
      <c r="Q291" s="4" t="str">
        <f t="shared" si="189"/>
        <v>1+771,261781129561i</v>
      </c>
      <c r="R291" s="4">
        <f t="shared" si="197"/>
        <v>771.26242941760279</v>
      </c>
      <c r="S291" s="4">
        <f t="shared" si="198"/>
        <v>1.5694997508927877</v>
      </c>
      <c r="T291" s="4" t="str">
        <f t="shared" si="190"/>
        <v>1+0,00674854058488366i</v>
      </c>
      <c r="U291" s="4">
        <f t="shared" si="199"/>
        <v>1.0000227711407506</v>
      </c>
      <c r="V291" s="4">
        <f t="shared" si="200"/>
        <v>6.7484381385382866E-3</v>
      </c>
      <c r="W291" t="str">
        <f t="shared" si="191"/>
        <v>1-0,058581081466004i</v>
      </c>
      <c r="X291" s="4">
        <f t="shared" si="201"/>
        <v>1.0017144019658131</v>
      </c>
      <c r="Y291" s="4">
        <f t="shared" si="202"/>
        <v>-5.8514207368112907E-2</v>
      </c>
      <c r="Z291" t="str">
        <f t="shared" si="192"/>
        <v>0,999884638739875+0,0502274192489518i</v>
      </c>
      <c r="AA291" s="4">
        <f t="shared" si="203"/>
        <v>1.0011453862613462</v>
      </c>
      <c r="AB291" s="4">
        <f t="shared" si="204"/>
        <v>5.0191025646138948E-2</v>
      </c>
      <c r="AC291" s="48" t="str">
        <f t="shared" si="205"/>
        <v>-0,0423144769956016-0,418948656507126i</v>
      </c>
      <c r="AD291" s="20">
        <f t="shared" si="206"/>
        <v>-7.51270464438816</v>
      </c>
      <c r="AE291" s="44">
        <f t="shared" si="207"/>
        <v>-95.76740571205022</v>
      </c>
      <c r="AF291" t="str">
        <f t="shared" si="193"/>
        <v>-0,0000125211169631323</v>
      </c>
      <c r="AG291" t="str">
        <f t="shared" si="194"/>
        <v>0,000163078483233714i</v>
      </c>
      <c r="AH291">
        <f t="shared" si="208"/>
        <v>1.6307848323371399E-4</v>
      </c>
      <c r="AI291">
        <f t="shared" si="209"/>
        <v>1.5707963267948966</v>
      </c>
      <c r="AJ291" t="str">
        <f t="shared" si="195"/>
        <v>1+0,260993837740901i</v>
      </c>
      <c r="AK291">
        <f t="shared" si="210"/>
        <v>1.0334978390585652</v>
      </c>
      <c r="AL291">
        <f t="shared" si="211"/>
        <v>0.25529874136288977</v>
      </c>
      <c r="AM291" t="str">
        <f t="shared" si="196"/>
        <v>1+38,223733872781i</v>
      </c>
      <c r="AN291">
        <f t="shared" si="212"/>
        <v>38.236812513299078</v>
      </c>
      <c r="AO291">
        <f t="shared" si="213"/>
        <v>1.5446405370139575</v>
      </c>
      <c r="AP291" s="42" t="str">
        <f t="shared" si="214"/>
        <v>-2,72888236063213+0,789001179701391i</v>
      </c>
      <c r="AQ291">
        <f t="shared" si="215"/>
        <v>9.0683703521674488</v>
      </c>
      <c r="AR291" s="44">
        <f t="shared" si="216"/>
        <v>163.87384324062521</v>
      </c>
      <c r="AS291" s="42" t="str">
        <f t="shared" si="217"/>
        <v>0,446022214091107+1,10987542648485i</v>
      </c>
      <c r="AT291" s="20">
        <f t="shared" si="218"/>
        <v>1.5556657077793044</v>
      </c>
      <c r="AU291" s="44">
        <f t="shared" si="219"/>
        <v>68.106437528575015</v>
      </c>
    </row>
    <row r="292" spans="14:47" x14ac:dyDescent="0.3">
      <c r="N292" s="8">
        <v>74</v>
      </c>
      <c r="O292" s="35">
        <f t="shared" si="220"/>
        <v>5495.4087385762541</v>
      </c>
      <c r="P292" s="34" t="str">
        <f t="shared" si="188"/>
        <v>324,571428571429</v>
      </c>
      <c r="Q292" s="4" t="str">
        <f t="shared" si="189"/>
        <v>1+789,226775843854i</v>
      </c>
      <c r="R292" s="4">
        <f t="shared" si="197"/>
        <v>789.22740937507047</v>
      </c>
      <c r="S292" s="4">
        <f t="shared" si="198"/>
        <v>1.569529264531605</v>
      </c>
      <c r="T292" s="4" t="str">
        <f t="shared" si="190"/>
        <v>1+0,00690573428863372i</v>
      </c>
      <c r="U292" s="4">
        <f t="shared" si="199"/>
        <v>1.0000238442987572</v>
      </c>
      <c r="V292" s="4">
        <f t="shared" si="200"/>
        <v>6.9056245155382648E-3</v>
      </c>
      <c r="W292" t="str">
        <f t="shared" si="191"/>
        <v>1-0,0599456101443899i</v>
      </c>
      <c r="X292" s="4">
        <f t="shared" si="201"/>
        <v>1.0017951268475922</v>
      </c>
      <c r="Y292" s="4">
        <f t="shared" si="202"/>
        <v>-5.9873960190542162E-2</v>
      </c>
      <c r="Z292" t="str">
        <f t="shared" si="192"/>
        <v>0,999879201931184+0,0513973661377999i</v>
      </c>
      <c r="AA292" s="4">
        <f t="shared" si="203"/>
        <v>1.0011993346484229</v>
      </c>
      <c r="AB292" s="4">
        <f t="shared" si="204"/>
        <v>5.135837220558212E-2</v>
      </c>
      <c r="AC292" s="48" t="str">
        <f t="shared" si="205"/>
        <v>-0,0423346937976206-0,409323205796099i</v>
      </c>
      <c r="AD292" s="20">
        <f t="shared" si="206"/>
        <v>-7.7124630965135132</v>
      </c>
      <c r="AE292" s="44">
        <f t="shared" si="207"/>
        <v>-95.904882731984898</v>
      </c>
      <c r="AF292" t="str">
        <f t="shared" si="193"/>
        <v>-0,0000125211169631323</v>
      </c>
      <c r="AG292" t="str">
        <f t="shared" si="194"/>
        <v>0,000166877069084834i</v>
      </c>
      <c r="AH292">
        <f t="shared" si="208"/>
        <v>1.66877069084834E-4</v>
      </c>
      <c r="AI292">
        <f t="shared" si="209"/>
        <v>1.5707963267948966</v>
      </c>
      <c r="AJ292" t="str">
        <f t="shared" si="195"/>
        <v>1+0,267073165188725i</v>
      </c>
      <c r="AK292">
        <f t="shared" si="210"/>
        <v>1.0350497937606307</v>
      </c>
      <c r="AL292">
        <f t="shared" si="211"/>
        <v>0.26098186439368437</v>
      </c>
      <c r="AM292" t="str">
        <f t="shared" si="196"/>
        <v>1+39,1140790108214i</v>
      </c>
      <c r="AN292">
        <f t="shared" si="212"/>
        <v>39.126860043514597</v>
      </c>
      <c r="AO292">
        <f t="shared" si="213"/>
        <v>1.5452356531674238</v>
      </c>
      <c r="AP292" s="42" t="str">
        <f t="shared" si="214"/>
        <v>-2,72070511780089+0,801659307674446i</v>
      </c>
      <c r="AQ292">
        <f t="shared" si="215"/>
        <v>9.0552032529807338</v>
      </c>
      <c r="AR292" s="44">
        <f t="shared" si="216"/>
        <v>163.58232192042081</v>
      </c>
      <c r="AS292" s="42" t="str">
        <f t="shared" si="217"/>
        <v>0,443317975849305+1,0797097395237i</v>
      </c>
      <c r="AT292" s="20">
        <f t="shared" si="218"/>
        <v>1.3427401564671972</v>
      </c>
      <c r="AU292" s="44">
        <f t="shared" si="219"/>
        <v>67.677439188435869</v>
      </c>
    </row>
    <row r="293" spans="14:47" x14ac:dyDescent="0.3">
      <c r="N293" s="8">
        <v>75</v>
      </c>
      <c r="O293" s="35">
        <f t="shared" si="220"/>
        <v>5623.4132519034993</v>
      </c>
      <c r="P293" s="34" t="str">
        <f t="shared" si="188"/>
        <v>324,571428571429</v>
      </c>
      <c r="Q293" s="4" t="str">
        <f t="shared" si="189"/>
        <v>1+807,610229041349i</v>
      </c>
      <c r="R293" s="4">
        <f t="shared" si="197"/>
        <v>807.61084815164554</v>
      </c>
      <c r="S293" s="4">
        <f t="shared" si="198"/>
        <v>1.5695581063601163</v>
      </c>
      <c r="T293" s="4" t="str">
        <f t="shared" si="190"/>
        <v>1+0,0070665895041118i</v>
      </c>
      <c r="U293" s="4">
        <f t="shared" si="199"/>
        <v>1.0000249680319084</v>
      </c>
      <c r="V293" s="4">
        <f t="shared" si="200"/>
        <v>7.0664718802794348E-3</v>
      </c>
      <c r="W293" t="str">
        <f t="shared" si="191"/>
        <v>1-0,0613419227787483i</v>
      </c>
      <c r="X293" s="4">
        <f t="shared" si="201"/>
        <v>1.001879649204531</v>
      </c>
      <c r="Y293" s="4">
        <f t="shared" si="202"/>
        <v>-6.1265156247172117E-2</v>
      </c>
      <c r="Z293" t="str">
        <f t="shared" si="192"/>
        <v>0,999873508893593+0,0525945645904987i</v>
      </c>
      <c r="AA293" s="4">
        <f t="shared" si="203"/>
        <v>1.0012558224607988</v>
      </c>
      <c r="AB293" s="4">
        <f t="shared" si="204"/>
        <v>5.2552784661651829E-2</v>
      </c>
      <c r="AC293" s="48" t="str">
        <f t="shared" si="205"/>
        <v>-0,0423536014372292-0,399914800852058i</v>
      </c>
      <c r="AD293" s="20">
        <f t="shared" si="206"/>
        <v>-7.9122102622398831</v>
      </c>
      <c r="AE293" s="44">
        <f t="shared" si="207"/>
        <v>-96.045463827137354</v>
      </c>
      <c r="AF293" t="str">
        <f t="shared" si="193"/>
        <v>-0,0000125211169631323</v>
      </c>
      <c r="AG293" t="str">
        <f t="shared" si="194"/>
        <v>0,000170764135366862i</v>
      </c>
      <c r="AH293">
        <f t="shared" si="208"/>
        <v>1.7076413536686199E-4</v>
      </c>
      <c r="AI293">
        <f t="shared" si="209"/>
        <v>1.5707963267948966</v>
      </c>
      <c r="AJ293" t="str">
        <f t="shared" si="195"/>
        <v>1+0,273294098363862i</v>
      </c>
      <c r="AK293">
        <f t="shared" si="210"/>
        <v>1.0366723996521352</v>
      </c>
      <c r="AL293">
        <f t="shared" si="211"/>
        <v>0.26677955706246664</v>
      </c>
      <c r="AM293" t="str">
        <f t="shared" si="196"/>
        <v>1+40,0251629512892i</v>
      </c>
      <c r="AN293">
        <f t="shared" si="212"/>
        <v>40.037653143975028</v>
      </c>
      <c r="AO293">
        <f t="shared" si="213"/>
        <v>1.54581724032261</v>
      </c>
      <c r="AP293" s="42" t="str">
        <f t="shared" si="214"/>
        <v>-2,71219485505976+0,81455089142963i</v>
      </c>
      <c r="AQ293">
        <f t="shared" si="215"/>
        <v>9.0414697148196232</v>
      </c>
      <c r="AR293" s="44">
        <f t="shared" si="216"/>
        <v>163.28346108899686</v>
      </c>
      <c r="AS293" s="42" t="str">
        <f t="shared" si="217"/>
        <v>0,440622177441252+1,05014770152725i</v>
      </c>
      <c r="AT293" s="20">
        <f t="shared" si="218"/>
        <v>1.1292594525797433</v>
      </c>
      <c r="AU293" s="44">
        <f t="shared" si="219"/>
        <v>67.237997261859462</v>
      </c>
    </row>
    <row r="294" spans="14:47" x14ac:dyDescent="0.3">
      <c r="N294" s="8">
        <v>76</v>
      </c>
      <c r="O294" s="35">
        <f t="shared" si="220"/>
        <v>5754.399373371567</v>
      </c>
      <c r="P294" s="34" t="str">
        <f t="shared" si="188"/>
        <v>324,571428571429</v>
      </c>
      <c r="Q294" s="4" t="str">
        <f t="shared" si="189"/>
        <v>1+826,421887872265i</v>
      </c>
      <c r="R294" s="4">
        <f t="shared" si="197"/>
        <v>826.42249288990104</v>
      </c>
      <c r="S294" s="4">
        <f t="shared" si="198"/>
        <v>1.5695862916704484</v>
      </c>
      <c r="T294" s="4" t="str">
        <f t="shared" si="190"/>
        <v>1+0,00723119151888232i</v>
      </c>
      <c r="U294" s="4">
        <f t="shared" si="199"/>
        <v>1.0000261447236181</v>
      </c>
      <c r="V294" s="4">
        <f t="shared" si="200"/>
        <v>7.2310654828531482E-3</v>
      </c>
      <c r="W294" t="str">
        <f t="shared" si="191"/>
        <v>1-0,0627707597125201i</v>
      </c>
      <c r="X294" s="4">
        <f t="shared" si="201"/>
        <v>1.0019681473354765</v>
      </c>
      <c r="Y294" s="4">
        <f t="shared" si="202"/>
        <v>-6.268851161593865E-2</v>
      </c>
      <c r="Z294" t="str">
        <f t="shared" si="192"/>
        <v>0,999867547551407+0,0538196493775147i</v>
      </c>
      <c r="AA294" s="4">
        <f t="shared" si="203"/>
        <v>1.0013149690809502</v>
      </c>
      <c r="AB294" s="4">
        <f t="shared" si="204"/>
        <v>5.3774884543348292E-2</v>
      </c>
      <c r="AC294" s="48" t="str">
        <f t="shared" si="205"/>
        <v>-0,0423712401608137-0,390718454823432i</v>
      </c>
      <c r="AD294" s="20">
        <f t="shared" si="206"/>
        <v>-8.1119456147377473</v>
      </c>
      <c r="AE294" s="44">
        <f t="shared" si="207"/>
        <v>-96.189221628443576</v>
      </c>
      <c r="AF294" t="str">
        <f t="shared" si="193"/>
        <v>-0,0000125211169631323</v>
      </c>
      <c r="AG294" t="str">
        <f t="shared" si="194"/>
        <v>0,000174741743053791i</v>
      </c>
      <c r="AH294">
        <f t="shared" si="208"/>
        <v>1.7474174305379101E-4</v>
      </c>
      <c r="AI294">
        <f t="shared" si="209"/>
        <v>1.5707963267948966</v>
      </c>
      <c r="AJ294" t="str">
        <f t="shared" si="195"/>
        <v>1+0,279659935687427i</v>
      </c>
      <c r="AK294">
        <f t="shared" si="210"/>
        <v>1.0383687589814592</v>
      </c>
      <c r="AL294">
        <f t="shared" si="211"/>
        <v>0.27269333371528798</v>
      </c>
      <c r="AM294" t="str">
        <f t="shared" si="196"/>
        <v>1+40,9574687629495i</v>
      </c>
      <c r="AN294">
        <f t="shared" si="212"/>
        <v>40.969674729828945</v>
      </c>
      <c r="AO294">
        <f t="shared" si="213"/>
        <v>1.5463856052700777</v>
      </c>
      <c r="AP294" s="42" t="str">
        <f t="shared" si="214"/>
        <v>-2,70334039204166+0,827670985097984i</v>
      </c>
      <c r="AQ294">
        <f t="shared" si="215"/>
        <v>9.027146234252184</v>
      </c>
      <c r="AR294" s="44">
        <f t="shared" si="216"/>
        <v>162.97719155852019</v>
      </c>
      <c r="AS294" s="42" t="str">
        <f t="shared" si="217"/>
        <v>0,437930213387298+1,02117553475656i</v>
      </c>
      <c r="AT294" s="20">
        <f t="shared" si="218"/>
        <v>0.91520061951440745</v>
      </c>
      <c r="AU294" s="44">
        <f t="shared" si="219"/>
        <v>66.787969930076486</v>
      </c>
    </row>
    <row r="295" spans="14:47" x14ac:dyDescent="0.3">
      <c r="N295" s="8">
        <v>77</v>
      </c>
      <c r="O295" s="35">
        <f t="shared" si="220"/>
        <v>5888.4365535558973</v>
      </c>
      <c r="P295" s="34" t="str">
        <f t="shared" si="188"/>
        <v>324,571428571429</v>
      </c>
      <c r="Q295" s="4" t="str">
        <f t="shared" si="189"/>
        <v>1+845,671726527122i</v>
      </c>
      <c r="R295" s="4">
        <f t="shared" si="197"/>
        <v>845.67231777288509</v>
      </c>
      <c r="S295" s="4">
        <f t="shared" si="198"/>
        <v>1.5696138354066469</v>
      </c>
      <c r="T295" s="4" t="str">
        <f t="shared" si="190"/>
        <v>1+0,00739962760711232i</v>
      </c>
      <c r="U295" s="4">
        <f t="shared" si="199"/>
        <v>1.0000273768696155</v>
      </c>
      <c r="V295" s="4">
        <f t="shared" si="200"/>
        <v>7.3994925572735855E-3</v>
      </c>
      <c r="W295" t="str">
        <f t="shared" si="191"/>
        <v>1-0,0642328785339611i</v>
      </c>
      <c r="X295" s="4">
        <f t="shared" si="201"/>
        <v>1.0020608078778246</v>
      </c>
      <c r="Y295" s="4">
        <f t="shared" si="202"/>
        <v>-6.414475789661353E-2</v>
      </c>
      <c r="Z295" t="str">
        <f t="shared" si="192"/>
        <v>0,999861305259819+0,0550732700550182i</v>
      </c>
      <c r="AA295" s="4">
        <f t="shared" si="203"/>
        <v>1.0013768994891095</v>
      </c>
      <c r="AB295" s="4">
        <f t="shared" si="204"/>
        <v>5.5025307222895933E-2</v>
      </c>
      <c r="AC295" s="48" t="str">
        <f t="shared" si="205"/>
        <v>-0,0423876475368139-0,381729293383446i</v>
      </c>
      <c r="AD295" s="20">
        <f t="shared" si="206"/>
        <v>-8.3116686030274103</v>
      </c>
      <c r="AE295" s="44">
        <f t="shared" si="207"/>
        <v>-96.336230315719547</v>
      </c>
      <c r="AF295" t="str">
        <f t="shared" si="193"/>
        <v>-0,0000125211169631323</v>
      </c>
      <c r="AG295" t="str">
        <f t="shared" si="194"/>
        <v>0,000178812001125869i</v>
      </c>
      <c r="AH295">
        <f t="shared" si="208"/>
        <v>1.7881200112586899E-4</v>
      </c>
      <c r="AI295">
        <f t="shared" si="209"/>
        <v>1.5707963267948966</v>
      </c>
      <c r="AJ295" t="str">
        <f t="shared" si="195"/>
        <v>1+0,286174052410631i</v>
      </c>
      <c r="AK295">
        <f t="shared" si="210"/>
        <v>1.0401421000387987</v>
      </c>
      <c r="AL295">
        <f t="shared" si="211"/>
        <v>0.27872467468533091</v>
      </c>
      <c r="AM295" t="str">
        <f t="shared" si="196"/>
        <v>1+41,9114907666842i</v>
      </c>
      <c r="AN295">
        <f t="shared" si="212"/>
        <v>41.923418971809248</v>
      </c>
      <c r="AO295">
        <f t="shared" si="213"/>
        <v>1.5469410478947723</v>
      </c>
      <c r="AP295" s="42" t="str">
        <f t="shared" si="214"/>
        <v>-2,69413038524631+0,841014128397827i</v>
      </c>
      <c r="AQ295">
        <f t="shared" si="215"/>
        <v>9.0122085471345734</v>
      </c>
      <c r="AR295" s="44">
        <f t="shared" si="216"/>
        <v>162.66344569428907</v>
      </c>
      <c r="AS295" s="42" t="str">
        <f t="shared" si="217"/>
        <v>0,435237578146838+0,992779877794937i</v>
      </c>
      <c r="AT295" s="20">
        <f t="shared" si="218"/>
        <v>0.70053994410716047</v>
      </c>
      <c r="AU295" s="44">
        <f t="shared" si="219"/>
        <v>66.327215378569548</v>
      </c>
    </row>
    <row r="296" spans="14:47" x14ac:dyDescent="0.3">
      <c r="N296" s="8">
        <v>78</v>
      </c>
      <c r="O296" s="35">
        <f t="shared" si="220"/>
        <v>6025.595860743585</v>
      </c>
      <c r="P296" s="34" t="str">
        <f t="shared" si="188"/>
        <v>324,571428571429</v>
      </c>
      <c r="Q296" s="4" t="str">
        <f t="shared" si="189"/>
        <v>1+865,36995152517i</v>
      </c>
      <c r="R296" s="4">
        <f t="shared" si="197"/>
        <v>865.3705293125455</v>
      </c>
      <c r="S296" s="4">
        <f t="shared" si="198"/>
        <v>1.5696407521725979</v>
      </c>
      <c r="T296" s="4" t="str">
        <f t="shared" si="190"/>
        <v>1+0,00757198707584524i</v>
      </c>
      <c r="U296" s="4">
        <f t="shared" si="199"/>
        <v>1.0000286670832377</v>
      </c>
      <c r="V296" s="4">
        <f t="shared" si="200"/>
        <v>7.5718423675599084E-3</v>
      </c>
      <c r="W296" t="str">
        <f t="shared" si="191"/>
        <v>1-0,0657290544778233i</v>
      </c>
      <c r="X296" s="4">
        <f t="shared" si="201"/>
        <v>1.0021578261943318</v>
      </c>
      <c r="Y296" s="4">
        <f t="shared" si="202"/>
        <v>-6.563464249077168E-2</v>
      </c>
      <c r="Z296" t="str">
        <f t="shared" si="192"/>
        <v>0,999854768778092+0,0563560913092856i</v>
      </c>
      <c r="AA296" s="4">
        <f t="shared" si="203"/>
        <v>1.0014417445243393</v>
      </c>
      <c r="AB296" s="4">
        <f t="shared" si="204"/>
        <v>5.63047021932917E-2</v>
      </c>
      <c r="AC296" s="48" t="str">
        <f t="shared" si="205"/>
        <v>-0,0424028585367037-0,372942552153633i</v>
      </c>
      <c r="AD296" s="20">
        <f t="shared" si="206"/>
        <v>-8.511378650896809</v>
      </c>
      <c r="AE296" s="44">
        <f t="shared" si="207"/>
        <v>-96.486565647418175</v>
      </c>
      <c r="AF296" t="str">
        <f t="shared" si="193"/>
        <v>-0,0000125211169631323</v>
      </c>
      <c r="AG296" t="str">
        <f t="shared" si="194"/>
        <v>0,0001829770676878i</v>
      </c>
      <c r="AH296">
        <f t="shared" si="208"/>
        <v>1.8297706768779999E-4</v>
      </c>
      <c r="AI296">
        <f t="shared" si="209"/>
        <v>1.5707963267948966</v>
      </c>
      <c r="AJ296" t="str">
        <f t="shared" si="195"/>
        <v>1+0,292839902404384i</v>
      </c>
      <c r="AK296">
        <f t="shared" si="210"/>
        <v>1.0419957813927123</v>
      </c>
      <c r="AL296">
        <f t="shared" si="211"/>
        <v>0.28487502196022735</v>
      </c>
      <c r="AM296" t="str">
        <f t="shared" si="196"/>
        <v>1+42,8877347975874i</v>
      </c>
      <c r="AN296">
        <f t="shared" si="212"/>
        <v>42.899391558251601</v>
      </c>
      <c r="AO296">
        <f t="shared" si="213"/>
        <v>1.5474838613280344</v>
      </c>
      <c r="AP296" s="42" t="str">
        <f t="shared" si="214"/>
        <v>-2,68455334625369+0,854574319264833i</v>
      </c>
      <c r="AQ296">
        <f t="shared" si="215"/>
        <v>8.9966316174864946</v>
      </c>
      <c r="AR296" s="44">
        <f t="shared" si="216"/>
        <v>162.34215767168661</v>
      </c>
      <c r="AS296" s="42" t="str">
        <f t="shared" si="217"/>
        <v>0,43253986340701+0,96494778237554i</v>
      </c>
      <c r="AT296" s="20">
        <f t="shared" si="218"/>
        <v>0.48525296658968758</v>
      </c>
      <c r="AU296" s="44">
        <f t="shared" si="219"/>
        <v>65.855592024268432</v>
      </c>
    </row>
    <row r="297" spans="14:47" x14ac:dyDescent="0.3">
      <c r="N297" s="8">
        <v>79</v>
      </c>
      <c r="O297" s="35">
        <f t="shared" si="220"/>
        <v>6165.9500186148289</v>
      </c>
      <c r="P297" s="34" t="str">
        <f t="shared" si="188"/>
        <v>324,571428571429</v>
      </c>
      <c r="Q297" s="4" t="str">
        <f t="shared" si="189"/>
        <v>1+885,527007126043i</v>
      </c>
      <c r="R297" s="4">
        <f t="shared" si="197"/>
        <v>885.52757176138061</v>
      </c>
      <c r="S297" s="4">
        <f t="shared" si="198"/>
        <v>1.569667056239771</v>
      </c>
      <c r="T297" s="4" t="str">
        <f t="shared" si="190"/>
        <v>1+0,00774836131235288i</v>
      </c>
      <c r="U297" s="4">
        <f t="shared" si="199"/>
        <v>1.0000300181009703</v>
      </c>
      <c r="V297" s="4">
        <f t="shared" si="200"/>
        <v>7.7482062548828966E-3</v>
      </c>
      <c r="W297" t="str">
        <f t="shared" si="191"/>
        <v>1-0,0672600808363965i</v>
      </c>
      <c r="X297" s="4">
        <f t="shared" si="201"/>
        <v>1.0022594067775661</v>
      </c>
      <c r="Y297" s="4">
        <f t="shared" si="202"/>
        <v>-6.7158928882596655E-2</v>
      </c>
      <c r="Z297" t="str">
        <f t="shared" si="192"/>
        <v>0,999847924241472+0,0576687933091263i</v>
      </c>
      <c r="AA297" s="4">
        <f t="shared" si="203"/>
        <v>1.001509641157643</v>
      </c>
      <c r="AB297" s="4">
        <f t="shared" si="204"/>
        <v>5.7613733349163865E-2</v>
      </c>
      <c r="AC297" s="48" t="str">
        <f t="shared" si="205"/>
        <v>-0,0424169056105876-0,364353574186074i</v>
      </c>
      <c r="AD297" s="20">
        <f t="shared" si="206"/>
        <v>-8.7110751557741644</v>
      </c>
      <c r="AE297" s="44">
        <f t="shared" si="207"/>
        <v>-96.64030499055248</v>
      </c>
      <c r="AF297" t="str">
        <f t="shared" si="193"/>
        <v>-0,0000125211169631323</v>
      </c>
      <c r="AG297" t="str">
        <f t="shared" si="194"/>
        <v>0,000187239151113007i</v>
      </c>
      <c r="AH297">
        <f t="shared" si="208"/>
        <v>1.87239151113007E-4</v>
      </c>
      <c r="AI297">
        <f t="shared" si="209"/>
        <v>1.5707963267948966</v>
      </c>
      <c r="AJ297" t="str">
        <f t="shared" si="195"/>
        <v>1+0,299661019990586i</v>
      </c>
      <c r="AK297">
        <f t="shared" si="210"/>
        <v>1.0439332961936785</v>
      </c>
      <c r="AL297">
        <f t="shared" si="211"/>
        <v>0.291145774636274</v>
      </c>
      <c r="AM297" t="str">
        <f t="shared" si="196"/>
        <v>1+43,8867184731667i</v>
      </c>
      <c r="AN297">
        <f t="shared" si="212"/>
        <v>43.898109963220413</v>
      </c>
      <c r="AO297">
        <f t="shared" si="213"/>
        <v>1.5480143320964939</v>
      </c>
      <c r="AP297" s="42" t="str">
        <f t="shared" si="214"/>
        <v>-2,67459766218696+0,86834498636401i</v>
      </c>
      <c r="AQ297">
        <f t="shared" si="215"/>
        <v>8.9803896277168729</v>
      </c>
      <c r="AR297" s="44">
        <f t="shared" si="216"/>
        <v>162.0132637451666</v>
      </c>
      <c r="AS297" s="42" t="str">
        <f t="shared" si="217"/>
        <v>0,429832755991567+0,937666710403507i</v>
      </c>
      <c r="AT297" s="20">
        <f t="shared" si="218"/>
        <v>0.2693144719427038</v>
      </c>
      <c r="AU297" s="44">
        <f t="shared" si="219"/>
        <v>65.372958754614118</v>
      </c>
    </row>
    <row r="298" spans="14:47" x14ac:dyDescent="0.3">
      <c r="N298" s="8">
        <v>80</v>
      </c>
      <c r="O298" s="35">
        <f t="shared" si="220"/>
        <v>6309.5734448019384</v>
      </c>
      <c r="P298" s="34" t="str">
        <f t="shared" si="188"/>
        <v>324,571428571429</v>
      </c>
      <c r="Q298" s="4" t="str">
        <f t="shared" si="189"/>
        <v>1+906,153580867429i</v>
      </c>
      <c r="R298" s="4">
        <f t="shared" si="197"/>
        <v>906.154132650105</v>
      </c>
      <c r="S298" s="4">
        <f t="shared" si="198"/>
        <v>1.5696927615547851</v>
      </c>
      <c r="T298" s="4" t="str">
        <f t="shared" si="190"/>
        <v>1+0,00792884383259i</v>
      </c>
      <c r="U298" s="4">
        <f t="shared" si="199"/>
        <v>1.0000314327882507</v>
      </c>
      <c r="V298" s="4">
        <f t="shared" si="200"/>
        <v>7.9286776857995407E-3</v>
      </c>
      <c r="W298" t="str">
        <f t="shared" si="191"/>
        <v>1-0,0688267693801215i</v>
      </c>
      <c r="X298" s="4">
        <f t="shared" si="201"/>
        <v>1.0023657636727745</v>
      </c>
      <c r="Y298" s="4">
        <f t="shared" si="202"/>
        <v>-6.8718396920148264E-2</v>
      </c>
      <c r="Z298" t="str">
        <f t="shared" si="192"/>
        <v>0,999840757131779+0,0590120720665161i</v>
      </c>
      <c r="AA298" s="4">
        <f t="shared" si="203"/>
        <v>1.0015807327776591</v>
      </c>
      <c r="AB298" s="4">
        <f t="shared" si="204"/>
        <v>5.8953079270793705E-2</v>
      </c>
      <c r="AC298" s="48" t="str">
        <f t="shared" si="205"/>
        <v>-0,042429818757585-0,355957807503076i</v>
      </c>
      <c r="AD298" s="20">
        <f t="shared" si="206"/>
        <v>-8.9107574875537825</v>
      </c>
      <c r="AE298" s="44">
        <f t="shared" si="207"/>
        <v>-96.797527350754336</v>
      </c>
      <c r="AF298" t="str">
        <f t="shared" si="193"/>
        <v>-0,0000125211169631323</v>
      </c>
      <c r="AG298" t="str">
        <f t="shared" si="194"/>
        <v>0,000191600511214537i</v>
      </c>
      <c r="AH298">
        <f t="shared" si="208"/>
        <v>1.9160051121453701E-4</v>
      </c>
      <c r="AI298">
        <f t="shared" si="209"/>
        <v>1.5707963267948966</v>
      </c>
      <c r="AJ298" t="str">
        <f t="shared" si="195"/>
        <v>1+0,306641021816069i</v>
      </c>
      <c r="AK298">
        <f t="shared" si="210"/>
        <v>1.0459582765389845</v>
      </c>
      <c r="AL298">
        <f t="shared" si="211"/>
        <v>0.29753828415907091</v>
      </c>
      <c r="AM298" t="str">
        <f t="shared" si="196"/>
        <v>1+44,9089714677898i</v>
      </c>
      <c r="AN298">
        <f t="shared" si="212"/>
        <v>44.920103720881571</v>
      </c>
      <c r="AO298">
        <f t="shared" si="213"/>
        <v>1.5485327402678968</v>
      </c>
      <c r="AP298" s="42" t="str">
        <f t="shared" si="214"/>
        <v>-2,66425161854415+0,882318961624947i</v>
      </c>
      <c r="AQ298">
        <f t="shared" si="215"/>
        <v>8.9634559703569856</v>
      </c>
      <c r="AR298" s="44">
        <f t="shared" si="216"/>
        <v>161.67670252929966</v>
      </c>
      <c r="AS298" s="42" t="str">
        <f t="shared" si="217"/>
        <v>0,427112036397838+0,91092453114537i</v>
      </c>
      <c r="AT298" s="20">
        <f t="shared" si="218"/>
        <v>5.2698482803205514E-2</v>
      </c>
      <c r="AU298" s="44">
        <f t="shared" si="219"/>
        <v>64.879175178545296</v>
      </c>
    </row>
    <row r="299" spans="14:47" x14ac:dyDescent="0.3">
      <c r="N299" s="8">
        <v>81</v>
      </c>
      <c r="O299" s="35">
        <f t="shared" si="220"/>
        <v>6456.5422903465615</v>
      </c>
      <c r="P299" s="34" t="str">
        <f t="shared" si="188"/>
        <v>324,571428571429</v>
      </c>
      <c r="Q299" s="4" t="str">
        <f t="shared" si="189"/>
        <v>1+927,260609231753i</v>
      </c>
      <c r="R299" s="4">
        <f t="shared" si="197"/>
        <v>927.26114845432937</v>
      </c>
      <c r="S299" s="4">
        <f t="shared" si="198"/>
        <v>1.5697178817468025</v>
      </c>
      <c r="T299" s="4" t="str">
        <f t="shared" si="190"/>
        <v>1+0,00811353033077784i</v>
      </c>
      <c r="U299" s="4">
        <f t="shared" si="199"/>
        <v>1.0000329141455437</v>
      </c>
      <c r="V299" s="4">
        <f t="shared" si="200"/>
        <v>8.1133523016008232E-3</v>
      </c>
      <c r="W299" t="str">
        <f t="shared" si="191"/>
        <v>1-0,0704299507880021i</v>
      </c>
      <c r="X299" s="4">
        <f t="shared" si="201"/>
        <v>1.0024771209199741</v>
      </c>
      <c r="Y299" s="4">
        <f t="shared" si="202"/>
        <v>-7.0313843096692474E-2</v>
      </c>
      <c r="Z299" t="str">
        <f t="shared" si="192"/>
        <v>0,999833252246612+0,0603866398056329i</v>
      </c>
      <c r="AA299" s="4">
        <f t="shared" si="203"/>
        <v>1.0016551694895068</v>
      </c>
      <c r="AB299" s="4">
        <f t="shared" si="204"/>
        <v>6.0323433511144268E-2</v>
      </c>
      <c r="AC299" s="48" t="str">
        <f t="shared" si="205"/>
        <v>-0,0424416255911633-0,347750802693022i</v>
      </c>
      <c r="AD299" s="20">
        <f t="shared" si="206"/>
        <v>-9.1104249873732748</v>
      </c>
      <c r="AE299" s="44">
        <f t="shared" si="207"/>
        <v>-96.958313402435124</v>
      </c>
      <c r="AF299" t="str">
        <f t="shared" si="193"/>
        <v>-0,0000125211169631323</v>
      </c>
      <c r="AG299" t="str">
        <f t="shared" si="194"/>
        <v>0,000196063460443246i</v>
      </c>
      <c r="AH299">
        <f t="shared" si="208"/>
        <v>1.9606346044324599E-4</v>
      </c>
      <c r="AI299">
        <f t="shared" si="209"/>
        <v>1.5707963267948966</v>
      </c>
      <c r="AJ299" t="str">
        <f t="shared" si="195"/>
        <v>1+0,313783608770194i</v>
      </c>
      <c r="AK299">
        <f t="shared" si="210"/>
        <v>1.0480744978926098</v>
      </c>
      <c r="AL299">
        <f t="shared" si="211"/>
        <v>0.30405384935130636</v>
      </c>
      <c r="AM299" t="str">
        <f t="shared" si="196"/>
        <v>1+45,9550357935257i</v>
      </c>
      <c r="AN299">
        <f t="shared" si="212"/>
        <v>45.965914706271519</v>
      </c>
      <c r="AO299">
        <f t="shared" si="213"/>
        <v>1.5490393595939136</v>
      </c>
      <c r="AP299" s="42" t="str">
        <f t="shared" si="214"/>
        <v>-2,65350342451434+0,89648845295865i</v>
      </c>
      <c r="AQ299">
        <f t="shared" si="215"/>
        <v>8.9458032414676296</v>
      </c>
      <c r="AR299" s="44">
        <f t="shared" si="216"/>
        <v>161.33241529184272</v>
      </c>
      <c r="AS299" s="42" t="str">
        <f t="shared" si="217"/>
        <v>0,424373577969503+0,884709518556272i</v>
      </c>
      <c r="AT299" s="20">
        <f t="shared" si="218"/>
        <v>-0.1646217459056479</v>
      </c>
      <c r="AU299" s="44">
        <f t="shared" si="219"/>
        <v>64.374101889407612</v>
      </c>
    </row>
    <row r="300" spans="14:47" x14ac:dyDescent="0.3">
      <c r="N300" s="8">
        <v>82</v>
      </c>
      <c r="O300" s="35">
        <f t="shared" si="220"/>
        <v>6606.9344800759654</v>
      </c>
      <c r="P300" s="34" t="str">
        <f t="shared" si="188"/>
        <v>324,571428571429</v>
      </c>
      <c r="Q300" s="4" t="str">
        <f t="shared" si="189"/>
        <v>1+948,859283444834i</v>
      </c>
      <c r="R300" s="4">
        <f t="shared" si="197"/>
        <v>948.85981039321291</v>
      </c>
      <c r="S300" s="4">
        <f t="shared" si="198"/>
        <v>1.5697424301347547</v>
      </c>
      <c r="T300" s="4" t="str">
        <f t="shared" si="190"/>
        <v>1+0,0083025187301423i</v>
      </c>
      <c r="U300" s="4">
        <f t="shared" si="199"/>
        <v>1.0000344653147033</v>
      </c>
      <c r="V300" s="4">
        <f t="shared" si="200"/>
        <v>8.302327968797308E-3</v>
      </c>
      <c r="W300" t="str">
        <f t="shared" si="191"/>
        <v>1-0,0720704750880408i</v>
      </c>
      <c r="X300" s="4">
        <f t="shared" si="201"/>
        <v>1.0025937130161031</v>
      </c>
      <c r="Y300" s="4">
        <f t="shared" si="202"/>
        <v>-7.1946080831649939E-2</v>
      </c>
      <c r="Z300" t="str">
        <f t="shared" si="192"/>
        <v>0,999825393667104+0,0617932253404861i</v>
      </c>
      <c r="AA300" s="4">
        <f t="shared" si="203"/>
        <v>1.0017331084273695</v>
      </c>
      <c r="AB300" s="4">
        <f t="shared" si="204"/>
        <v>6.1725504885712011E-2</v>
      </c>
      <c r="AC300" s="48" t="str">
        <f t="shared" si="205"/>
        <v>-0,0424523513995731-0,33972821056118i</v>
      </c>
      <c r="AD300" s="20">
        <f t="shared" si="206"/>
        <v>-9.3100769663401515</v>
      </c>
      <c r="AE300" s="44">
        <f t="shared" si="207"/>
        <v>-97.122745519011488</v>
      </c>
      <c r="AF300" t="str">
        <f t="shared" si="193"/>
        <v>-0,0000125211169631323</v>
      </c>
      <c r="AG300" t="str">
        <f t="shared" si="194"/>
        <v>0,000200630365113889i</v>
      </c>
      <c r="AH300">
        <f t="shared" si="208"/>
        <v>2.00630365113889E-4</v>
      </c>
      <c r="AI300">
        <f t="shared" si="209"/>
        <v>1.5707963267948966</v>
      </c>
      <c r="AJ300" t="str">
        <f t="shared" si="195"/>
        <v>1+0,321092567947105i</v>
      </c>
      <c r="AK300">
        <f t="shared" si="210"/>
        <v>1.0502858835530764</v>
      </c>
      <c r="AL300">
        <f t="shared" si="211"/>
        <v>0.31069371122971473</v>
      </c>
      <c r="AM300" t="str">
        <f t="shared" si="196"/>
        <v>1+47,025466087526i</v>
      </c>
      <c r="AN300">
        <f t="shared" si="212"/>
        <v>47.036097422607867</v>
      </c>
      <c r="AO300">
        <f t="shared" si="213"/>
        <v>1.5495344576499765</v>
      </c>
      <c r="AP300" s="42" t="str">
        <f t="shared" si="214"/>
        <v>-2,64234124088758+0,9108450173319i</v>
      </c>
      <c r="AQ300">
        <f t="shared" si="215"/>
        <v>8.9274032358925286</v>
      </c>
      <c r="AR300" s="44">
        <f t="shared" si="216"/>
        <v>160.98034625871767</v>
      </c>
      <c r="AS300" s="42" t="str">
        <f t="shared" si="217"/>
        <v>0,421613346712477+0,859010348712421i</v>
      </c>
      <c r="AT300" s="20">
        <f t="shared" si="218"/>
        <v>-0.38267373044762748</v>
      </c>
      <c r="AU300" s="44">
        <f t="shared" si="219"/>
        <v>63.857600739706157</v>
      </c>
    </row>
    <row r="301" spans="14:47" x14ac:dyDescent="0.3">
      <c r="N301" s="8">
        <v>83</v>
      </c>
      <c r="O301" s="35">
        <f t="shared" si="220"/>
        <v>6760.8297539198229</v>
      </c>
      <c r="P301" s="34" t="str">
        <f t="shared" si="188"/>
        <v>324,571428571429</v>
      </c>
      <c r="Q301" s="4" t="str">
        <f t="shared" si="189"/>
        <v>1+970,961055409637i</v>
      </c>
      <c r="R301" s="4">
        <f t="shared" si="197"/>
        <v>970.96157036321267</v>
      </c>
      <c r="S301" s="4">
        <f t="shared" si="198"/>
        <v>1.5697664197344032</v>
      </c>
      <c r="T301" s="4" t="str">
        <f t="shared" si="190"/>
        <v>1+0,00849590923483432i</v>
      </c>
      <c r="U301" s="4">
        <f t="shared" si="199"/>
        <v>1.0000360895856342</v>
      </c>
      <c r="V301" s="4">
        <f t="shared" si="200"/>
        <v>8.4957048307688666E-3</v>
      </c>
      <c r="W301" t="str">
        <f t="shared" si="191"/>
        <v>1-0,0737492121079368i</v>
      </c>
      <c r="X301" s="4">
        <f t="shared" si="201"/>
        <v>1.0027157853981064</v>
      </c>
      <c r="Y301" s="4">
        <f t="shared" si="202"/>
        <v>-7.3615940750688433E-2</v>
      </c>
      <c r="Z301" t="str">
        <f t="shared" si="192"/>
        <v>0,999817164724154+0,063232574461345i</v>
      </c>
      <c r="AA301" s="4">
        <f t="shared" si="203"/>
        <v>1.0018147140814291</v>
      </c>
      <c r="AB301" s="4">
        <f t="shared" si="204"/>
        <v>6.3160017765005377E-2</v>
      </c>
      <c r="AC301" s="48" t="str">
        <f t="shared" si="205"/>
        <v>-0,0424620192015291-0,331885779834213i</v>
      </c>
      <c r="AD301" s="20">
        <f t="shared" si="206"/>
        <v>-9.5097127042074057</v>
      </c>
      <c r="AE301" s="44">
        <f t="shared" si="207"/>
        <v>-97.290907803156728</v>
      </c>
      <c r="AF301" t="str">
        <f t="shared" si="193"/>
        <v>-0,0000125211169631323</v>
      </c>
      <c r="AG301" t="str">
        <f t="shared" si="194"/>
        <v>0,000205303646659771i</v>
      </c>
      <c r="AH301">
        <f t="shared" si="208"/>
        <v>2.05303646659771E-4</v>
      </c>
      <c r="AI301">
        <f t="shared" si="209"/>
        <v>1.5707963267948966</v>
      </c>
      <c r="AJ301" t="str">
        <f t="shared" si="195"/>
        <v>1+0,328571774653704i</v>
      </c>
      <c r="AK301">
        <f t="shared" si="210"/>
        <v>1.0525965091615517</v>
      </c>
      <c r="AL301">
        <f t="shared" si="211"/>
        <v>0.31745904761472965</v>
      </c>
      <c r="AM301" t="str">
        <f t="shared" si="196"/>
        <v>1+48,1208299061016i</v>
      </c>
      <c r="AN301">
        <f t="shared" si="212"/>
        <v>48.131219295296916</v>
      </c>
      <c r="AO301">
        <f t="shared" si="213"/>
        <v>1.5500182959721958</v>
      </c>
      <c r="AP301" s="42" t="str">
        <f t="shared" si="214"/>
        <v>-2,6307532106606+0,925379534393543i</v>
      </c>
      <c r="AQ301">
        <f t="shared" si="215"/>
        <v>8.9082269445390292</v>
      </c>
      <c r="AR301" s="44">
        <f t="shared" si="216"/>
        <v>160.62044293069982</v>
      </c>
      <c r="AS301" s="42" t="str">
        <f t="shared" si="217"/>
        <v>0,418827401760377+0,833816097313332i</v>
      </c>
      <c r="AT301" s="20">
        <f t="shared" si="218"/>
        <v>-0.6014857596683747</v>
      </c>
      <c r="AU301" s="44">
        <f t="shared" si="219"/>
        <v>63.329535127543068</v>
      </c>
    </row>
    <row r="302" spans="14:47" x14ac:dyDescent="0.3">
      <c r="N302" s="8">
        <v>84</v>
      </c>
      <c r="O302" s="35">
        <f t="shared" si="220"/>
        <v>6918.3097091893687</v>
      </c>
      <c r="P302" s="34" t="str">
        <f t="shared" si="188"/>
        <v>324,571428571429</v>
      </c>
      <c r="Q302" s="4" t="str">
        <f t="shared" si="189"/>
        <v>1+993,577643778206i</v>
      </c>
      <c r="R302" s="4">
        <f t="shared" si="197"/>
        <v>993.57814701001337</v>
      </c>
      <c r="S302" s="4">
        <f t="shared" si="198"/>
        <v>1.5697898632652412</v>
      </c>
      <c r="T302" s="4" t="str">
        <f t="shared" si="190"/>
        <v>1+0,0086938043830593i</v>
      </c>
      <c r="U302" s="4">
        <f t="shared" si="199"/>
        <v>1.0000377904032682</v>
      </c>
      <c r="V302" s="4">
        <f t="shared" si="200"/>
        <v>8.6935853606041093E-3</v>
      </c>
      <c r="W302" t="str">
        <f t="shared" si="191"/>
        <v>1-0,0754670519362786i</v>
      </c>
      <c r="X302" s="4">
        <f t="shared" si="201"/>
        <v>1.0028435949478627</v>
      </c>
      <c r="Y302" s="4">
        <f t="shared" si="202"/>
        <v>-7.5324270964430798E-2</v>
      </c>
      <c r="Z302" t="str">
        <f t="shared" si="192"/>
        <v>0,999808547963071+0,0647054503301653i</v>
      </c>
      <c r="AA302" s="4">
        <f t="shared" si="203"/>
        <v>1.0019001586397986</v>
      </c>
      <c r="AB302" s="4">
        <f t="shared" si="204"/>
        <v>6.4627712369420415E-2</v>
      </c>
      <c r="AC302" s="48" t="str">
        <f t="shared" si="205"/>
        <v>-0,0424706497972721-0,324219354917298i</v>
      </c>
      <c r="AD302" s="20">
        <f t="shared" si="206"/>
        <v>-9.7093314479944652</v>
      </c>
      <c r="AE302" s="44">
        <f t="shared" si="207"/>
        <v>-97.462886117032483</v>
      </c>
      <c r="AF302" t="str">
        <f t="shared" si="193"/>
        <v>-0,0000125211169631323</v>
      </c>
      <c r="AG302" t="str">
        <f t="shared" si="194"/>
        <v>0,000210085782916628i</v>
      </c>
      <c r="AH302">
        <f t="shared" si="208"/>
        <v>2.10085782916628E-4</v>
      </c>
      <c r="AI302">
        <f t="shared" si="209"/>
        <v>1.5707963267948966</v>
      </c>
      <c r="AJ302" t="str">
        <f t="shared" si="195"/>
        <v>1+0,336225194464387i</v>
      </c>
      <c r="AK302">
        <f t="shared" si="210"/>
        <v>1.0550106072417542</v>
      </c>
      <c r="AL302">
        <f t="shared" si="211"/>
        <v>0.32435096753792314</v>
      </c>
      <c r="AM302" t="str">
        <f t="shared" si="196"/>
        <v>1+49,2417080256479i</v>
      </c>
      <c r="AN302">
        <f t="shared" si="212"/>
        <v>49.251860972791235</v>
      </c>
      <c r="AO302">
        <f t="shared" si="213"/>
        <v>1.5504911301914044</v>
      </c>
      <c r="AP302" s="42" t="str">
        <f t="shared" si="214"/>
        <v>-2,61872749243044+0,940082180865683i</v>
      </c>
      <c r="AQ302">
        <f t="shared" si="215"/>
        <v>8.8882445538732728</v>
      </c>
      <c r="AR302" s="44">
        <f t="shared" si="216"/>
        <v>160.25265641152879</v>
      </c>
      <c r="AS302" s="42" t="str">
        <f t="shared" si="217"/>
        <v>0,41601189649502+0,809116237215788i</v>
      </c>
      <c r="AT302" s="20">
        <f t="shared" si="218"/>
        <v>-0.82108689412119662</v>
      </c>
      <c r="AU302" s="44">
        <f t="shared" si="219"/>
        <v>62.789770294496307</v>
      </c>
    </row>
    <row r="303" spans="14:47" x14ac:dyDescent="0.3">
      <c r="N303" s="8">
        <v>85</v>
      </c>
      <c r="O303" s="35">
        <f t="shared" si="220"/>
        <v>7079.4578438413828</v>
      </c>
      <c r="P303" s="34" t="str">
        <f t="shared" si="188"/>
        <v>324,571428571429</v>
      </c>
      <c r="Q303" s="4" t="str">
        <f t="shared" si="189"/>
        <v>1+1016,72104016506i</v>
      </c>
      <c r="R303" s="4">
        <f t="shared" si="197"/>
        <v>1016.7215319419186</v>
      </c>
      <c r="S303" s="4">
        <f t="shared" si="198"/>
        <v>1.5698127731572358</v>
      </c>
      <c r="T303" s="4" t="str">
        <f t="shared" si="190"/>
        <v>1+0,00889630910144428i</v>
      </c>
      <c r="U303" s="4">
        <f t="shared" si="199"/>
        <v>1.0000395713748673</v>
      </c>
      <c r="V303" s="4">
        <f t="shared" si="200"/>
        <v>8.896074415156812E-3</v>
      </c>
      <c r="W303" t="str">
        <f t="shared" si="191"/>
        <v>1-0,0772249053944816i</v>
      </c>
      <c r="X303" s="4">
        <f t="shared" si="201"/>
        <v>1.0029774105198914</v>
      </c>
      <c r="Y303" s="4">
        <f t="shared" si="202"/>
        <v>-7.7071937345218167E-2</v>
      </c>
      <c r="Z303" t="str">
        <f t="shared" si="192"/>
        <v>0,999799525106549+0,0662126338852285i</v>
      </c>
      <c r="AA303" s="4">
        <f t="shared" si="203"/>
        <v>1.00198962234611</v>
      </c>
      <c r="AB303" s="4">
        <f t="shared" si="204"/>
        <v>6.6129345066270759E-2</v>
      </c>
      <c r="AC303" s="48" t="str">
        <f t="shared" si="205"/>
        <v>-0,0424782618151354-0,316724873702646i</v>
      </c>
      <c r="AD303" s="20">
        <f t="shared" si="206"/>
        <v>-9.9089324105535077</v>
      </c>
      <c r="AE303" s="44">
        <f t="shared" si="207"/>
        <v>-97.638768112453803</v>
      </c>
      <c r="AF303" t="str">
        <f t="shared" si="193"/>
        <v>-0,0000125211169631323</v>
      </c>
      <c r="AG303" t="str">
        <f t="shared" si="194"/>
        <v>0,000214979309436401i</v>
      </c>
      <c r="AH303">
        <f t="shared" si="208"/>
        <v>2.14979309436401E-4</v>
      </c>
      <c r="AI303">
        <f t="shared" si="209"/>
        <v>1.5707963267948966</v>
      </c>
      <c r="AJ303" t="str">
        <f t="shared" si="195"/>
        <v>1+0,34405688532364i</v>
      </c>
      <c r="AK303">
        <f t="shared" si="210"/>
        <v>1.0575325717624986</v>
      </c>
      <c r="AL303">
        <f t="shared" si="211"/>
        <v>0.33137050545411256</v>
      </c>
      <c r="AM303" t="str">
        <f t="shared" si="196"/>
        <v>1+50,3886947505804i</v>
      </c>
      <c r="AN303">
        <f t="shared" si="212"/>
        <v>50.39861663445901</v>
      </c>
      <c r="AO303">
        <f t="shared" si="213"/>
        <v>1.5509532101643779</v>
      </c>
      <c r="AP303" s="42" t="str">
        <f t="shared" si="214"/>
        <v>-2,60625229665607+0,954942405932015i</v>
      </c>
      <c r="AQ303">
        <f t="shared" si="215"/>
        <v>8.8674254478232211</v>
      </c>
      <c r="AR303" s="44">
        <f t="shared" si="216"/>
        <v>159.87694174704794</v>
      </c>
      <c r="AS303" s="42" t="str">
        <f t="shared" si="217"/>
        <v>0,413163080325773+0,784900635958069i</v>
      </c>
      <c r="AT303" s="20">
        <f t="shared" si="218"/>
        <v>-1.0415069627302889</v>
      </c>
      <c r="AU303" s="44">
        <f t="shared" si="219"/>
        <v>62.238173634594141</v>
      </c>
    </row>
    <row r="304" spans="14:47" x14ac:dyDescent="0.3">
      <c r="N304" s="8">
        <v>86</v>
      </c>
      <c r="O304" s="35">
        <f t="shared" si="220"/>
        <v>7244.3596007499036</v>
      </c>
      <c r="P304" s="34" t="str">
        <f t="shared" si="188"/>
        <v>324,571428571429</v>
      </c>
      <c r="Q304" s="4" t="str">
        <f t="shared" si="189"/>
        <v>1+1040,40351550531i</v>
      </c>
      <c r="R304" s="4">
        <f t="shared" si="197"/>
        <v>1040.4039960879657</v>
      </c>
      <c r="S304" s="4">
        <f t="shared" si="198"/>
        <v>1.5698351615574184</v>
      </c>
      <c r="T304" s="4" t="str">
        <f t="shared" si="190"/>
        <v>1+0,00910353076067144i</v>
      </c>
      <c r="U304" s="4">
        <f t="shared" si="199"/>
        <v>1.0000414362776726</v>
      </c>
      <c r="V304" s="4">
        <f t="shared" si="200"/>
        <v>9.1032792903464905E-3</v>
      </c>
      <c r="W304" t="str">
        <f t="shared" si="191"/>
        <v>1-0,0790237045197174i</v>
      </c>
      <c r="X304" s="4">
        <f t="shared" si="201"/>
        <v>1.0031175134928207</v>
      </c>
      <c r="Y304" s="4">
        <f t="shared" si="202"/>
        <v>-7.8859823801310597E-2</v>
      </c>
      <c r="Z304" t="str">
        <f t="shared" si="192"/>
        <v>0,9997900770159+0,0677549242552056i</v>
      </c>
      <c r="AA304" s="4">
        <f t="shared" si="203"/>
        <v>1.0020832938734623</v>
      </c>
      <c r="AB304" s="4">
        <f t="shared" si="204"/>
        <v>6.7665688668694296E-2</v>
      </c>
      <c r="AC304" s="48" t="str">
        <f t="shared" si="205"/>
        <v>-0,0424848717537398-0,309398365428353i</v>
      </c>
      <c r="AD304" s="20">
        <f t="shared" si="206"/>
        <v>-10.108514769078351</v>
      </c>
      <c r="AE304" s="44">
        <f t="shared" si="207"/>
        <v>-97.81864326093492</v>
      </c>
      <c r="AF304" t="str">
        <f t="shared" si="193"/>
        <v>-0,0000125211169631323</v>
      </c>
      <c r="AG304" t="str">
        <f t="shared" si="194"/>
        <v>0,000219986820831625i</v>
      </c>
      <c r="AH304">
        <f t="shared" si="208"/>
        <v>2.1998682083162501E-4</v>
      </c>
      <c r="AI304">
        <f t="shared" si="209"/>
        <v>1.5707963267948966</v>
      </c>
      <c r="AJ304" t="str">
        <f t="shared" si="195"/>
        <v>1+0,352070999697625i</v>
      </c>
      <c r="AK304">
        <f t="shared" si="210"/>
        <v>1.0601669627129895</v>
      </c>
      <c r="AL304">
        <f t="shared" si="211"/>
        <v>0.33851861526693255</v>
      </c>
      <c r="AM304" t="str">
        <f t="shared" si="196"/>
        <v>1+51,562398228443i</v>
      </c>
      <c r="AN304">
        <f t="shared" si="212"/>
        <v>51.572094305627552</v>
      </c>
      <c r="AO304">
        <f t="shared" si="213"/>
        <v>1.5514047801022837</v>
      </c>
      <c r="AP304" s="42" t="str">
        <f t="shared" si="214"/>
        <v>-2,59331592485356+0,96994890787438i</v>
      </c>
      <c r="AQ304">
        <f t="shared" si="215"/>
        <v>8.845738212287932</v>
      </c>
      <c r="AR304" s="44">
        <f t="shared" si="216"/>
        <v>159.49325827487434</v>
      </c>
      <c r="AS304" s="42" t="str">
        <f t="shared" si="217"/>
        <v>0,410277301129684+0,761159553230286i</v>
      </c>
      <c r="AT304" s="20">
        <f t="shared" si="218"/>
        <v>-1.2627765567904179</v>
      </c>
      <c r="AU304" s="44">
        <f t="shared" si="219"/>
        <v>61.67461501393943</v>
      </c>
    </row>
    <row r="305" spans="14:47" x14ac:dyDescent="0.3">
      <c r="N305" s="8">
        <v>87</v>
      </c>
      <c r="O305" s="35">
        <f t="shared" si="220"/>
        <v>7413.1024130091773</v>
      </c>
      <c r="P305" s="34" t="str">
        <f t="shared" si="188"/>
        <v>324,571428571429</v>
      </c>
      <c r="Q305" s="4" t="str">
        <f t="shared" si="189"/>
        <v>1+1064,63762656084i</v>
      </c>
      <c r="R305" s="4">
        <f t="shared" si="197"/>
        <v>1064.6380962041037</v>
      </c>
      <c r="S305" s="4">
        <f t="shared" si="198"/>
        <v>1.5698570403363257</v>
      </c>
      <c r="T305" s="4" t="str">
        <f t="shared" si="190"/>
        <v>1+0,00931557923240736i</v>
      </c>
      <c r="U305" s="4">
        <f t="shared" si="199"/>
        <v>1.000043389066912</v>
      </c>
      <c r="V305" s="4">
        <f t="shared" si="200"/>
        <v>9.3153097777308926E-3</v>
      </c>
      <c r="W305" t="str">
        <f t="shared" si="191"/>
        <v>1-0,0808644030590917i</v>
      </c>
      <c r="X305" s="4">
        <f t="shared" si="201"/>
        <v>1.0032641983456319</v>
      </c>
      <c r="Y305" s="4">
        <f t="shared" si="202"/>
        <v>-8.0688832547861397E-2</v>
      </c>
      <c r="Z305" t="str">
        <f t="shared" si="192"/>
        <v>0,999780183650457+0,0693331391828651i</v>
      </c>
      <c r="AA305" s="4">
        <f t="shared" si="203"/>
        <v>1.0021813707154468</v>
      </c>
      <c r="AB305" s="4">
        <f t="shared" si="204"/>
        <v>6.9237532736134755E-2</v>
      </c>
      <c r="AC305" s="48" t="str">
        <f t="shared" si="205"/>
        <v>-0,0424904940199228-0,302235948586484i</v>
      </c>
      <c r="AD305" s="20">
        <f t="shared" si="206"/>
        <v>-10.308077663554705</v>
      </c>
      <c r="AE305" s="44">
        <f t="shared" si="207"/>
        <v>-98.002602883558851</v>
      </c>
      <c r="AF305" t="str">
        <f t="shared" si="193"/>
        <v>-0,0000125211169631323</v>
      </c>
      <c r="AG305" t="str">
        <f t="shared" si="194"/>
        <v>0,000225110972151124i</v>
      </c>
      <c r="AH305">
        <f t="shared" si="208"/>
        <v>2.25110972151124E-4</v>
      </c>
      <c r="AI305">
        <f t="shared" si="209"/>
        <v>1.5707963267948966</v>
      </c>
      <c r="AJ305" t="str">
        <f t="shared" si="195"/>
        <v>1+0,360271786775859i</v>
      </c>
      <c r="AK305">
        <f t="shared" si="210"/>
        <v>1.0629185106802261</v>
      </c>
      <c r="AL305">
        <f t="shared" si="211"/>
        <v>0.34579616417868175</v>
      </c>
      <c r="AM305" t="str">
        <f t="shared" si="196"/>
        <v>1+52,7634407723553i</v>
      </c>
      <c r="AN305">
        <f t="shared" si="212"/>
        <v>52.772916179967218</v>
      </c>
      <c r="AO305">
        <f t="shared" si="213"/>
        <v>1.5518460786964008</v>
      </c>
      <c r="AP305" s="42" t="str">
        <f t="shared" si="214"/>
        <v>-2,57990681177293+0,985089612227612i</v>
      </c>
      <c r="AQ305">
        <f t="shared" si="215"/>
        <v>8.8231506424547632</v>
      </c>
      <c r="AR305" s="44">
        <f t="shared" si="216"/>
        <v>159.10156998397906</v>
      </c>
      <c r="AS305" s="42" t="str">
        <f t="shared" si="217"/>
        <v>0,4073510083519+0,737883638243478i</v>
      </c>
      <c r="AT305" s="20">
        <f t="shared" si="218"/>
        <v>-1.4849270210999368</v>
      </c>
      <c r="AU305" s="44">
        <f t="shared" si="219"/>
        <v>61.098967100420204</v>
      </c>
    </row>
    <row r="306" spans="14:47" x14ac:dyDescent="0.3">
      <c r="N306" s="8">
        <v>88</v>
      </c>
      <c r="O306" s="35">
        <f t="shared" si="220"/>
        <v>7585.7757502918394</v>
      </c>
      <c r="P306" s="34" t="str">
        <f t="shared" si="188"/>
        <v>324,571428571429</v>
      </c>
      <c r="Q306" s="4" t="str">
        <f t="shared" si="189"/>
        <v>1+1089,43622257812i</v>
      </c>
      <c r="R306" s="4">
        <f t="shared" si="197"/>
        <v>1089.4366815310025</v>
      </c>
      <c r="S306" s="4">
        <f t="shared" si="198"/>
        <v>1.569878421094292</v>
      </c>
      <c r="T306" s="4" t="str">
        <f t="shared" si="190"/>
        <v>1+0,00953256694755858i</v>
      </c>
      <c r="U306" s="4">
        <f t="shared" si="199"/>
        <v>1.000045433884186</v>
      </c>
      <c r="V306" s="4">
        <f t="shared" si="200"/>
        <v>9.5322782223793059E-3</v>
      </c>
      <c r="W306" t="str">
        <f t="shared" si="191"/>
        <v>1-0,0827479769753349i</v>
      </c>
      <c r="X306" s="4">
        <f t="shared" si="201"/>
        <v>1.0034177732597278</v>
      </c>
      <c r="Y306" s="4">
        <f t="shared" si="202"/>
        <v>-8.2559884373948095E-2</v>
      </c>
      <c r="Z306" t="str">
        <f t="shared" si="192"/>
        <v>0,999769824025065+0,0709481154586521i</v>
      </c>
      <c r="AA306" s="4">
        <f t="shared" si="203"/>
        <v>1.0022840595950049</v>
      </c>
      <c r="AB306" s="4">
        <f t="shared" si="204"/>
        <v>7.0845683876068086E-2</v>
      </c>
      <c r="AC306" s="48" t="str">
        <f t="shared" si="205"/>
        <v>-0,0424951409625119-0,295233828879346i</v>
      </c>
      <c r="AD306" s="20">
        <f t="shared" si="206"/>
        <v>-10.507620195149832</v>
      </c>
      <c r="AE306" s="44">
        <f t="shared" si="207"/>
        <v>-98.190740180609566</v>
      </c>
      <c r="AF306" t="str">
        <f t="shared" si="193"/>
        <v>-0,0000125211169631323</v>
      </c>
      <c r="AG306" t="str">
        <f t="shared" si="194"/>
        <v>0,000230354480287753i</v>
      </c>
      <c r="AH306">
        <f t="shared" si="208"/>
        <v>2.3035448028775301E-4</v>
      </c>
      <c r="AI306">
        <f t="shared" si="209"/>
        <v>1.5707963267948966</v>
      </c>
      <c r="AJ306" t="str">
        <f t="shared" si="195"/>
        <v>1+0,368663594724202i</v>
      </c>
      <c r="AK306">
        <f t="shared" si="210"/>
        <v>1.0657921214171977</v>
      </c>
      <c r="AL306">
        <f t="shared" si="211"/>
        <v>0.353203926377541</v>
      </c>
      <c r="AM306" t="str">
        <f t="shared" si="196"/>
        <v>1+53,9924591909718i</v>
      </c>
      <c r="AN306">
        <f t="shared" si="212"/>
        <v>54.001718949388597</v>
      </c>
      <c r="AO306">
        <f t="shared" si="213"/>
        <v>1.5522773392411668</v>
      </c>
      <c r="AP306" s="42" t="str">
        <f t="shared" si="214"/>
        <v>-2,5660135705853+1,00035165174121i</v>
      </c>
      <c r="AQ306">
        <f t="shared" si="215"/>
        <v>8.7996297531304375</v>
      </c>
      <c r="AR306" s="44">
        <f t="shared" si="216"/>
        <v>158.70184588343332</v>
      </c>
      <c r="AS306" s="42" t="str">
        <f t="shared" si="217"/>
        <v>0,404380756763076+0,715063926947436i</v>
      </c>
      <c r="AT306" s="20">
        <f t="shared" si="218"/>
        <v>-1.707990442019397</v>
      </c>
      <c r="AU306" s="44">
        <f t="shared" si="219"/>
        <v>60.511105702823791</v>
      </c>
    </row>
    <row r="307" spans="14:47" x14ac:dyDescent="0.3">
      <c r="N307" s="8">
        <v>89</v>
      </c>
      <c r="O307" s="35">
        <f t="shared" si="220"/>
        <v>7762.4711662869322</v>
      </c>
      <c r="P307" s="34" t="str">
        <f t="shared" si="188"/>
        <v>324,571428571429</v>
      </c>
      <c r="Q307" s="4" t="str">
        <f t="shared" si="189"/>
        <v>1+1114,81245210101i</v>
      </c>
      <c r="R307" s="4">
        <f t="shared" si="197"/>
        <v>1114.8129006068536</v>
      </c>
      <c r="S307" s="4">
        <f t="shared" si="198"/>
        <v>1.5698993151675997</v>
      </c>
      <c r="T307" s="4" t="str">
        <f t="shared" si="190"/>
        <v>1+0,00975460895588384i</v>
      </c>
      <c r="U307" s="4">
        <f t="shared" si="199"/>
        <v>1.0000475750662476</v>
      </c>
      <c r="V307" s="4">
        <f t="shared" si="200"/>
        <v>9.7542995820752293E-3</v>
      </c>
      <c r="W307" t="str">
        <f t="shared" si="191"/>
        <v>1-0,0846754249642694i</v>
      </c>
      <c r="X307" s="4">
        <f t="shared" si="201"/>
        <v>1.0035785607479264</v>
      </c>
      <c r="Y307" s="4">
        <f t="shared" si="202"/>
        <v>-8.4473918904879389E-2</v>
      </c>
      <c r="Z307" t="str">
        <f t="shared" si="192"/>
        <v>0,99975897616557+0,0726007093643646i</v>
      </c>
      <c r="AA307" s="4">
        <f t="shared" si="203"/>
        <v>1.0023915768919041</v>
      </c>
      <c r="AB307" s="4">
        <f t="shared" si="204"/>
        <v>7.2490966046604891E-2</v>
      </c>
      <c r="AC307" s="48" t="str">
        <f t="shared" si="205"/>
        <v>-0,0424988229020323-0,288388297222917i</v>
      </c>
      <c r="AD307" s="20">
        <f t="shared" si="206"/>
        <v>-10.70714142454028</v>
      </c>
      <c r="AE307" s="44">
        <f t="shared" si="207"/>
        <v>-98.383150260899143</v>
      </c>
      <c r="AF307" t="str">
        <f t="shared" si="193"/>
        <v>-0,0000125211169631323</v>
      </c>
      <c r="AG307" t="str">
        <f t="shared" si="194"/>
        <v>0,000235720125418933i</v>
      </c>
      <c r="AH307">
        <f t="shared" si="208"/>
        <v>2.35720125418933E-4</v>
      </c>
      <c r="AI307">
        <f t="shared" si="209"/>
        <v>1.5707963267948966</v>
      </c>
      <c r="AJ307" t="str">
        <f t="shared" si="195"/>
        <v>1+0,377250872990309i</v>
      </c>
      <c r="AK307">
        <f t="shared" si="210"/>
        <v>1.0687928803898117</v>
      </c>
      <c r="AL307">
        <f t="shared" si="211"/>
        <v>0.36074257657753001</v>
      </c>
      <c r="AM307" t="str">
        <f t="shared" si="196"/>
        <v>1+55,2501051261261i</v>
      </c>
      <c r="AN307">
        <f t="shared" si="212"/>
        <v>55.259154141626034</v>
      </c>
      <c r="AO307">
        <f t="shared" si="213"/>
        <v>1.5526987897545972</v>
      </c>
      <c r="AP307" s="42" t="str">
        <f t="shared" si="214"/>
        <v>-2,55162504108546+1,01572134845369i</v>
      </c>
      <c r="AQ307">
        <f t="shared" si="215"/>
        <v>8.7751417922911195</v>
      </c>
      <c r="AR307" s="44">
        <f t="shared" si="216"/>
        <v>158.29406037944173</v>
      </c>
      <c r="AS307" s="42" t="str">
        <f t="shared" si="217"/>
        <v>0,401363210867007+0,692691839044244i</v>
      </c>
      <c r="AT307" s="20">
        <f t="shared" si="218"/>
        <v>-1.9319996322491635</v>
      </c>
      <c r="AU307" s="44">
        <f t="shared" si="219"/>
        <v>59.910910118542532</v>
      </c>
    </row>
    <row r="308" spans="14:47" x14ac:dyDescent="0.3">
      <c r="N308" s="8">
        <v>90</v>
      </c>
      <c r="O308" s="35">
        <f t="shared" si="220"/>
        <v>7943.2823472428154</v>
      </c>
      <c r="P308" s="34" t="str">
        <f t="shared" si="188"/>
        <v>324,571428571429</v>
      </c>
      <c r="Q308" s="4" t="str">
        <f t="shared" si="189"/>
        <v>1+1140,77976994229i</v>
      </c>
      <c r="R308" s="4">
        <f t="shared" si="197"/>
        <v>1140.7802082388982</v>
      </c>
      <c r="S308" s="4">
        <f t="shared" si="198"/>
        <v>1.5699197336344901</v>
      </c>
      <c r="T308" s="4" t="str">
        <f t="shared" si="190"/>
        <v>1+0,009981822986995i</v>
      </c>
      <c r="U308" s="4">
        <f t="shared" si="199"/>
        <v>1.0000498171541974</v>
      </c>
      <c r="V308" s="4">
        <f t="shared" si="200"/>
        <v>9.9814914878784099E-3</v>
      </c>
      <c r="W308" t="str">
        <f t="shared" si="191"/>
        <v>1-0,0866477689843316i</v>
      </c>
      <c r="X308" s="4">
        <f t="shared" si="201"/>
        <v>1.0037468983115028</v>
      </c>
      <c r="Y308" s="4">
        <f t="shared" si="202"/>
        <v>-8.6431894858943717E-2</v>
      </c>
      <c r="Z308" t="str">
        <f t="shared" si="192"/>
        <v>0,999747617062208+0,0742917971271658i</v>
      </c>
      <c r="AA308" s="4">
        <f t="shared" si="203"/>
        <v>1.002504149089642</v>
      </c>
      <c r="AB308" s="4">
        <f t="shared" si="204"/>
        <v>7.4174220859573772E-2</v>
      </c>
      <c r="AC308" s="48" t="str">
        <f t="shared" si="205"/>
        <v>-0,0425015481564502-0,281695727796466i</v>
      </c>
      <c r="AD308" s="20">
        <f t="shared" si="206"/>
        <v>-10.906640370175122</v>
      </c>
      <c r="AE308" s="44">
        <f t="shared" si="207"/>
        <v>-98.579930170718242</v>
      </c>
      <c r="AF308" t="str">
        <f t="shared" si="193"/>
        <v>-0,0000125211169631323</v>
      </c>
      <c r="AG308" t="str">
        <f t="shared" si="194"/>
        <v>0,000241210752480734i</v>
      </c>
      <c r="AH308">
        <f t="shared" si="208"/>
        <v>2.41210752480734E-4</v>
      </c>
      <c r="AI308">
        <f t="shared" si="209"/>
        <v>1.5707963267948966</v>
      </c>
      <c r="AJ308" t="str">
        <f t="shared" si="195"/>
        <v>1+0,386038174662779i</v>
      </c>
      <c r="AK308">
        <f t="shared" si="210"/>
        <v>1.0719260572898535</v>
      </c>
      <c r="AL308">
        <f t="shared" si="211"/>
        <v>0.36841268342909811</v>
      </c>
      <c r="AM308" t="str">
        <f t="shared" si="196"/>
        <v>1+56,5370453983397i</v>
      </c>
      <c r="AN308">
        <f t="shared" si="212"/>
        <v>56.545888465687085</v>
      </c>
      <c r="AO308">
        <f t="shared" si="213"/>
        <v>1.5531106530961227</v>
      </c>
      <c r="AP308" s="42" t="str">
        <f t="shared" si="214"/>
        <v>-2,53673034088945+1,03118419820216i</v>
      </c>
      <c r="AQ308">
        <f t="shared" si="215"/>
        <v>8.7496522580578855</v>
      </c>
      <c r="AR308" s="44">
        <f t="shared" si="216"/>
        <v>157.87819365963821</v>
      </c>
      <c r="AS308" s="42" t="str">
        <f t="shared" si="217"/>
        <v>0,398295149948014+0,670759174742171i</v>
      </c>
      <c r="AT308" s="20">
        <f t="shared" si="218"/>
        <v>-2.1569881121172396</v>
      </c>
      <c r="AU308" s="44">
        <f t="shared" si="219"/>
        <v>59.298263488919943</v>
      </c>
    </row>
    <row r="309" spans="14:47" x14ac:dyDescent="0.3">
      <c r="N309" s="8">
        <v>91</v>
      </c>
      <c r="O309" s="35">
        <f t="shared" si="220"/>
        <v>8128.3051616410066</v>
      </c>
      <c r="P309" s="34" t="str">
        <f t="shared" si="188"/>
        <v>324,571428571429</v>
      </c>
      <c r="Q309" s="4" t="str">
        <f t="shared" si="189"/>
        <v>1+1167,3519443176i</v>
      </c>
      <c r="R309" s="4">
        <f t="shared" si="197"/>
        <v>1167.3523726373633</v>
      </c>
      <c r="S309" s="4">
        <f t="shared" si="198"/>
        <v>1.5699396873210367</v>
      </c>
      <c r="T309" s="4" t="str">
        <f t="shared" si="190"/>
        <v>1+0,010214329512779i</v>
      </c>
      <c r="U309" s="4">
        <f t="shared" si="199"/>
        <v>1.0000521649031093</v>
      </c>
      <c r="V309" s="4">
        <f t="shared" si="200"/>
        <v>1.0213974306076595E-2</v>
      </c>
      <c r="W309" t="str">
        <f t="shared" si="191"/>
        <v>1-0,0886660547984285i</v>
      </c>
      <c r="X309" s="4">
        <f t="shared" si="201"/>
        <v>1.0039231391264563</v>
      </c>
      <c r="Y309" s="4">
        <f t="shared" si="202"/>
        <v>-8.8434790297695728E-2</v>
      </c>
      <c r="Z309" t="str">
        <f t="shared" si="192"/>
        <v>0,999735722620797+0,0760222753841725i</v>
      </c>
      <c r="AA309" s="4">
        <f t="shared" si="203"/>
        <v>1.0026220132426347</v>
      </c>
      <c r="AB309" s="4">
        <f t="shared" si="204"/>
        <v>7.5896307883648956E-2</v>
      </c>
      <c r="AC309" s="48" t="str">
        <f t="shared" si="205"/>
        <v>-0,0425033230630288-0,275152576137365i</v>
      </c>
      <c r="AD309" s="20">
        <f t="shared" si="206"/>
        <v>-11.106116006474076</v>
      </c>
      <c r="AE309" s="44">
        <f t="shared" si="207"/>
        <v>-98.781178922331264</v>
      </c>
      <c r="AF309" t="str">
        <f t="shared" si="193"/>
        <v>-0,0000125211169631323</v>
      </c>
      <c r="AG309" t="str">
        <f t="shared" si="194"/>
        <v>0,000246829272676303i</v>
      </c>
      <c r="AH309">
        <f t="shared" si="208"/>
        <v>2.4682927267630298E-4</v>
      </c>
      <c r="AI309">
        <f t="shared" si="209"/>
        <v>1.5707963267948966</v>
      </c>
      <c r="AJ309" t="str">
        <f t="shared" si="195"/>
        <v>1+0,395030158885277i</v>
      </c>
      <c r="AK309">
        <f t="shared" si="210"/>
        <v>1.0751971105006408</v>
      </c>
      <c r="AL309">
        <f t="shared" si="211"/>
        <v>0.37621470282086777</v>
      </c>
      <c r="AM309" t="str">
        <f t="shared" si="196"/>
        <v>1+57,85396236038i</v>
      </c>
      <c r="AN309">
        <f t="shared" si="212"/>
        <v>57.862604165352479</v>
      </c>
      <c r="AO309">
        <f t="shared" si="213"/>
        <v>1.5535131470818988</v>
      </c>
      <c r="AP309" s="42" t="str">
        <f t="shared" si="214"/>
        <v>-2,52131891957744+1,04672485790421i</v>
      </c>
      <c r="AQ309">
        <f t="shared" si="215"/>
        <v>8.7231259193004576</v>
      </c>
      <c r="AR309" s="44">
        <f t="shared" si="216"/>
        <v>157.45423208347492</v>
      </c>
      <c r="AS309" s="42" t="str">
        <f t="shared" si="217"/>
        <v>0,395173473743087+0,649258111192005i</v>
      </c>
      <c r="AT309" s="20">
        <f t="shared" si="218"/>
        <v>-2.382990087173618</v>
      </c>
      <c r="AU309" s="44">
        <f t="shared" si="219"/>
        <v>58.673053161143677</v>
      </c>
    </row>
    <row r="310" spans="14:47" x14ac:dyDescent="0.3">
      <c r="N310" s="8">
        <v>92</v>
      </c>
      <c r="O310" s="35">
        <f t="shared" si="220"/>
        <v>8317.6377110267094</v>
      </c>
      <c r="P310" s="34" t="str">
        <f t="shared" si="188"/>
        <v>324,571428571429</v>
      </c>
      <c r="Q310" s="4" t="str">
        <f t="shared" si="189"/>
        <v>1+1194,54306414551i</v>
      </c>
      <c r="R310" s="4">
        <f t="shared" si="197"/>
        <v>1194.5434827155284</v>
      </c>
      <c r="S310" s="4">
        <f t="shared" si="198"/>
        <v>1.5699591868068843</v>
      </c>
      <c r="T310" s="4" t="str">
        <f t="shared" si="190"/>
        <v>1+0,0104522518112732i</v>
      </c>
      <c r="U310" s="4">
        <f t="shared" si="199"/>
        <v>1.000054623292111</v>
      </c>
      <c r="V310" s="4">
        <f t="shared" si="200"/>
        <v>1.0451871201557012E-2</v>
      </c>
      <c r="W310" t="str">
        <f t="shared" si="191"/>
        <v>1-0,090731352528413i</v>
      </c>
      <c r="X310" s="4">
        <f t="shared" si="201"/>
        <v>1.0041076527602184</v>
      </c>
      <c r="Y310" s="4">
        <f t="shared" si="202"/>
        <v>-9.0483602868805288E-2</v>
      </c>
      <c r="Z310" t="str">
        <f t="shared" si="192"/>
        <v>0,999723267611632+0,0777930616578613i</v>
      </c>
      <c r="AA310" s="4">
        <f t="shared" si="203"/>
        <v>1.0027454174645638</v>
      </c>
      <c r="AB310" s="4">
        <f t="shared" si="204"/>
        <v>7.7658104947041756E-2</v>
      </c>
      <c r="AC310" s="48" t="str">
        <f t="shared" si="205"/>
        <v>-0,0425041519963788-0,26875537728016i</v>
      </c>
      <c r="AD310" s="20">
        <f t="shared" si="206"/>
        <v>-11.30556726195881</v>
      </c>
      <c r="AE310" s="44">
        <f t="shared" si="207"/>
        <v>-98.986997521931613</v>
      </c>
      <c r="AF310" t="str">
        <f t="shared" si="193"/>
        <v>-0,0000125211169631323</v>
      </c>
      <c r="AG310" t="str">
        <f t="shared" si="194"/>
        <v>0,000252578665019416i</v>
      </c>
      <c r="AH310">
        <f t="shared" si="208"/>
        <v>2.5257866501941599E-4</v>
      </c>
      <c r="AI310">
        <f t="shared" si="209"/>
        <v>1.5707963267948966</v>
      </c>
      <c r="AJ310" t="str">
        <f t="shared" si="195"/>
        <v>1+0,404231593326856i</v>
      </c>
      <c r="AK310">
        <f t="shared" si="210"/>
        <v>1.0786116915014266</v>
      </c>
      <c r="AL310">
        <f t="shared" si="211"/>
        <v>0.38414897109569529</v>
      </c>
      <c r="AM310" t="str">
        <f t="shared" si="196"/>
        <v>1+59,2015542590513i</v>
      </c>
      <c r="AN310">
        <f t="shared" si="212"/>
        <v>59.209999380910268</v>
      </c>
      <c r="AO310">
        <f t="shared" si="213"/>
        <v>1.5539064845976278</v>
      </c>
      <c r="AP310" s="42" t="str">
        <f t="shared" si="214"/>
        <v>-2,50538061570023+1,062327135962i</v>
      </c>
      <c r="AQ310">
        <f t="shared" si="215"/>
        <v>8.6955268400685544</v>
      </c>
      <c r="AR310" s="44">
        <f t="shared" si="216"/>
        <v>157.02216857737804</v>
      </c>
      <c r="AS310" s="42" t="str">
        <f t="shared" si="217"/>
        <v>0,391995208718923+0,628181198546108i</v>
      </c>
      <c r="AT310" s="20">
        <f t="shared" si="218"/>
        <v>-2.6100404218902611</v>
      </c>
      <c r="AU310" s="44">
        <f t="shared" si="219"/>
        <v>58.035171055446384</v>
      </c>
    </row>
    <row r="311" spans="14:47" x14ac:dyDescent="0.3">
      <c r="N311" s="8">
        <v>93</v>
      </c>
      <c r="O311" s="35">
        <f t="shared" si="220"/>
        <v>8511.3803820237772</v>
      </c>
      <c r="P311" s="34" t="str">
        <f t="shared" si="188"/>
        <v>324,571428571429</v>
      </c>
      <c r="Q311" s="4" t="str">
        <f t="shared" si="189"/>
        <v>1+1222,36754651768i</v>
      </c>
      <c r="R311" s="4">
        <f t="shared" si="197"/>
        <v>1222.3679555598849</v>
      </c>
      <c r="S311" s="4">
        <f t="shared" si="198"/>
        <v>1.5699782424308595</v>
      </c>
      <c r="T311" s="4" t="str">
        <f t="shared" si="190"/>
        <v>1+0,0106957160320297i</v>
      </c>
      <c r="U311" s="4">
        <f t="shared" si="199"/>
        <v>1.0000571975349399</v>
      </c>
      <c r="V311" s="4">
        <f t="shared" si="200"/>
        <v>1.0695308202630819E-2</v>
      </c>
      <c r="W311" t="str">
        <f t="shared" si="191"/>
        <v>1-0,0928447572224799i</v>
      </c>
      <c r="X311" s="4">
        <f t="shared" si="201"/>
        <v>1.0043008259200532</v>
      </c>
      <c r="Y311" s="4">
        <f t="shared" si="202"/>
        <v>-9.257935004043126E-2</v>
      </c>
      <c r="Z311" t="str">
        <f t="shared" si="192"/>
        <v>0,99971022561597+0,0796050948425542i</v>
      </c>
      <c r="AA311" s="4">
        <f t="shared" si="203"/>
        <v>1.0028746214388047</v>
      </c>
      <c r="AB311" s="4">
        <f t="shared" si="204"/>
        <v>7.946050843924847E-2</v>
      </c>
      <c r="AC311" s="48" t="str">
        <f t="shared" si="205"/>
        <v>-0,0425040373827861-0,262500743939033i</v>
      </c>
      <c r="AD311" s="20">
        <f t="shared" si="206"/>
        <v>-11.504993017314618</v>
      </c>
      <c r="AE311" s="44">
        <f t="shared" si="207"/>
        <v>-99.197488996966257</v>
      </c>
      <c r="AF311" t="str">
        <f t="shared" si="193"/>
        <v>-0,0000125211169631323</v>
      </c>
      <c r="AG311" t="str">
        <f t="shared" si="194"/>
        <v>0,000258461977913997i</v>
      </c>
      <c r="AH311">
        <f t="shared" si="208"/>
        <v>2.5846197791399699E-4</v>
      </c>
      <c r="AI311">
        <f t="shared" si="209"/>
        <v>1.5707963267948966</v>
      </c>
      <c r="AJ311" t="str">
        <f t="shared" si="195"/>
        <v>1+0,413647356709856i</v>
      </c>
      <c r="AK311">
        <f t="shared" si="210"/>
        <v>1.0821756491961232</v>
      </c>
      <c r="AL311">
        <f t="shared" si="211"/>
        <v>0.39221569820712682</v>
      </c>
      <c r="AM311" t="str">
        <f t="shared" si="196"/>
        <v>1+60,5805356054161i</v>
      </c>
      <c r="AN311">
        <f t="shared" si="212"/>
        <v>60.588788519321703</v>
      </c>
      <c r="AO311">
        <f t="shared" si="213"/>
        <v>1.5542908737089485</v>
      </c>
      <c r="AP311" s="42" t="str">
        <f t="shared" si="214"/>
        <v>-2,48890571653206+1,07797398614883i</v>
      </c>
      <c r="AQ311">
        <f t="shared" si="215"/>
        <v>8.6668184080423192</v>
      </c>
      <c r="AR311" s="44">
        <f t="shared" si="216"/>
        <v>156.58200303317878</v>
      </c>
      <c r="AS311" s="42" t="str">
        <f t="shared" si="217"/>
        <v>0,388757514928701+0,607521355578837i</v>
      </c>
      <c r="AT311" s="20">
        <f t="shared" si="218"/>
        <v>-2.8381746092722993</v>
      </c>
      <c r="AU311" s="44">
        <f t="shared" si="219"/>
        <v>57.384514036212565</v>
      </c>
    </row>
    <row r="312" spans="14:47" x14ac:dyDescent="0.3">
      <c r="N312" s="8">
        <v>94</v>
      </c>
      <c r="O312" s="35">
        <f t="shared" si="220"/>
        <v>8709.6358995608189</v>
      </c>
      <c r="P312" s="34" t="str">
        <f t="shared" si="188"/>
        <v>324,571428571429</v>
      </c>
      <c r="Q312" s="4" t="str">
        <f t="shared" si="189"/>
        <v>1+1250,84014434296i</v>
      </c>
      <c r="R312" s="4">
        <f t="shared" si="197"/>
        <v>1250.8405440742304</v>
      </c>
      <c r="S312" s="4">
        <f t="shared" si="198"/>
        <v>1.5699968642964504</v>
      </c>
      <c r="T312" s="4" t="str">
        <f t="shared" si="190"/>
        <v>1+0,0109448512630009i</v>
      </c>
      <c r="U312" s="4">
        <f t="shared" si="199"/>
        <v>1.0000598930909934</v>
      </c>
      <c r="V312" s="4">
        <f t="shared" si="200"/>
        <v>1.0944414267340241E-2</v>
      </c>
      <c r="W312" t="str">
        <f t="shared" si="191"/>
        <v>1-0,0950073894357715i</v>
      </c>
      <c r="X312" s="4">
        <f t="shared" si="201"/>
        <v>1.0045030632344534</v>
      </c>
      <c r="Y312" s="4">
        <f t="shared" si="202"/>
        <v>-9.4723069325985176E-2</v>
      </c>
      <c r="Z312" t="str">
        <f t="shared" si="192"/>
        <v>0,999696568969988+0,0814593357022304i</v>
      </c>
      <c r="AA312" s="4">
        <f t="shared" si="203"/>
        <v>1.0030098969518768</v>
      </c>
      <c r="AB312" s="4">
        <f t="shared" si="204"/>
        <v>8.1304433611281368E-2</v>
      </c>
      <c r="AC312" s="48" t="str">
        <f t="shared" si="205"/>
        <v>-0,0425029797108755-0,256385364732712i</v>
      </c>
      <c r="AD312" s="20">
        <f t="shared" si="206"/>
        <v>-11.704392103382821</v>
      </c>
      <c r="AE312" s="44">
        <f t="shared" si="207"/>
        <v>-99.412758422730775</v>
      </c>
      <c r="AF312" t="str">
        <f t="shared" si="193"/>
        <v>-0,0000125211169631323</v>
      </c>
      <c r="AG312" t="str">
        <f t="shared" si="194"/>
        <v>0,000264482330770416i</v>
      </c>
      <c r="AH312">
        <f t="shared" si="208"/>
        <v>2.6448233077041601E-4</v>
      </c>
      <c r="AI312">
        <f t="shared" si="209"/>
        <v>1.5707963267948966</v>
      </c>
      <c r="AJ312" t="str">
        <f t="shared" si="195"/>
        <v>1+0,423282441396652i</v>
      </c>
      <c r="AK312">
        <f t="shared" si="210"/>
        <v>1.0858950341514184</v>
      </c>
      <c r="AL312">
        <f t="shared" si="211"/>
        <v>0.4004149608450891</v>
      </c>
      <c r="AM312" t="str">
        <f t="shared" si="196"/>
        <v>1+61,991637553637i</v>
      </c>
      <c r="AN312">
        <f t="shared" si="212"/>
        <v>61.999702633008631</v>
      </c>
      <c r="AO312">
        <f t="shared" si="213"/>
        <v>1.5546665177694312</v>
      </c>
      <c r="AP312" s="42" t="str">
        <f t="shared" si="214"/>
        <v>-2,4718850204145+1,09364750534553i</v>
      </c>
      <c r="AQ312">
        <f t="shared" si="215"/>
        <v>8.6369633671850572</v>
      </c>
      <c r="AR312" s="44">
        <f t="shared" si="216"/>
        <v>156.133742708169</v>
      </c>
      <c r="AS312" s="42" t="str">
        <f t="shared" si="217"/>
        <v>0,385457693417329+0,587271864805748i</v>
      </c>
      <c r="AT312" s="20">
        <f t="shared" si="218"/>
        <v>-3.0674287361977646</v>
      </c>
      <c r="AU312" s="44">
        <f t="shared" si="219"/>
        <v>56.720984285438206</v>
      </c>
    </row>
    <row r="313" spans="14:47" x14ac:dyDescent="0.3">
      <c r="N313" s="8">
        <v>95</v>
      </c>
      <c r="O313" s="35">
        <f t="shared" si="220"/>
        <v>8912.5093813374679</v>
      </c>
      <c r="P313" s="34" t="str">
        <f t="shared" si="188"/>
        <v>324,571428571429</v>
      </c>
      <c r="Q313" s="4" t="str">
        <f t="shared" si="189"/>
        <v>1+1279,9759541696i</v>
      </c>
      <c r="R313" s="4">
        <f t="shared" si="197"/>
        <v>1279.9763448018787</v>
      </c>
      <c r="S313" s="4">
        <f t="shared" si="198"/>
        <v>1.5700150622771654</v>
      </c>
      <c r="T313" s="4" t="str">
        <f t="shared" si="190"/>
        <v>1+0,011199789598984i</v>
      </c>
      <c r="U313" s="4">
        <f t="shared" si="199"/>
        <v>1.0000627156769026</v>
      </c>
      <c r="V313" s="4">
        <f t="shared" si="200"/>
        <v>1.119932135128324E-2</v>
      </c>
      <c r="W313" t="str">
        <f t="shared" si="191"/>
        <v>1-0,0972203958245135i</v>
      </c>
      <c r="X313" s="4">
        <f t="shared" si="201"/>
        <v>1.0047147880688705</v>
      </c>
      <c r="Y313" s="4">
        <f t="shared" si="202"/>
        <v>-9.6915818498091777E-2</v>
      </c>
      <c r="Z313" t="str">
        <f t="shared" si="192"/>
        <v>0,99968226870611+0,0833567673799378i</v>
      </c>
      <c r="AA313" s="4">
        <f t="shared" si="203"/>
        <v>1.0031515284509258</v>
      </c>
      <c r="AB313" s="4">
        <f t="shared" si="204"/>
        <v>8.319081487378048E-2</v>
      </c>
      <c r="AC313" s="48" t="str">
        <f t="shared" si="205"/>
        <v>-0,0425009775386869-0,250406002451018i</v>
      </c>
      <c r="AD313" s="20">
        <f t="shared" si="206"/>
        <v>-11.903763299081289</v>
      </c>
      <c r="AE313" s="44">
        <f t="shared" si="207"/>
        <v>-99.632912948129729</v>
      </c>
      <c r="AF313" t="str">
        <f t="shared" si="193"/>
        <v>-0,0000125211169631323</v>
      </c>
      <c r="AG313" t="str">
        <f t="shared" si="194"/>
        <v>0,000270642915659447i</v>
      </c>
      <c r="AH313">
        <f t="shared" si="208"/>
        <v>2.70642915659447E-4</v>
      </c>
      <c r="AI313">
        <f t="shared" si="209"/>
        <v>1.5707963267948966</v>
      </c>
      <c r="AJ313" t="str">
        <f t="shared" si="195"/>
        <v>1+0,433141956036683i</v>
      </c>
      <c r="AK313">
        <f t="shared" si="210"/>
        <v>1.0897761027290347</v>
      </c>
      <c r="AL313">
        <f t="shared" si="211"/>
        <v>0.40874669556268328</v>
      </c>
      <c r="AM313" t="str">
        <f t="shared" si="196"/>
        <v>1+63,4356082886451i</v>
      </c>
      <c r="AN313">
        <f t="shared" si="212"/>
        <v>63.443489807468978</v>
      </c>
      <c r="AO313">
        <f t="shared" si="213"/>
        <v>1.5550336155262334</v>
      </c>
      <c r="AP313" s="42" t="str">
        <f t="shared" si="214"/>
        <v>-2,45430990149494+1,10932893549769i</v>
      </c>
      <c r="AQ313">
        <f t="shared" si="215"/>
        <v>8.6059238547688679</v>
      </c>
      <c r="AR313" s="44">
        <f t="shared" si="216"/>
        <v>155.67740262496179</v>
      </c>
      <c r="AS313" s="42" t="str">
        <f t="shared" si="217"/>
        <v>0,382093194137633+0,567426367038697i</v>
      </c>
      <c r="AT313" s="20">
        <f t="shared" si="218"/>
        <v>-3.2978394443124213</v>
      </c>
      <c r="AU313" s="44">
        <f t="shared" si="219"/>
        <v>56.044489676832072</v>
      </c>
    </row>
    <row r="314" spans="14:47" x14ac:dyDescent="0.3">
      <c r="N314" s="8">
        <v>96</v>
      </c>
      <c r="O314" s="35">
        <f t="shared" si="220"/>
        <v>9120.1083935591087</v>
      </c>
      <c r="P314" s="34" t="str">
        <f t="shared" si="188"/>
        <v>324,571428571429</v>
      </c>
      <c r="Q314" s="4" t="str">
        <f t="shared" si="189"/>
        <v>1+1309,79042418962i</v>
      </c>
      <c r="R314" s="4">
        <f t="shared" si="197"/>
        <v>1309.790805930025</v>
      </c>
      <c r="S314" s="4">
        <f t="shared" si="198"/>
        <v>1.5700328460217663</v>
      </c>
      <c r="T314" s="4" t="str">
        <f t="shared" si="190"/>
        <v>1+0,0114606662116592i</v>
      </c>
      <c r="U314" s="4">
        <f t="shared" si="199"/>
        <v>1.0000656712786491</v>
      </c>
      <c r="V314" s="4">
        <f t="shared" si="200"/>
        <v>1.1460164476987644E-2</v>
      </c>
      <c r="W314" t="str">
        <f t="shared" si="191"/>
        <v>1-0,0994849497539858i</v>
      </c>
      <c r="X314" s="4">
        <f t="shared" si="201"/>
        <v>1.0049364433771686</v>
      </c>
      <c r="Y314" s="4">
        <f t="shared" si="202"/>
        <v>-9.9158675790443268E-2</v>
      </c>
      <c r="Z314" t="str">
        <f t="shared" si="192"/>
        <v>0,999667294491559+0,0852983959190673i</v>
      </c>
      <c r="AA314" s="4">
        <f t="shared" si="203"/>
        <v>1.0032998136262359</v>
      </c>
      <c r="AB314" s="4">
        <f t="shared" si="204"/>
        <v>8.5120606092339623E-2</v>
      </c>
      <c r="AC314" s="48" t="str">
        <f t="shared" si="205"/>
        <v>-0,0424980274972233-0,244559492362213i</v>
      </c>
      <c r="AD314" s="20">
        <f t="shared" si="206"/>
        <v>-12.103105329251918</v>
      </c>
      <c r="AE314" s="44">
        <f t="shared" si="207"/>
        <v>-99.85806182048816</v>
      </c>
      <c r="AF314" t="str">
        <f t="shared" si="193"/>
        <v>-0,0000125211169631323</v>
      </c>
      <c r="AG314" t="str">
        <f t="shared" si="194"/>
        <v>0,000276946999004744i</v>
      </c>
      <c r="AH314">
        <f t="shared" si="208"/>
        <v>2.7694699900474397E-4</v>
      </c>
      <c r="AI314">
        <f t="shared" si="209"/>
        <v>1.5707963267948966</v>
      </c>
      <c r="AJ314" t="str">
        <f t="shared" si="195"/>
        <v>1+0,443231128275116i</v>
      </c>
      <c r="AK314">
        <f t="shared" si="210"/>
        <v>1.093825321096578</v>
      </c>
      <c r="AL314">
        <f t="shared" si="211"/>
        <v>0.41721069193879357</v>
      </c>
      <c r="AM314" t="str">
        <f t="shared" si="196"/>
        <v>1+64,9132134228375i</v>
      </c>
      <c r="AN314">
        <f t="shared" si="212"/>
        <v>64.9209155579221</v>
      </c>
      <c r="AO314">
        <f t="shared" si="213"/>
        <v>1.555392361223455</v>
      </c>
      <c r="AP314" s="42" t="str">
        <f t="shared" si="214"/>
        <v>-2,43617237661945+1,12499867016458i</v>
      </c>
      <c r="AQ314">
        <f t="shared" si="215"/>
        <v>8.5736614429291951</v>
      </c>
      <c r="AR314" s="44">
        <f t="shared" si="216"/>
        <v>155.21300596916601</v>
      </c>
      <c r="AS314" s="42" t="str">
        <f t="shared" si="217"/>
        <v>0,378661624333164+0,547978855313905i</v>
      </c>
      <c r="AT314" s="20">
        <f t="shared" si="218"/>
        <v>-3.5294438863227144</v>
      </c>
      <c r="AU314" s="44">
        <f t="shared" si="219"/>
        <v>55.354944148677845</v>
      </c>
    </row>
    <row r="315" spans="14:47" x14ac:dyDescent="0.3">
      <c r="N315" s="8">
        <v>97</v>
      </c>
      <c r="O315" s="35">
        <f t="shared" si="220"/>
        <v>9332.5430079699217</v>
      </c>
      <c r="P315" s="34" t="str">
        <f t="shared" si="188"/>
        <v>324,571428571429</v>
      </c>
      <c r="Q315" s="4" t="str">
        <f t="shared" si="189"/>
        <v>1+1340,29936242967i</v>
      </c>
      <c r="R315" s="4">
        <f t="shared" si="197"/>
        <v>1340.2997354806052</v>
      </c>
      <c r="S315" s="4">
        <f t="shared" si="198"/>
        <v>1.5700502249593848</v>
      </c>
      <c r="T315" s="4" t="str">
        <f t="shared" si="190"/>
        <v>1+0,0117276194212596i</v>
      </c>
      <c r="U315" s="4">
        <f t="shared" si="199"/>
        <v>1.0000687661642522</v>
      </c>
      <c r="V315" s="4">
        <f t="shared" si="200"/>
        <v>1.172708180486947E-2</v>
      </c>
      <c r="W315" t="str">
        <f t="shared" si="191"/>
        <v>1-0,101802251920657i</v>
      </c>
      <c r="X315" s="4">
        <f t="shared" si="201"/>
        <v>1.0051684925902309</v>
      </c>
      <c r="Y315" s="4">
        <f t="shared" si="202"/>
        <v>-0.1014527400861687</v>
      </c>
      <c r="Z315" t="str">
        <f t="shared" si="192"/>
        <v>0,999651614564018+0,0872852507967709i</v>
      </c>
      <c r="AA315" s="4">
        <f t="shared" si="203"/>
        <v>1.003455064019861</v>
      </c>
      <c r="AB315" s="4">
        <f t="shared" si="204"/>
        <v>8.7094780879333922E-2</v>
      </c>
      <c r="AC315" s="48" t="str">
        <f t="shared" si="205"/>
        <v>-0,0424941242905292-0,238842740560336i</v>
      </c>
      <c r="AD315" s="20">
        <f t="shared" si="206"/>
        <v>-12.3024168624344</v>
      </c>
      <c r="AE315" s="44">
        <f t="shared" si="207"/>
        <v>-100.08831640929223</v>
      </c>
      <c r="AF315" t="str">
        <f t="shared" si="193"/>
        <v>-0,0000125211169631323</v>
      </c>
      <c r="AG315" t="str">
        <f t="shared" si="194"/>
        <v>0,000283397923314739i</v>
      </c>
      <c r="AH315">
        <f t="shared" si="208"/>
        <v>2.8339792331473902E-4</v>
      </c>
      <c r="AI315">
        <f t="shared" si="209"/>
        <v>1.5707963267948966</v>
      </c>
      <c r="AJ315" t="str">
        <f t="shared" si="195"/>
        <v>1+0,453555307524619i</v>
      </c>
      <c r="AK315">
        <f t="shared" si="210"/>
        <v>1.0980493691012949</v>
      </c>
      <c r="AL315">
        <f t="shared" si="211"/>
        <v>0.42580658581420572</v>
      </c>
      <c r="AM315" t="str">
        <f t="shared" si="196"/>
        <v>1+66,4252364020146i</v>
      </c>
      <c r="AN315">
        <f t="shared" si="212"/>
        <v>66.432763235195381</v>
      </c>
      <c r="AO315">
        <f t="shared" si="213"/>
        <v>1.5557429447032409</v>
      </c>
      <c r="AP315" s="42" t="str">
        <f t="shared" si="214"/>
        <v>-2,41746517409368+1,14063626602526i</v>
      </c>
      <c r="AQ315">
        <f t="shared" si="215"/>
        <v>8.5401371848853618</v>
      </c>
      <c r="AR315" s="44">
        <f t="shared" si="216"/>
        <v>154.74058448272109</v>
      </c>
      <c r="AS315" s="42" t="str">
        <f t="shared" si="217"/>
        <v>0,375160757335944+0,528923668130942i</v>
      </c>
      <c r="AT315" s="20">
        <f t="shared" si="218"/>
        <v>-3.7622796775490364</v>
      </c>
      <c r="AU315" s="44">
        <f t="shared" si="219"/>
        <v>54.652268073428893</v>
      </c>
    </row>
    <row r="316" spans="14:47" x14ac:dyDescent="0.3">
      <c r="N316" s="8">
        <v>98</v>
      </c>
      <c r="O316" s="35">
        <f t="shared" si="220"/>
        <v>9549.9258602143691</v>
      </c>
      <c r="P316" s="34" t="str">
        <f t="shared" si="188"/>
        <v>324,571428571429</v>
      </c>
      <c r="Q316" s="4" t="str">
        <f t="shared" si="189"/>
        <v>1+1371,51894513265i</v>
      </c>
      <c r="R316" s="4">
        <f t="shared" si="197"/>
        <v>1371.5193096919113</v>
      </c>
      <c r="S316" s="4">
        <f t="shared" si="198"/>
        <v>1.570067208304522</v>
      </c>
      <c r="T316" s="4" t="str">
        <f t="shared" si="190"/>
        <v>1+0,0120007907699107i</v>
      </c>
      <c r="U316" s="4">
        <f t="shared" si="199"/>
        <v>1.000072006897055</v>
      </c>
      <c r="V316" s="4">
        <f t="shared" si="200"/>
        <v>1.2000214705810008E-2</v>
      </c>
      <c r="W316" t="str">
        <f t="shared" si="191"/>
        <v>1-0,104173530988808i</v>
      </c>
      <c r="X316" s="4">
        <f t="shared" si="201"/>
        <v>1.0054114205431903</v>
      </c>
      <c r="Y316" s="4">
        <f t="shared" si="202"/>
        <v>-0.10379913109123184</v>
      </c>
      <c r="Z316" t="str">
        <f t="shared" si="192"/>
        <v>0,999635195664258+0,0893183854698037i</v>
      </c>
      <c r="AA316" s="4">
        <f t="shared" si="203"/>
        <v>1.003617605661465</v>
      </c>
      <c r="AB316" s="4">
        <f t="shared" si="204"/>
        <v>8.9114332881472538E-2</v>
      </c>
      <c r="AC316" s="48" t="str">
        <f t="shared" si="205"/>
        <v>-0,0424892606923572-0,233252722351755i</v>
      </c>
      <c r="AD316" s="20">
        <f t="shared" si="206"/>
        <v>-12.501696508565264</v>
      </c>
      <c r="AE316" s="44">
        <f t="shared" si="207"/>
        <v>-100.32379022872784</v>
      </c>
      <c r="AF316" t="str">
        <f t="shared" si="193"/>
        <v>-0,0000125211169631323</v>
      </c>
      <c r="AG316" t="str">
        <f t="shared" si="194"/>
        <v>0,000289999108954891i</v>
      </c>
      <c r="AH316">
        <f t="shared" si="208"/>
        <v>2.8999910895489099E-4</v>
      </c>
      <c r="AI316">
        <f t="shared" si="209"/>
        <v>1.5707963267948966</v>
      </c>
      <c r="AJ316" t="str">
        <f t="shared" si="195"/>
        <v>1+0,464119967801685i</v>
      </c>
      <c r="AK316">
        <f t="shared" si="210"/>
        <v>1.1024551439910093</v>
      </c>
      <c r="AL316">
        <f t="shared" si="211"/>
        <v>0.43453385264173361</v>
      </c>
      <c r="AM316" t="str">
        <f t="shared" si="196"/>
        <v>1+67,972478920774i</v>
      </c>
      <c r="AN316">
        <f t="shared" si="212"/>
        <v>67.979834441068377</v>
      </c>
      <c r="AO316">
        <f t="shared" si="213"/>
        <v>1.5560855515046765</v>
      </c>
      <c r="AP316" s="42" t="str">
        <f t="shared" si="214"/>
        <v>-2,39818180397807+1,15622045969747i</v>
      </c>
      <c r="AQ316">
        <f t="shared" si="215"/>
        <v>8.5053116659446708</v>
      </c>
      <c r="AR316" s="44">
        <f t="shared" si="216"/>
        <v>154.26017885057422</v>
      </c>
      <c r="AS316" s="42" t="str">
        <f t="shared" si="217"/>
        <v>0,371588541720124+0,510255481942405i</v>
      </c>
      <c r="AT316" s="20">
        <f t="shared" si="218"/>
        <v>-3.9963848426205901</v>
      </c>
      <c r="AU316" s="44">
        <f t="shared" si="219"/>
        <v>53.936388621846405</v>
      </c>
    </row>
    <row r="317" spans="14:47" x14ac:dyDescent="0.3">
      <c r="N317" s="8">
        <v>99</v>
      </c>
      <c r="O317" s="35">
        <f t="shared" si="220"/>
        <v>9772.3722095581161</v>
      </c>
      <c r="P317" s="34" t="str">
        <f t="shared" si="188"/>
        <v>324,571428571429</v>
      </c>
      <c r="Q317" s="4" t="str">
        <f t="shared" si="189"/>
        <v>1+1403,46572533453i</v>
      </c>
      <c r="R317" s="4">
        <f t="shared" si="197"/>
        <v>1403.4660815954114</v>
      </c>
      <c r="S317" s="4">
        <f t="shared" si="198"/>
        <v>1.5700838050619326</v>
      </c>
      <c r="T317" s="4" t="str">
        <f t="shared" si="190"/>
        <v>1+0,0122803250966771i</v>
      </c>
      <c r="U317" s="4">
        <f t="shared" si="199"/>
        <v>1.0000754003496337</v>
      </c>
      <c r="V317" s="4">
        <f t="shared" si="200"/>
        <v>1.2279707835385614E-2</v>
      </c>
      <c r="W317" t="str">
        <f t="shared" si="191"/>
        <v>1-0,106600044241989i</v>
      </c>
      <c r="X317" s="4">
        <f t="shared" si="201"/>
        <v>1.0056657344428088</v>
      </c>
      <c r="Y317" s="4">
        <f t="shared" si="202"/>
        <v>-0.10619898949127969</v>
      </c>
      <c r="Z317" t="str">
        <f t="shared" si="192"/>
        <v>0,999618002965591+0,0913988779330813i</v>
      </c>
      <c r="AA317" s="4">
        <f t="shared" si="203"/>
        <v>1.0037877797325203</v>
      </c>
      <c r="AB317" s="4">
        <f t="shared" si="204"/>
        <v>9.1180276062243049E-2</v>
      </c>
      <c r="AC317" s="48" t="str">
        <f t="shared" si="205"/>
        <v>-0,0424834275394845-0,227786480680217i</v>
      </c>
      <c r="AD317" s="20">
        <f t="shared" si="206"/>
        <v>-12.700942816600204</v>
      </c>
      <c r="AE317" s="44">
        <f t="shared" si="207"/>
        <v>-100.56459895887727</v>
      </c>
      <c r="AF317" t="str">
        <f t="shared" si="193"/>
        <v>-0,0000125211169631323</v>
      </c>
      <c r="AG317" t="str">
        <f t="shared" si="194"/>
        <v>0,000296754055961203i</v>
      </c>
      <c r="AH317">
        <f t="shared" si="208"/>
        <v>2.96754055961203E-4</v>
      </c>
      <c r="AI317">
        <f t="shared" si="209"/>
        <v>1.5707963267948966</v>
      </c>
      <c r="AJ317" t="str">
        <f t="shared" si="195"/>
        <v>1+0,474930710629033i</v>
      </c>
      <c r="AK317">
        <f t="shared" si="210"/>
        <v>1.1070497639666423</v>
      </c>
      <c r="AL317">
        <f t="shared" si="211"/>
        <v>0.44339180099363917</v>
      </c>
      <c r="AM317" t="str">
        <f t="shared" si="196"/>
        <v>1+69,5557613475793i</v>
      </c>
      <c r="AN317">
        <f t="shared" si="212"/>
        <v>69.562949453293086</v>
      </c>
      <c r="AO317">
        <f t="shared" si="213"/>
        <v>1.5564203629605184</v>
      </c>
      <c r="AP317" s="42" t="str">
        <f t="shared" si="214"/>
        <v>-2,37831662953372+1,17172919020909i</v>
      </c>
      <c r="AQ317">
        <f t="shared" si="215"/>
        <v>8.4691450593809989</v>
      </c>
      <c r="AR317" s="44">
        <f t="shared" si="216"/>
        <v>153.7718390782174</v>
      </c>
      <c r="AS317" s="42" t="str">
        <f t="shared" si="217"/>
        <v>0,367943110744756+0,491969302836575i</v>
      </c>
      <c r="AT317" s="20">
        <f t="shared" si="218"/>
        <v>-4.2317977572192031</v>
      </c>
      <c r="AU317" s="44">
        <f t="shared" si="219"/>
        <v>53.207240119340121</v>
      </c>
    </row>
    <row r="318" spans="14:47" x14ac:dyDescent="0.3">
      <c r="N318" s="8">
        <v>100</v>
      </c>
      <c r="O318" s="35">
        <f t="shared" si="220"/>
        <v>10000</v>
      </c>
      <c r="P318" s="34" t="str">
        <f t="shared" si="188"/>
        <v>324,571428571429</v>
      </c>
      <c r="Q318" s="4" t="str">
        <f t="shared" si="189"/>
        <v>1+1436,15664164105i</v>
      </c>
      <c r="R318" s="4">
        <f t="shared" si="197"/>
        <v>1436.1569897924458</v>
      </c>
      <c r="S318" s="4">
        <f t="shared" si="198"/>
        <v>1.5701000240314009</v>
      </c>
      <c r="T318" s="4" t="str">
        <f t="shared" si="190"/>
        <v>1+0,0125663706143592i</v>
      </c>
      <c r="U318" s="4">
        <f t="shared" si="199"/>
        <v>1.0000789537183639</v>
      </c>
      <c r="V318" s="4">
        <f t="shared" si="200"/>
        <v>1.2565709209789116E-2</v>
      </c>
      <c r="W318" t="str">
        <f t="shared" si="191"/>
        <v>1-0,109083078249646i</v>
      </c>
      <c r="X318" s="4">
        <f t="shared" si="201"/>
        <v>1.0059319648765608</v>
      </c>
      <c r="Y318" s="4">
        <f t="shared" si="202"/>
        <v>-0.1086534770902387</v>
      </c>
      <c r="Z318" t="str">
        <f t="shared" si="192"/>
        <v>0,9996+0,0935278312912461i</v>
      </c>
      <c r="AA318" s="4">
        <f t="shared" si="203"/>
        <v>1.003965943260051</v>
      </c>
      <c r="AB318" s="4">
        <f t="shared" si="204"/>
        <v>9.3293644978343859E-2</v>
      </c>
      <c r="AC318" s="48" t="str">
        <f t="shared" si="205"/>
        <v>-0,0424766137217192-0,222441124589628i</v>
      </c>
      <c r="AD318" s="20">
        <f t="shared" si="206"/>
        <v>-12.900154272060862</v>
      </c>
      <c r="AE318" s="44">
        <f t="shared" si="207"/>
        <v>-100.81086046542184</v>
      </c>
      <c r="AF318" t="str">
        <f t="shared" si="193"/>
        <v>-0,0000125211169631323</v>
      </c>
      <c r="AG318" t="str">
        <f t="shared" si="194"/>
        <v>0,000303666345895989i</v>
      </c>
      <c r="AH318">
        <f t="shared" si="208"/>
        <v>3.0366634589598901E-4</v>
      </c>
      <c r="AI318">
        <f t="shared" si="209"/>
        <v>1.5707963267948966</v>
      </c>
      <c r="AJ318" t="str">
        <f t="shared" si="195"/>
        <v>1+0,485993268005608i</v>
      </c>
      <c r="AK318">
        <f t="shared" si="210"/>
        <v>1.1118405715509623</v>
      </c>
      <c r="AL318">
        <f t="shared" si="211"/>
        <v>0.45237956627220521</v>
      </c>
      <c r="AM318" t="str">
        <f t="shared" si="196"/>
        <v>1+71,1759231597304i</v>
      </c>
      <c r="AN318">
        <f t="shared" si="212"/>
        <v>71.182947660516618</v>
      </c>
      <c r="AO318">
        <f t="shared" si="213"/>
        <v>1.5567475562918043</v>
      </c>
      <c r="AP318" s="42" t="str">
        <f t="shared" si="214"/>
        <v>-2,35786493938623+1,18713962743949i</v>
      </c>
      <c r="AQ318">
        <f t="shared" si="215"/>
        <v>8.4315971872527555</v>
      </c>
      <c r="AR318" s="44">
        <f t="shared" si="216"/>
        <v>153.27562485746884</v>
      </c>
      <c r="AS318" s="42" t="str">
        <f t="shared" si="217"/>
        <v>0,364222792010846+0,474060457359035i</v>
      </c>
      <c r="AT318" s="20">
        <f t="shared" si="218"/>
        <v>-4.4685570848081069</v>
      </c>
      <c r="AU318" s="44">
        <f t="shared" si="219"/>
        <v>52.464764392047002</v>
      </c>
    </row>
    <row r="319" spans="14:47" x14ac:dyDescent="0.3">
      <c r="N319" s="8">
        <v>1</v>
      </c>
      <c r="O319" s="35">
        <f>10^(4+(N319/100))</f>
        <v>10232.929922807549</v>
      </c>
      <c r="P319" s="34" t="str">
        <f t="shared" si="188"/>
        <v>324,571428571429</v>
      </c>
      <c r="Q319" s="4" t="str">
        <f t="shared" si="189"/>
        <v>1+1469,60902720875i</v>
      </c>
      <c r="R319" s="4">
        <f t="shared" si="197"/>
        <v>1469.6093674352542</v>
      </c>
      <c r="S319" s="4">
        <f t="shared" si="198"/>
        <v>1.5701158738124048</v>
      </c>
      <c r="T319" s="4" t="str">
        <f t="shared" si="190"/>
        <v>1+0,0128590789880765i</v>
      </c>
      <c r="U319" s="4">
        <f t="shared" si="199"/>
        <v>1.0000826745386711</v>
      </c>
      <c r="V319" s="4">
        <f t="shared" si="200"/>
        <v>1.2858370283475277E-2</v>
      </c>
      <c r="W319" t="str">
        <f t="shared" si="191"/>
        <v>1-0,111623949549276i</v>
      </c>
      <c r="X319" s="4">
        <f t="shared" si="201"/>
        <v>1.0062106668650355</v>
      </c>
      <c r="Y319" s="4">
        <f t="shared" si="202"/>
        <v>-0.11116377692885865</v>
      </c>
      <c r="Z319" t="str">
        <f t="shared" si="192"/>
        <v>0,99958114858078+0,0957063743435487i</v>
      </c>
      <c r="AA319" s="4">
        <f t="shared" si="203"/>
        <v>1.0041524698411386</v>
      </c>
      <c r="AB319" s="4">
        <f t="shared" si="204"/>
        <v>9.5455495049137251E-2</v>
      </c>
      <c r="AC319" s="48" t="str">
        <f t="shared" si="205"/>
        <v>-0,0424688061686644-0,217213827723909i</v>
      </c>
      <c r="AD319" s="20">
        <f t="shared" si="206"/>
        <v>-13.099329294504059</v>
      </c>
      <c r="AE319" s="44">
        <f t="shared" si="207"/>
        <v>-101.06269481769138</v>
      </c>
      <c r="AF319" t="str">
        <f t="shared" si="193"/>
        <v>-0,0000125211169631323</v>
      </c>
      <c r="AG319" t="str">
        <f t="shared" si="194"/>
        <v>0,00031073964374687i</v>
      </c>
      <c r="AH319">
        <f t="shared" si="208"/>
        <v>3.1073964374687003E-4</v>
      </c>
      <c r="AI319">
        <f t="shared" si="209"/>
        <v>1.5707963267948966</v>
      </c>
      <c r="AJ319" t="str">
        <f t="shared" si="195"/>
        <v>1+0,497313505445761i</v>
      </c>
      <c r="AK319">
        <f t="shared" si="210"/>
        <v>1.1168351367586671</v>
      </c>
      <c r="AL319">
        <f t="shared" si="211"/>
        <v>0.46149610467173857</v>
      </c>
      <c r="AM319" t="str">
        <f t="shared" si="196"/>
        <v>1+72,8338233884655i</v>
      </c>
      <c r="AN319">
        <f t="shared" si="212"/>
        <v>72.840688007336837</v>
      </c>
      <c r="AO319">
        <f t="shared" si="213"/>
        <v>1.5570673047003858</v>
      </c>
      <c r="AP319" s="42" t="str">
        <f t="shared" si="214"/>
        <v>-2,33682301992389+1,2024282068202i</v>
      </c>
      <c r="AQ319">
        <f t="shared" si="215"/>
        <v>8.3926275861918356</v>
      </c>
      <c r="AR319" s="44">
        <f t="shared" si="216"/>
        <v>152.77160591772437</v>
      </c>
      <c r="AS319" s="42" t="str">
        <f t="shared" si="217"/>
        <v>0,360426117250232+0,456524582423831i</v>
      </c>
      <c r="AT319" s="20">
        <f t="shared" si="218"/>
        <v>-4.7067017083122256</v>
      </c>
      <c r="AU319" s="44">
        <f t="shared" si="219"/>
        <v>51.708911100033049</v>
      </c>
    </row>
    <row r="320" spans="14:47" x14ac:dyDescent="0.3">
      <c r="N320" s="8">
        <v>2</v>
      </c>
      <c r="O320" s="35">
        <f t="shared" ref="O320:O383" si="221">10^(4+(N320/100))</f>
        <v>10471.285480509003</v>
      </c>
      <c r="P320" s="34" t="str">
        <f t="shared" si="188"/>
        <v>324,571428571429</v>
      </c>
      <c r="Q320" s="4" t="str">
        <f t="shared" si="189"/>
        <v>1+1503,84061893525i</v>
      </c>
      <c r="R320" s="4">
        <f t="shared" si="197"/>
        <v>1503.8409514172552</v>
      </c>
      <c r="S320" s="4">
        <f t="shared" si="198"/>
        <v>1.5701313628086759</v>
      </c>
      <c r="T320" s="4" t="str">
        <f t="shared" si="190"/>
        <v>1+0,0131586054156834i</v>
      </c>
      <c r="U320" s="4">
        <f t="shared" si="199"/>
        <v>1.0000865707009996</v>
      </c>
      <c r="V320" s="4">
        <f t="shared" si="200"/>
        <v>1.3157846028571724E-2</v>
      </c>
      <c r="W320" t="str">
        <f t="shared" si="191"/>
        <v>1-0,114224005344474i</v>
      </c>
      <c r="X320" s="4">
        <f t="shared" si="201"/>
        <v>1.0065024209593012</v>
      </c>
      <c r="Y320" s="4">
        <f t="shared" si="202"/>
        <v>-0.11373109338127842</v>
      </c>
      <c r="Z320" t="str">
        <f t="shared" si="192"/>
        <v>0,999561408721543+0,097935662182352i</v>
      </c>
      <c r="AA320" s="4">
        <f t="shared" si="203"/>
        <v>1.0043477503994775</v>
      </c>
      <c r="AB320" s="4">
        <f t="shared" si="204"/>
        <v>9.7666902818075108E-2</v>
      </c>
      <c r="AC320" s="48" t="str">
        <f t="shared" si="205"/>
        <v>-0,0424599898332807-0,212101826863236i</v>
      </c>
      <c r="AD320" s="20">
        <f t="shared" si="206"/>
        <v>-13.298466234914297</v>
      </c>
      <c r="AE320" s="44">
        <f t="shared" si="207"/>
        <v>-101.32022430488681</v>
      </c>
      <c r="AF320" t="str">
        <f t="shared" si="193"/>
        <v>-0,0000125211169631323</v>
      </c>
      <c r="AG320" t="str">
        <f t="shared" si="194"/>
        <v>0,00031797769986999i</v>
      </c>
      <c r="AH320">
        <f t="shared" si="208"/>
        <v>3.1797769986998997E-4</v>
      </c>
      <c r="AI320">
        <f t="shared" si="209"/>
        <v>1.5707963267948966</v>
      </c>
      <c r="AJ320" t="str">
        <f t="shared" si="195"/>
        <v>1+0,508897425089224i</v>
      </c>
      <c r="AK320">
        <f t="shared" si="210"/>
        <v>1.1220412600534984</v>
      </c>
      <c r="AL320">
        <f t="shared" si="211"/>
        <v>0.47074018744242918</v>
      </c>
      <c r="AM320" t="str">
        <f t="shared" si="196"/>
        <v>1+74,5303410744309i</v>
      </c>
      <c r="AN320">
        <f t="shared" si="212"/>
        <v>74.53704944972668</v>
      </c>
      <c r="AO320">
        <f t="shared" si="213"/>
        <v>1.5573797774594254</v>
      </c>
      <c r="AP320" s="42" t="str">
        <f t="shared" si="214"/>
        <v>-2,31518822739836+1,21757067054821i</v>
      </c>
      <c r="AQ320">
        <f t="shared" si="215"/>
        <v>8.3521955781621298</v>
      </c>
      <c r="AR320" s="44">
        <f t="shared" si="216"/>
        <v>152.25986235980011</v>
      </c>
      <c r="AS320" s="42" t="str">
        <f t="shared" si="217"/>
        <v>0,356551832155836+0,439357614270671i</v>
      </c>
      <c r="AT320" s="20">
        <f t="shared" si="218"/>
        <v>-4.9462706567521737</v>
      </c>
      <c r="AU320" s="44">
        <f t="shared" si="219"/>
        <v>50.939638054913274</v>
      </c>
    </row>
    <row r="321" spans="14:47" x14ac:dyDescent="0.3">
      <c r="N321" s="8">
        <v>3</v>
      </c>
      <c r="O321" s="35">
        <f t="shared" si="221"/>
        <v>10715.193052376071</v>
      </c>
      <c r="P321" s="34" t="str">
        <f t="shared" si="188"/>
        <v>324,571428571429</v>
      </c>
      <c r="Q321" s="4" t="str">
        <f t="shared" si="189"/>
        <v>1+1538,86956686359i</v>
      </c>
      <c r="R321" s="4">
        <f t="shared" si="197"/>
        <v>1538.8698917773827</v>
      </c>
      <c r="S321" s="4">
        <f t="shared" si="198"/>
        <v>1.5701464992326559</v>
      </c>
      <c r="T321" s="4" t="str">
        <f t="shared" si="190"/>
        <v>1+0,0134651087100564i</v>
      </c>
      <c r="U321" s="4">
        <f t="shared" si="199"/>
        <v>1.0000906504675331</v>
      </c>
      <c r="V321" s="4">
        <f t="shared" si="200"/>
        <v>1.3464295016089487E-2</v>
      </c>
      <c r="W321" t="str">
        <f t="shared" si="191"/>
        <v>1-0,11688462421924i</v>
      </c>
      <c r="X321" s="4">
        <f t="shared" si="201"/>
        <v>1.00680783438493</v>
      </c>
      <c r="Y321" s="4">
        <f t="shared" si="202"/>
        <v>-0.11635665222756042</v>
      </c>
      <c r="Z321" t="str">
        <f t="shared" si="192"/>
        <v>0,999540738551401+0,100216876805576i</v>
      </c>
      <c r="AA321" s="4">
        <f t="shared" si="203"/>
        <v>1.004552193975278</v>
      </c>
      <c r="AB321" s="4">
        <f t="shared" si="204"/>
        <v>9.992896620497628E-2</v>
      </c>
      <c r="AC321" s="48" t="str">
        <f t="shared" si="205"/>
        <v>-0,0424501476723072-0,207102420496039i</v>
      </c>
      <c r="AD321" s="20">
        <f t="shared" si="206"/>
        <v>-13.497563373018897</v>
      </c>
      <c r="AE321" s="44">
        <f t="shared" si="207"/>
        <v>-101.58357345029266</v>
      </c>
      <c r="AF321" t="str">
        <f t="shared" si="193"/>
        <v>-0,0000125211169631323</v>
      </c>
      <c r="AG321" t="str">
        <f t="shared" si="194"/>
        <v>0,000325384351978513i</v>
      </c>
      <c r="AH321">
        <f t="shared" si="208"/>
        <v>3.2538435197851297E-4</v>
      </c>
      <c r="AI321">
        <f t="shared" si="209"/>
        <v>1.5707963267948966</v>
      </c>
      <c r="AJ321" t="str">
        <f t="shared" si="195"/>
        <v>1+0,520751168883523i</v>
      </c>
      <c r="AK321">
        <f t="shared" si="210"/>
        <v>1.1274669750788957</v>
      </c>
      <c r="AL321">
        <f t="shared" si="211"/>
        <v>0.48011039550832407</v>
      </c>
      <c r="AM321" t="str">
        <f t="shared" si="196"/>
        <v>1+76,2663757337596i</v>
      </c>
      <c r="AN321">
        <f t="shared" si="212"/>
        <v>76.272931421068364</v>
      </c>
      <c r="AO321">
        <f t="shared" si="213"/>
        <v>1.5576851400018989</v>
      </c>
      <c r="AP321" s="42" t="str">
        <f t="shared" si="214"/>
        <v>-2,2929590591478+1,23254211552288i</v>
      </c>
      <c r="AQ321">
        <f t="shared" si="215"/>
        <v>8.3102603461465065</v>
      </c>
      <c r="AR321" s="44">
        <f t="shared" si="216"/>
        <v>151.74048496936999</v>
      </c>
      <c r="AS321" s="42" t="str">
        <f t="shared" si="217"/>
        <v>0,352598906155476+0,422555776431546i</v>
      </c>
      <c r="AT321" s="20">
        <f t="shared" si="218"/>
        <v>-5.1873030268723808</v>
      </c>
      <c r="AU321" s="44">
        <f t="shared" si="219"/>
        <v>50.156911519077333</v>
      </c>
    </row>
    <row r="322" spans="14:47" x14ac:dyDescent="0.3">
      <c r="N322" s="8">
        <v>4</v>
      </c>
      <c r="O322" s="35">
        <f t="shared" si="221"/>
        <v>10964.781961431856</v>
      </c>
      <c r="P322" s="34" t="str">
        <f t="shared" si="188"/>
        <v>324,571428571429</v>
      </c>
      <c r="Q322" s="4" t="str">
        <f t="shared" si="189"/>
        <v>1+1574,71444380563i</v>
      </c>
      <c r="R322" s="4">
        <f t="shared" si="197"/>
        <v>1574.7147613234833</v>
      </c>
      <c r="S322" s="4">
        <f t="shared" si="198"/>
        <v>1.570161291109849</v>
      </c>
      <c r="T322" s="4" t="str">
        <f t="shared" si="190"/>
        <v>1+0,0137787513832993i</v>
      </c>
      <c r="U322" s="4">
        <f t="shared" si="199"/>
        <v>1.0000949224897018</v>
      </c>
      <c r="V322" s="4">
        <f t="shared" si="200"/>
        <v>1.3777879498974587E-2</v>
      </c>
      <c r="W322" t="str">
        <f t="shared" si="191"/>
        <v>1-0,119607216868917i</v>
      </c>
      <c r="X322" s="4">
        <f t="shared" si="201"/>
        <v>1.0071275422344124</v>
      </c>
      <c r="Y322" s="4">
        <f t="shared" si="202"/>
        <v>-0.11904170070000249</v>
      </c>
      <c r="Z322" t="str">
        <f t="shared" si="192"/>
        <v>0,999519094226153+0,10255122774341i</v>
      </c>
      <c r="AA322" s="4">
        <f t="shared" si="203"/>
        <v>1.0047662285498802</v>
      </c>
      <c r="AB322" s="4">
        <f t="shared" si="204"/>
        <v>0.10224280474795115</v>
      </c>
      <c r="AC322" s="48" t="str">
        <f t="shared" si="205"/>
        <v>-0,0424392606235883-0,202212967426124i</v>
      </c>
      <c r="AD322" s="20">
        <f t="shared" si="206"/>
        <v>-13.696618914527086</v>
      </c>
      <c r="AE322" s="44">
        <f t="shared" si="207"/>
        <v>-101.85286902328289</v>
      </c>
      <c r="AF322" t="str">
        <f t="shared" si="193"/>
        <v>-0,0000125211169631323</v>
      </c>
      <c r="AG322" t="str">
        <f t="shared" si="194"/>
        <v>0,000332963527177427i</v>
      </c>
      <c r="AH322">
        <f t="shared" si="208"/>
        <v>3.3296352717742701E-4</v>
      </c>
      <c r="AI322">
        <f t="shared" si="209"/>
        <v>1.5707963267948966</v>
      </c>
      <c r="AJ322" t="str">
        <f t="shared" si="195"/>
        <v>1+0,532881021840521i</v>
      </c>
      <c r="AK322">
        <f t="shared" si="210"/>
        <v>1.1331205511496991</v>
      </c>
      <c r="AL322">
        <f t="shared" si="211"/>
        <v>0.4896051144931548</v>
      </c>
      <c r="AM322" t="str">
        <f t="shared" si="196"/>
        <v>1+78,0428478350071i</v>
      </c>
      <c r="AN322">
        <f t="shared" si="212"/>
        <v>78.049254309045594</v>
      </c>
      <c r="AO322">
        <f t="shared" si="213"/>
        <v>1.5579835540071463</v>
      </c>
      <c r="AP322" s="42" t="str">
        <f t="shared" si="214"/>
        <v>-2,27013522331809+1,24731704816716i</v>
      </c>
      <c r="AQ322">
        <f t="shared" si="215"/>
        <v>8.266781014680852</v>
      </c>
      <c r="AR322" s="44">
        <f t="shared" si="216"/>
        <v>151.21357550692457</v>
      </c>
      <c r="AS322" s="42" t="str">
        <f t="shared" si="217"/>
        <v>0,348566542024259+0,406115566678307i</v>
      </c>
      <c r="AT322" s="20">
        <f t="shared" si="218"/>
        <v>-5.4298378998462349</v>
      </c>
      <c r="AU322" s="44">
        <f t="shared" si="219"/>
        <v>49.360706483641735</v>
      </c>
    </row>
    <row r="323" spans="14:47" x14ac:dyDescent="0.3">
      <c r="N323" s="8">
        <v>5</v>
      </c>
      <c r="O323" s="35">
        <f t="shared" si="221"/>
        <v>11220.184543019639</v>
      </c>
      <c r="P323" s="34" t="str">
        <f t="shared" si="188"/>
        <v>324,571428571429</v>
      </c>
      <c r="Q323" s="4" t="str">
        <f t="shared" si="189"/>
        <v>1+1611,39425518959i</v>
      </c>
      <c r="R323" s="4">
        <f t="shared" si="197"/>
        <v>1611.3945654798558</v>
      </c>
      <c r="S323" s="4">
        <f t="shared" si="198"/>
        <v>1.5701757462830783</v>
      </c>
      <c r="T323" s="4" t="str">
        <f t="shared" si="190"/>
        <v>1+0,0140996997329089i</v>
      </c>
      <c r="U323" s="4">
        <f t="shared" si="199"/>
        <v>1.0000993958265139</v>
      </c>
      <c r="V323" s="4">
        <f t="shared" si="200"/>
        <v>1.4098765497037712E-2</v>
      </c>
      <c r="W323" t="str">
        <f t="shared" si="191"/>
        <v>1-0,122393226848168i</v>
      </c>
      <c r="X323" s="4">
        <f t="shared" si="201"/>
        <v>1.0074622087097398</v>
      </c>
      <c r="Y323" s="4">
        <f t="shared" si="202"/>
        <v>-0.1217875075009264</v>
      </c>
      <c r="Z323" t="str">
        <f t="shared" si="192"/>
        <v>0,999496429835282+0,104939952699619i</v>
      </c>
      <c r="AA323" s="4">
        <f t="shared" si="203"/>
        <v>1.0049903019064776</v>
      </c>
      <c r="AB323" s="4">
        <f t="shared" si="204"/>
        <v>0.10460955983367537</v>
      </c>
      <c r="AC323" s="48" t="str">
        <f t="shared" si="205"/>
        <v>-0,0424273075803722-0,19743088541436i</v>
      </c>
      <c r="AD323" s="20">
        <f t="shared" si="206"/>
        <v>-13.895630988292439</v>
      </c>
      <c r="AE323" s="44">
        <f t="shared" si="207"/>
        <v>-102.12824004891161</v>
      </c>
      <c r="AF323" t="str">
        <f t="shared" si="193"/>
        <v>-0,0000125211169631323</v>
      </c>
      <c r="AG323" t="str">
        <f t="shared" si="194"/>
        <v>0,000340719244045744i</v>
      </c>
      <c r="AH323">
        <f t="shared" si="208"/>
        <v>3.4071924404574402E-4</v>
      </c>
      <c r="AI323">
        <f t="shared" si="209"/>
        <v>1.5707963267948966</v>
      </c>
      <c r="AJ323" t="str">
        <f t="shared" si="195"/>
        <v>1+0,545293415368812i</v>
      </c>
      <c r="AK323">
        <f t="shared" si="210"/>
        <v>1.1390104954936033</v>
      </c>
      <c r="AL323">
        <f t="shared" si="211"/>
        <v>0.49922253020880303</v>
      </c>
      <c r="AM323" t="str">
        <f t="shared" si="196"/>
        <v>1+79,860699287196i</v>
      </c>
      <c r="AN323">
        <f t="shared" si="212"/>
        <v>79.866959943645952</v>
      </c>
      <c r="AO323">
        <f t="shared" si="213"/>
        <v>1.5582751774855088</v>
      </c>
      <c r="AP323" s="42" t="str">
        <f t="shared" si="214"/>
        <v>-2,24671770641658+1,26186944623661i</v>
      </c>
      <c r="AQ323">
        <f t="shared" si="215"/>
        <v>8.2217167351091671</v>
      </c>
      <c r="AR323" s="44">
        <f t="shared" si="216"/>
        <v>150.67924697111218</v>
      </c>
      <c r="AS323" s="42" t="str">
        <f t="shared" si="217"/>
        <v>0,344454185224227+0,390033742932191i</v>
      </c>
      <c r="AT323" s="20">
        <f t="shared" si="218"/>
        <v>-5.6739142531832689</v>
      </c>
      <c r="AU323" s="44">
        <f t="shared" si="219"/>
        <v>48.551006922200571</v>
      </c>
    </row>
    <row r="324" spans="14:47" x14ac:dyDescent="0.3">
      <c r="N324" s="8">
        <v>6</v>
      </c>
      <c r="O324" s="35">
        <f t="shared" si="221"/>
        <v>11481.536214968832</v>
      </c>
      <c r="P324" s="34" t="str">
        <f t="shared" si="188"/>
        <v>324,571428571429</v>
      </c>
      <c r="Q324" s="4" t="str">
        <f t="shared" si="189"/>
        <v>1+1648,92844913697i</v>
      </c>
      <c r="R324" s="4">
        <f t="shared" si="197"/>
        <v>1648.9287523641683</v>
      </c>
      <c r="S324" s="4">
        <f t="shared" si="198"/>
        <v>1.5701898724166441</v>
      </c>
      <c r="T324" s="4" t="str">
        <f t="shared" si="190"/>
        <v>1+0,0144281239299485i</v>
      </c>
      <c r="U324" s="4">
        <f t="shared" si="199"/>
        <v>1.0001040799637495</v>
      </c>
      <c r="V324" s="4">
        <f t="shared" si="200"/>
        <v>1.4427122883803359E-2</v>
      </c>
      <c r="W324" t="str">
        <f t="shared" si="191"/>
        <v>1-0,125244131336359i</v>
      </c>
      <c r="X324" s="4">
        <f t="shared" si="201"/>
        <v>1.0078125284169666</v>
      </c>
      <c r="Y324" s="4">
        <f t="shared" si="202"/>
        <v>-0.12459536278944919</v>
      </c>
      <c r="Z324" t="str">
        <f t="shared" si="192"/>
        <v>0,999472697304577+0,107384318207794i</v>
      </c>
      <c r="AA324" s="4">
        <f t="shared" si="203"/>
        <v>1.005224882528402</v>
      </c>
      <c r="AB324" s="4">
        <f t="shared" si="204"/>
        <v>0.10703039491463497</v>
      </c>
      <c r="AC324" s="48" t="str">
        <f t="shared" si="205"/>
        <v>-0,0424142653626237-0,192753649854329i</v>
      </c>
      <c r="AD324" s="20">
        <f t="shared" si="206"/>
        <v>-14.094597643401549</v>
      </c>
      <c r="AE324" s="44">
        <f t="shared" si="207"/>
        <v>-102.40981781486416</v>
      </c>
      <c r="AF324" t="str">
        <f t="shared" si="193"/>
        <v>-0,0000125211169631323</v>
      </c>
      <c r="AG324" t="str">
        <f t="shared" si="194"/>
        <v>0,000348655614767205i</v>
      </c>
      <c r="AH324">
        <f t="shared" si="208"/>
        <v>3.4865561476720499E-4</v>
      </c>
      <c r="AI324">
        <f t="shared" si="209"/>
        <v>1.5707963267948966</v>
      </c>
      <c r="AJ324" t="str">
        <f t="shared" si="195"/>
        <v>1+0,557994930683744i</v>
      </c>
      <c r="AK324">
        <f t="shared" si="210"/>
        <v>1.1451455552325025</v>
      </c>
      <c r="AL324">
        <f t="shared" si="211"/>
        <v>0.50896062466176295</v>
      </c>
      <c r="AM324" t="str">
        <f t="shared" si="196"/>
        <v>1+81,7208939392283i</v>
      </c>
      <c r="AN324">
        <f t="shared" si="212"/>
        <v>81.727012096531467</v>
      </c>
      <c r="AO324">
        <f t="shared" si="213"/>
        <v>1.5585601648610936</v>
      </c>
      <c r="AP324" s="42" t="str">
        <f t="shared" si="214"/>
        <v>-2,2227088379967+1,27617282765496i</v>
      </c>
      <c r="AQ324">
        <f t="shared" si="215"/>
        <v>8.1750267753867618</v>
      </c>
      <c r="AR324" s="44">
        <f t="shared" si="216"/>
        <v>150.13762383229351</v>
      </c>
      <c r="AS324" s="42" t="str">
        <f t="shared" si="217"/>
        <v>0,340261532854054+0,374307308126611i</v>
      </c>
      <c r="AT324" s="20">
        <f t="shared" si="218"/>
        <v>-5.9195708680147909</v>
      </c>
      <c r="AU324" s="44">
        <f t="shared" si="219"/>
        <v>47.727806017429359</v>
      </c>
    </row>
    <row r="325" spans="14:47" x14ac:dyDescent="0.3">
      <c r="N325" s="8">
        <v>7</v>
      </c>
      <c r="O325" s="35">
        <f t="shared" si="221"/>
        <v>11748.975549395318</v>
      </c>
      <c r="P325" s="34" t="str">
        <f t="shared" si="188"/>
        <v>324,571428571429</v>
      </c>
      <c r="Q325" s="4" t="str">
        <f t="shared" si="189"/>
        <v>1+1687,33692677424i</v>
      </c>
      <c r="R325" s="4">
        <f t="shared" si="197"/>
        <v>1687.3372230991461</v>
      </c>
      <c r="S325" s="4">
        <f t="shared" si="198"/>
        <v>1.5702036770003864</v>
      </c>
      <c r="T325" s="4" t="str">
        <f t="shared" si="190"/>
        <v>1+0,0147641981092746i</v>
      </c>
      <c r="U325" s="4">
        <f t="shared" si="199"/>
        <v>1.0001089848340579</v>
      </c>
      <c r="V325" s="4">
        <f t="shared" si="200"/>
        <v>1.4763125475317584E-2</v>
      </c>
      <c r="W325" t="str">
        <f t="shared" si="191"/>
        <v>1-0,128161441920786i</v>
      </c>
      <c r="X325" s="4">
        <f t="shared" si="201"/>
        <v>1.0081792277146038</v>
      </c>
      <c r="Y325" s="4">
        <f t="shared" si="202"/>
        <v>-0.12746657813465392</v>
      </c>
      <c r="Z325" t="str">
        <f t="shared" si="192"/>
        <v>0,999447846294159+0,109885620302882i</v>
      </c>
      <c r="AA325" s="4">
        <f t="shared" si="203"/>
        <v>1.0054704605364506</v>
      </c>
      <c r="AB325" s="4">
        <f t="shared" si="204"/>
        <v>0.10950649571184859</v>
      </c>
      <c r="AC325" s="48" t="str">
        <f t="shared" si="205"/>
        <v>-0,0424001086854283-0,188178792481427i</v>
      </c>
      <c r="AD325" s="20">
        <f t="shared" si="206"/>
        <v>-14.293516846189402</v>
      </c>
      <c r="AE325" s="44">
        <f t="shared" si="207"/>
        <v>-102.69773587553409</v>
      </c>
      <c r="AF325" t="str">
        <f t="shared" si="193"/>
        <v>-0,0000125211169631323</v>
      </c>
      <c r="AG325" t="str">
        <f t="shared" si="194"/>
        <v>0,00035677684731062i</v>
      </c>
      <c r="AH325">
        <f t="shared" si="208"/>
        <v>3.5677684731062E-4</v>
      </c>
      <c r="AI325">
        <f t="shared" si="209"/>
        <v>1.5707963267948966</v>
      </c>
      <c r="AJ325" t="str">
        <f t="shared" si="195"/>
        <v>1+0,570992302296861i</v>
      </c>
      <c r="AK325">
        <f t="shared" si="210"/>
        <v>1.1515347190954643</v>
      </c>
      <c r="AL325">
        <f t="shared" si="211"/>
        <v>0.51881717263297211</v>
      </c>
      <c r="AM325" t="str">
        <f t="shared" si="196"/>
        <v>1+83,6244180909312i</v>
      </c>
      <c r="AN325">
        <f t="shared" si="212"/>
        <v>83.63039699204387</v>
      </c>
      <c r="AO325">
        <f t="shared" si="213"/>
        <v>1.5588386670527046</v>
      </c>
      <c r="AP325" s="42" t="str">
        <f t="shared" si="214"/>
        <v>-2,19811235174159+1,29020032634329i</v>
      </c>
      <c r="AQ325">
        <f t="shared" si="215"/>
        <v>8.1266706142087948</v>
      </c>
      <c r="AR325" s="44">
        <f t="shared" si="216"/>
        <v>149.58884223313939</v>
      </c>
      <c r="AS325" s="42" t="str">
        <f t="shared" si="217"/>
        <v>0,335988542087049+0,358933494026312i</v>
      </c>
      <c r="AT325" s="20">
        <f t="shared" si="218"/>
        <v>-6.1668462319806068</v>
      </c>
      <c r="AU325" s="44">
        <f t="shared" si="219"/>
        <v>46.891106357605338</v>
      </c>
    </row>
    <row r="326" spans="14:47" x14ac:dyDescent="0.3">
      <c r="N326" s="8">
        <v>8</v>
      </c>
      <c r="O326" s="35">
        <f t="shared" si="221"/>
        <v>12022.644346174151</v>
      </c>
      <c r="P326" s="34" t="str">
        <f t="shared" si="188"/>
        <v>324,571428571429</v>
      </c>
      <c r="Q326" s="4" t="str">
        <f t="shared" si="189"/>
        <v>1+1726,64005278462i</v>
      </c>
      <c r="R326" s="4">
        <f t="shared" si="197"/>
        <v>1726.6403423643487</v>
      </c>
      <c r="S326" s="4">
        <f t="shared" si="198"/>
        <v>1.5702171673536578</v>
      </c>
      <c r="T326" s="4" t="str">
        <f t="shared" si="190"/>
        <v>1+0,0151081004618654i</v>
      </c>
      <c r="U326" s="4">
        <f t="shared" si="199"/>
        <v>1.000114120838</v>
      </c>
      <c r="V326" s="4">
        <f t="shared" si="200"/>
        <v>1.5106951120956127E-2</v>
      </c>
      <c r="W326" t="str">
        <f t="shared" si="191"/>
        <v>1-0,131146705398137i</v>
      </c>
      <c r="X326" s="4">
        <f t="shared" si="201"/>
        <v>1.0085630661177247</v>
      </c>
      <c r="Y326" s="4">
        <f t="shared" si="202"/>
        <v>-0.13040248643236532</v>
      </c>
      <c r="Z326" t="str">
        <f t="shared" si="192"/>
        <v>0,999421824091702+0,112445185208363i</v>
      </c>
      <c r="AA326" s="4">
        <f t="shared" si="203"/>
        <v>1.0057275486667987</v>
      </c>
      <c r="AB326" s="4">
        <f t="shared" si="204"/>
        <v>0.1120390704014895</v>
      </c>
      <c r="AC326" s="48" t="str">
        <f t="shared" si="205"/>
        <v>-0,0423848101245448-0,183703900114906i</v>
      </c>
      <c r="AD326" s="20">
        <f t="shared" si="206"/>
        <v>-14.492386477183533</v>
      </c>
      <c r="AE326" s="44">
        <f t="shared" si="207"/>
        <v>-102.99213005297156</v>
      </c>
      <c r="AF326" t="str">
        <f t="shared" si="193"/>
        <v>-0,0000125211169631323</v>
      </c>
      <c r="AG326" t="str">
        <f t="shared" si="194"/>
        <v>0,000365087247660978i</v>
      </c>
      <c r="AH326">
        <f t="shared" si="208"/>
        <v>3.6508724766097798E-4</v>
      </c>
      <c r="AI326">
        <f t="shared" si="209"/>
        <v>1.5707963267948966</v>
      </c>
      <c r="AJ326" t="str">
        <f t="shared" si="195"/>
        <v>1+0,584292421586632i</v>
      </c>
      <c r="AK326">
        <f t="shared" si="210"/>
        <v>1.1581872188569386</v>
      </c>
      <c r="AL326">
        <f t="shared" si="211"/>
        <v>0.52878973888584202</v>
      </c>
      <c r="AM326" t="str">
        <f t="shared" si="196"/>
        <v>1+85,5722810160057i</v>
      </c>
      <c r="AN326">
        <f t="shared" si="212"/>
        <v>85.578123830113569</v>
      </c>
      <c r="AO326">
        <f t="shared" si="213"/>
        <v>1.5591108315529785</v>
      </c>
      <c r="AP326" s="42" t="str">
        <f t="shared" si="214"/>
        <v>-2,17293344219259+1,30392477493215i</v>
      </c>
      <c r="AQ326">
        <f t="shared" si="215"/>
        <v>8.0766080391923882</v>
      </c>
      <c r="AR326" s="44">
        <f t="shared" si="216"/>
        <v>149.0330501531343</v>
      </c>
      <c r="AS326" s="42" t="str">
        <f t="shared" si="217"/>
        <v>0,331635437972093+0,343909744018697i</v>
      </c>
      <c r="AT326" s="20">
        <f t="shared" si="218"/>
        <v>-6.4157784379911575</v>
      </c>
      <c r="AU326" s="44">
        <f t="shared" si="219"/>
        <v>46.04092010016273</v>
      </c>
    </row>
    <row r="327" spans="14:47" x14ac:dyDescent="0.3">
      <c r="N327" s="8">
        <v>9</v>
      </c>
      <c r="O327" s="35">
        <f t="shared" si="221"/>
        <v>12302.687708123816</v>
      </c>
      <c r="P327" s="34" t="str">
        <f t="shared" si="188"/>
        <v>324,571428571429</v>
      </c>
      <c r="Q327" s="4" t="str">
        <f t="shared" si="189"/>
        <v>1+1766,85866620577i</v>
      </c>
      <c r="R327" s="4">
        <f t="shared" si="197"/>
        <v>1766.8589491938603</v>
      </c>
      <c r="S327" s="4">
        <f t="shared" si="198"/>
        <v>1.5702303506292019</v>
      </c>
      <c r="T327" s="4" t="str">
        <f t="shared" si="190"/>
        <v>1+0,0154600133293005i</v>
      </c>
      <c r="U327" s="4">
        <f t="shared" si="199"/>
        <v>1.0001194988660815</v>
      </c>
      <c r="V327" s="4">
        <f t="shared" si="200"/>
        <v>1.5458781796275195E-2</v>
      </c>
      <c r="W327" t="str">
        <f t="shared" si="191"/>
        <v>1-0,134201504594622i</v>
      </c>
      <c r="X327" s="4">
        <f t="shared" si="201"/>
        <v>1.0089648377597014</v>
      </c>
      <c r="Y327" s="4">
        <f t="shared" si="202"/>
        <v>-0.13340444178260494</v>
      </c>
      <c r="Z327" t="str">
        <f t="shared" si="192"/>
        <v>0,999394575500625+0,115064370039429i</v>
      </c>
      <c r="AA327" s="4">
        <f t="shared" si="203"/>
        <v>1.0059966832910758</v>
      </c>
      <c r="AB327" s="4">
        <f t="shared" si="204"/>
        <v>0.1146293497837028</v>
      </c>
      <c r="AC327" s="48" t="str">
        <f t="shared" si="205"/>
        <v>-0,0423683400791791-0,17932661343235i</v>
      </c>
      <c r="AD327" s="20">
        <f t="shared" si="206"/>
        <v>-14.691204327980534</v>
      </c>
      <c r="AE327" s="44">
        <f t="shared" si="207"/>
        <v>-103.29313843443742</v>
      </c>
      <c r="AF327" t="str">
        <f t="shared" si="193"/>
        <v>-0,0000125211169631323</v>
      </c>
      <c r="AG327" t="str">
        <f t="shared" si="194"/>
        <v>0,000373591222102546i</v>
      </c>
      <c r="AH327">
        <f t="shared" si="208"/>
        <v>3.7359122210254598E-4</v>
      </c>
      <c r="AI327">
        <f t="shared" si="209"/>
        <v>1.5707963267948966</v>
      </c>
      <c r="AJ327" t="str">
        <f t="shared" si="195"/>
        <v>1+0,597902340452352i</v>
      </c>
      <c r="AK327">
        <f t="shared" si="210"/>
        <v>1.1651125304958316</v>
      </c>
      <c r="AL327">
        <f t="shared" si="211"/>
        <v>0.53887567605610331</v>
      </c>
      <c r="AM327" t="str">
        <f t="shared" si="196"/>
        <v>1+87,565515497158i</v>
      </c>
      <c r="AN327">
        <f t="shared" si="212"/>
        <v>87.571225321352102</v>
      </c>
      <c r="AO327">
        <f t="shared" si="213"/>
        <v>1.5593768025057615</v>
      </c>
      <c r="AP327" s="42" t="str">
        <f t="shared" si="214"/>
        <v>-2,14717881635317+1,31731879416201i</v>
      </c>
      <c r="AQ327">
        <f t="shared" si="215"/>
        <v>8.0247992487854543</v>
      </c>
      <c r="AR327" s="44">
        <f t="shared" si="216"/>
        <v>148.47040753391167</v>
      </c>
      <c r="AS327" s="42" t="str">
        <f t="shared" si="217"/>
        <v>0,327202720469921+0,329233694906546i</v>
      </c>
      <c r="AT327" s="20">
        <f t="shared" si="218"/>
        <v>-6.6664050791950666</v>
      </c>
      <c r="AU327" s="44">
        <f t="shared" si="219"/>
        <v>45.177269099474245</v>
      </c>
    </row>
    <row r="328" spans="14:47" x14ac:dyDescent="0.3">
      <c r="N328" s="8">
        <v>10</v>
      </c>
      <c r="O328" s="35">
        <f t="shared" si="221"/>
        <v>12589.254117941671</v>
      </c>
      <c r="P328" s="34" t="str">
        <f t="shared" si="188"/>
        <v>324,571428571429</v>
      </c>
      <c r="Q328" s="4" t="str">
        <f t="shared" si="189"/>
        <v>1+1808,01409147888i</v>
      </c>
      <c r="R328" s="4">
        <f t="shared" si="197"/>
        <v>1808.0143680253759</v>
      </c>
      <c r="S328" s="4">
        <f t="shared" si="198"/>
        <v>1.5702432338169479</v>
      </c>
      <c r="T328" s="4" t="str">
        <f t="shared" si="190"/>
        <v>1+0,0158201233004402i</v>
      </c>
      <c r="U328" s="4">
        <f t="shared" si="199"/>
        <v>1.0001251303218219</v>
      </c>
      <c r="V328" s="4">
        <f t="shared" si="200"/>
        <v>1.5818803697945399E-2</v>
      </c>
      <c r="W328" t="str">
        <f t="shared" si="191"/>
        <v>1-0,13732745920521i</v>
      </c>
      <c r="X328" s="4">
        <f t="shared" si="201"/>
        <v>1.0093853729135165</v>
      </c>
      <c r="Y328" s="4">
        <f t="shared" si="202"/>
        <v>-0.13647381932462915</v>
      </c>
      <c r="Z328" t="str">
        <f t="shared" si="192"/>
        <v>0,999366042723016+0,117744563522547i</v>
      </c>
      <c r="AA328" s="4">
        <f t="shared" si="203"/>
        <v>1.0062784254802326</v>
      </c>
      <c r="AB328" s="4">
        <f t="shared" si="204"/>
        <v>0.11727858743181592</v>
      </c>
      <c r="AC328" s="48" t="str">
        <f t="shared" si="205"/>
        <v>-0,0423506667320583-0,175044625776146i</v>
      </c>
      <c r="AD328" s="20">
        <f t="shared" si="206"/>
        <v>-14.889968098057269</v>
      </c>
      <c r="AE328" s="44">
        <f t="shared" si="207"/>
        <v>-103.60090136627824</v>
      </c>
      <c r="AF328" t="str">
        <f t="shared" si="193"/>
        <v>-0,0000125211169631323</v>
      </c>
      <c r="AG328" t="str">
        <f t="shared" si="194"/>
        <v>0,000382293279555138i</v>
      </c>
      <c r="AH328">
        <f t="shared" si="208"/>
        <v>3.8229327955513801E-4</v>
      </c>
      <c r="AI328">
        <f t="shared" si="209"/>
        <v>1.5707963267948966</v>
      </c>
      <c r="AJ328" t="str">
        <f t="shared" si="195"/>
        <v>1+0,611829275053153i</v>
      </c>
      <c r="AK328">
        <f t="shared" si="210"/>
        <v>1.1723203750733273</v>
      </c>
      <c r="AL328">
        <f t="shared" si="211"/>
        <v>0.54907212327519717</v>
      </c>
      <c r="AM328" t="str">
        <f t="shared" si="196"/>
        <v>1+89,6051783736935i</v>
      </c>
      <c r="AN328">
        <f t="shared" si="212"/>
        <v>89.610758234608369</v>
      </c>
      <c r="AO328">
        <f t="shared" si="213"/>
        <v>1.5596367207817678</v>
      </c>
      <c r="AP328" s="42" t="str">
        <f t="shared" si="214"/>
        <v>-2,12085673939469+1,33035488868867i</v>
      </c>
      <c r="AQ328">
        <f t="shared" si="215"/>
        <v>7.9712049575243142</v>
      </c>
      <c r="AR328" s="44">
        <f t="shared" si="216"/>
        <v>147.90108636246333</v>
      </c>
      <c r="AS328" s="42" t="str">
        <f t="shared" si="217"/>
        <v>0,322691170596519+0,314903157745942i</v>
      </c>
      <c r="AT328" s="20">
        <f t="shared" si="218"/>
        <v>-6.9187631405329597</v>
      </c>
      <c r="AU328" s="44">
        <f t="shared" si="219"/>
        <v>44.300184996185067</v>
      </c>
    </row>
    <row r="329" spans="14:47" x14ac:dyDescent="0.3">
      <c r="N329" s="8">
        <v>11</v>
      </c>
      <c r="O329" s="35">
        <f t="shared" si="221"/>
        <v>12882.49551693136</v>
      </c>
      <c r="P329" s="34" t="str">
        <f t="shared" si="188"/>
        <v>324,571428571429</v>
      </c>
      <c r="Q329" s="4" t="str">
        <f t="shared" si="189"/>
        <v>1+1850,1281497552i</v>
      </c>
      <c r="R329" s="4">
        <f t="shared" si="197"/>
        <v>1850.12842000673</v>
      </c>
      <c r="S329" s="4">
        <f t="shared" si="198"/>
        <v>1.5702558237477151</v>
      </c>
      <c r="T329" s="4" t="str">
        <f t="shared" si="190"/>
        <v>1+0,016188621310358i</v>
      </c>
      <c r="U329" s="4">
        <f t="shared" si="199"/>
        <v>1.0001310271459085</v>
      </c>
      <c r="V329" s="4">
        <f t="shared" si="200"/>
        <v>1.6187207340814292E-2</v>
      </c>
      <c r="W329" t="str">
        <f t="shared" si="191"/>
        <v>1-0,140526226652413i</v>
      </c>
      <c r="X329" s="4">
        <f t="shared" si="201"/>
        <v>1.0098255395746165</v>
      </c>
      <c r="Y329" s="4">
        <f t="shared" si="202"/>
        <v>-0.13961201502626955</v>
      </c>
      <c r="Z329" t="str">
        <f t="shared" si="192"/>
        <v>0,999336165237025+0,120487186731779i</v>
      </c>
      <c r="AA329" s="4">
        <f t="shared" si="203"/>
        <v>1.0065733621138506</v>
      </c>
      <c r="AB329" s="4">
        <f t="shared" si="204"/>
        <v>0.11998805982000557</v>
      </c>
      <c r="AC329" s="48" t="str">
        <f t="shared" si="205"/>
        <v>-0,0423317560068896-0,170855681991498i</v>
      </c>
      <c r="AD329" s="20">
        <f t="shared" si="206"/>
        <v>-15.088675391521512</v>
      </c>
      <c r="AE329" s="44">
        <f t="shared" si="207"/>
        <v>-103.91556144382253</v>
      </c>
      <c r="AF329" t="str">
        <f t="shared" si="193"/>
        <v>-0,0000125211169631323</v>
      </c>
      <c r="AG329" t="str">
        <f t="shared" si="194"/>
        <v>0,000391198033964801i</v>
      </c>
      <c r="AH329">
        <f t="shared" si="208"/>
        <v>3.9119803396480101E-4</v>
      </c>
      <c r="AI329">
        <f t="shared" si="209"/>
        <v>1.5707963267948966</v>
      </c>
      <c r="AJ329" t="str">
        <f t="shared" si="195"/>
        <v>1+0,626080609634106i</v>
      </c>
      <c r="AK329">
        <f t="shared" si="210"/>
        <v>1.179820719329769</v>
      </c>
      <c r="AL329">
        <f t="shared" si="211"/>
        <v>0.55937600557635092</v>
      </c>
      <c r="AM329" t="str">
        <f t="shared" si="196"/>
        <v>1+91,6923511018677i</v>
      </c>
      <c r="AN329">
        <f t="shared" si="212"/>
        <v>91.697803957282304</v>
      </c>
      <c r="AO329">
        <f t="shared" si="213"/>
        <v>1.5598907240525515</v>
      </c>
      <c r="AP329" s="42" t="str">
        <f t="shared" si="214"/>
        <v>-2,09397707369582+1,34300554891819i</v>
      </c>
      <c r="AQ329">
        <f t="shared" si="215"/>
        <v>7.9157865042092288</v>
      </c>
      <c r="AR329" s="44">
        <f t="shared" si="216"/>
        <v>147.325270709406</v>
      </c>
      <c r="AS329" s="42" t="str">
        <f t="shared" si="217"/>
        <v>0,318101855546496+0,300916097788157i</v>
      </c>
      <c r="AT329" s="20">
        <f t="shared" si="218"/>
        <v>-7.1728888873122774</v>
      </c>
      <c r="AU329" s="44">
        <f t="shared" si="219"/>
        <v>43.409709265583423</v>
      </c>
    </row>
    <row r="330" spans="14:47" x14ac:dyDescent="0.3">
      <c r="N330" s="8">
        <v>12</v>
      </c>
      <c r="O330" s="35">
        <f t="shared" si="221"/>
        <v>13182.567385564091</v>
      </c>
      <c r="P330" s="34" t="str">
        <f t="shared" si="188"/>
        <v>324,571428571429</v>
      </c>
      <c r="Q330" s="4" t="str">
        <f t="shared" si="189"/>
        <v>1+1893,22317046585i</v>
      </c>
      <c r="R330" s="4">
        <f t="shared" si="197"/>
        <v>1893.223434565705</v>
      </c>
      <c r="S330" s="4">
        <f t="shared" si="198"/>
        <v>1.5702681270968359</v>
      </c>
      <c r="T330" s="4" t="str">
        <f t="shared" si="190"/>
        <v>1+0,0165657027415762i</v>
      </c>
      <c r="U330" s="4">
        <f t="shared" si="199"/>
        <v>1.0001372018414885</v>
      </c>
      <c r="V330" s="4">
        <f t="shared" si="200"/>
        <v>1.6564187657138376E-2</v>
      </c>
      <c r="W330" t="str">
        <f t="shared" si="191"/>
        <v>1-0,143799502965071i</v>
      </c>
      <c r="X330" s="4">
        <f t="shared" si="201"/>
        <v>1.0102862451072971</v>
      </c>
      <c r="Y330" s="4">
        <f t="shared" si="202"/>
        <v>-0.14282044542412134</v>
      </c>
      <c r="Z330" t="str">
        <f t="shared" si="192"/>
        <v>0,9993048796685+0,123293693842252i</v>
      </c>
      <c r="AA330" s="4">
        <f t="shared" si="203"/>
        <v>1.0068821070366394</v>
      </c>
      <c r="AB330" s="4">
        <f t="shared" si="204"/>
        <v>0.1227590664273632</v>
      </c>
      <c r="AC330" s="48" t="str">
        <f t="shared" si="205"/>
        <v>-0,0423115715232998-0,1667575772956i</v>
      </c>
      <c r="AD330" s="20">
        <f t="shared" si="206"/>
        <v>-15.287323713805483</v>
      </c>
      <c r="AE330" s="44">
        <f t="shared" si="207"/>
        <v>-104.23726349697901</v>
      </c>
      <c r="AF330" t="str">
        <f t="shared" si="193"/>
        <v>-0,0000125211169631323</v>
      </c>
      <c r="AG330" t="str">
        <f t="shared" si="194"/>
        <v>0,000400310206750189i</v>
      </c>
      <c r="AH330">
        <f t="shared" si="208"/>
        <v>4.0031020675018898E-4</v>
      </c>
      <c r="AI330">
        <f t="shared" si="209"/>
        <v>1.5707963267948966</v>
      </c>
      <c r="AJ330" t="str">
        <f t="shared" si="195"/>
        <v>1+0,640663900441443i</v>
      </c>
      <c r="AK330">
        <f t="shared" si="210"/>
        <v>1.1876237760035133</v>
      </c>
      <c r="AL330">
        <f t="shared" si="211"/>
        <v>0.56978403412913081</v>
      </c>
      <c r="AM330" t="str">
        <f t="shared" si="196"/>
        <v>1+93,8281403282877i</v>
      </c>
      <c r="AN330">
        <f t="shared" si="212"/>
        <v>93.833469068690249</v>
      </c>
      <c r="AO330">
        <f t="shared" si="213"/>
        <v>1.5601389468628319</v>
      </c>
      <c r="AP330" s="42" t="str">
        <f t="shared" si="214"/>
        <v>-2,0665513104644+1,35524335840031i</v>
      </c>
      <c r="AQ330">
        <f t="shared" si="215"/>
        <v>7.8585059625131235</v>
      </c>
      <c r="AR330" s="44">
        <f t="shared" si="216"/>
        <v>146.7431567196879</v>
      </c>
      <c r="AS330" s="42" t="str">
        <f t="shared" si="217"/>
        <v>0,313436132672072+0,287270613599659i</v>
      </c>
      <c r="AT330" s="20">
        <f t="shared" si="218"/>
        <v>-7.4288177512923523</v>
      </c>
      <c r="AU330" s="44">
        <f t="shared" si="219"/>
        <v>42.505893222708863</v>
      </c>
    </row>
    <row r="331" spans="14:47" x14ac:dyDescent="0.3">
      <c r="N331" s="8">
        <v>13</v>
      </c>
      <c r="O331" s="35">
        <f t="shared" si="221"/>
        <v>13489.628825916556</v>
      </c>
      <c r="P331" s="34" t="str">
        <f t="shared" si="188"/>
        <v>324,571428571429</v>
      </c>
      <c r="Q331" s="4" t="str">
        <f t="shared" si="189"/>
        <v>1+1937,32200316126i</v>
      </c>
      <c r="R331" s="4">
        <f t="shared" si="197"/>
        <v>1937.3222612494692</v>
      </c>
      <c r="S331" s="4">
        <f t="shared" si="198"/>
        <v>1.5702801503876935</v>
      </c>
      <c r="T331" s="4" t="str">
        <f t="shared" si="190"/>
        <v>1+0,016951567527661i</v>
      </c>
      <c r="U331" s="4">
        <f t="shared" si="199"/>
        <v>1.0001436675006472</v>
      </c>
      <c r="V331" s="4">
        <f t="shared" si="200"/>
        <v>1.6949944098031539E-2</v>
      </c>
      <c r="W331" t="str">
        <f t="shared" si="191"/>
        <v>1-0,147149023677613i</v>
      </c>
      <c r="X331" s="4">
        <f t="shared" si="201"/>
        <v>1.0107684379566244</v>
      </c>
      <c r="Y331" s="4">
        <f t="shared" si="202"/>
        <v>-0.14610054731094921</v>
      </c>
      <c r="Z331" t="str">
        <f t="shared" si="192"/>
        <v>0,999272119656556+0,126165572901185i</v>
      </c>
      <c r="AA331" s="4">
        <f t="shared" si="203"/>
        <v>1.0072053022638388</v>
      </c>
      <c r="AB331" s="4">
        <f t="shared" si="204"/>
        <v>0.12559292981618092</v>
      </c>
      <c r="AC331" s="48" t="str">
        <f t="shared" si="205"/>
        <v>-0,042290074549354-0,162748156177538i</v>
      </c>
      <c r="AD331" s="20">
        <f t="shared" si="206"/>
        <v>-15.485910468309971</v>
      </c>
      <c r="AE331" s="44">
        <f t="shared" si="207"/>
        <v>-104.56615457120186</v>
      </c>
      <c r="AF331" t="str">
        <f t="shared" si="193"/>
        <v>-0,0000125211169631323</v>
      </c>
      <c r="AG331" t="str">
        <f t="shared" si="194"/>
        <v>0,000409634629305929i</v>
      </c>
      <c r="AH331">
        <f t="shared" si="208"/>
        <v>4.0963462930592901E-4</v>
      </c>
      <c r="AI331">
        <f t="shared" si="209"/>
        <v>1.5707963267948966</v>
      </c>
      <c r="AJ331" t="str">
        <f t="shared" si="195"/>
        <v>1+0,655586879728984i</v>
      </c>
      <c r="AK331">
        <f t="shared" si="210"/>
        <v>1.1957400038774253</v>
      </c>
      <c r="AL331">
        <f t="shared" si="211"/>
        <v>0.58029270734417537</v>
      </c>
      <c r="AM331" t="str">
        <f t="shared" si="196"/>
        <v>1+96,013678476672i</v>
      </c>
      <c r="AN331">
        <f t="shared" si="212"/>
        <v>96.018885926789167</v>
      </c>
      <c r="AO331">
        <f t="shared" si="213"/>
        <v>1.5603815207012053</v>
      </c>
      <c r="AP331" s="42" t="str">
        <f t="shared" si="214"/>
        <v>-2,03859259322032+1,36704110621414i</v>
      </c>
      <c r="AQ331">
        <f t="shared" si="215"/>
        <v>7.7993262534906895</v>
      </c>
      <c r="AR331" s="44">
        <f t="shared" si="216"/>
        <v>146.15495255334304</v>
      </c>
      <c r="AS331" s="42" t="str">
        <f t="shared" si="217"/>
        <v>0,308695652198301+0,273964915449965i</v>
      </c>
      <c r="AT331" s="20">
        <f t="shared" si="218"/>
        <v>-7.6865842148192947</v>
      </c>
      <c r="AU331" s="44">
        <f t="shared" si="219"/>
        <v>41.588797982141173</v>
      </c>
    </row>
    <row r="332" spans="14:47" x14ac:dyDescent="0.3">
      <c r="N332" s="8">
        <v>14</v>
      </c>
      <c r="O332" s="35">
        <f t="shared" si="221"/>
        <v>13803.842646028841</v>
      </c>
      <c r="P332" s="34" t="str">
        <f t="shared" si="188"/>
        <v>324,571428571429</v>
      </c>
      <c r="Q332" s="4" t="str">
        <f t="shared" si="189"/>
        <v>1+1982,44802962623i</v>
      </c>
      <c r="R332" s="4">
        <f t="shared" si="197"/>
        <v>1982.4482818396355</v>
      </c>
      <c r="S332" s="4">
        <f t="shared" si="198"/>
        <v>1.5702918999951823</v>
      </c>
      <c r="T332" s="4" t="str">
        <f t="shared" si="190"/>
        <v>1+0,0173464202592295i</v>
      </c>
      <c r="U332" s="4">
        <f t="shared" si="199"/>
        <v>1.0001504378321342</v>
      </c>
      <c r="V332" s="4">
        <f t="shared" si="200"/>
        <v>1.7344680737172102E-2</v>
      </c>
      <c r="W332" t="str">
        <f t="shared" si="191"/>
        <v>1-0,150576564750256i</v>
      </c>
      <c r="X332" s="4">
        <f t="shared" si="201"/>
        <v>1.0112731094279073</v>
      </c>
      <c r="Y332" s="4">
        <f t="shared" si="202"/>
        <v>-0.1494537773664695</v>
      </c>
      <c r="Z332" t="str">
        <f t="shared" si="192"/>
        <v>0,999237815712815+0,129104346616869i</v>
      </c>
      <c r="AA332" s="4">
        <f t="shared" si="203"/>
        <v>1.0075436192373441</v>
      </c>
      <c r="AB332" s="4">
        <f t="shared" si="204"/>
        <v>0.12849099568211633</v>
      </c>
      <c r="AC332" s="48" t="str">
        <f t="shared" si="205"/>
        <v>-0,0422672239517786-0,158825311328622i</v>
      </c>
      <c r="AD332" s="20">
        <f t="shared" si="206"/>
        <v>-15.684432953002485</v>
      </c>
      <c r="AE332" s="44">
        <f t="shared" si="207"/>
        <v>-104.9023839034667</v>
      </c>
      <c r="AF332" t="str">
        <f t="shared" si="193"/>
        <v>-0,0000125211169631323</v>
      </c>
      <c r="AG332" t="str">
        <f t="shared" si="194"/>
        <v>0,00041917624556428i</v>
      </c>
      <c r="AH332">
        <f t="shared" si="208"/>
        <v>4.1917624556428001E-4</v>
      </c>
      <c r="AI332">
        <f t="shared" si="209"/>
        <v>1.5707963267948966</v>
      </c>
      <c r="AJ332" t="str">
        <f t="shared" si="195"/>
        <v>1+0,670857459857873i</v>
      </c>
      <c r="AK332">
        <f t="shared" si="210"/>
        <v>1.2041801075615548</v>
      </c>
      <c r="AL332">
        <f t="shared" si="211"/>
        <v>0.59089831288494299</v>
      </c>
      <c r="AM332" t="str">
        <f t="shared" si="196"/>
        <v>1+98,2501243482758i</v>
      </c>
      <c r="AN332">
        <f t="shared" si="212"/>
        <v>98.255213268567374</v>
      </c>
      <c r="AO332">
        <f t="shared" si="213"/>
        <v>1.560618574069278</v>
      </c>
      <c r="AP332" s="42" t="str">
        <f t="shared" si="214"/>
        <v>-2,01011573245974+1,37837190368379i</v>
      </c>
      <c r="AQ332">
        <f t="shared" si="215"/>
        <v>7.7382112594043395</v>
      </c>
      <c r="AR332" s="44">
        <f t="shared" si="216"/>
        <v>145.56087827418631</v>
      </c>
      <c r="AS332" s="42" t="str">
        <f t="shared" si="217"/>
        <v>0,303882358562073+0,260997303072637i</v>
      </c>
      <c r="AT332" s="20">
        <f t="shared" si="218"/>
        <v>-7.9462216935981376</v>
      </c>
      <c r="AU332" s="44">
        <f t="shared" si="219"/>
        <v>40.658494370719588</v>
      </c>
    </row>
    <row r="333" spans="14:47" x14ac:dyDescent="0.3">
      <c r="N333" s="8">
        <v>15</v>
      </c>
      <c r="O333" s="35">
        <f t="shared" si="221"/>
        <v>14125.375446227561</v>
      </c>
      <c r="P333" s="34" t="str">
        <f t="shared" si="188"/>
        <v>324,571428571429</v>
      </c>
      <c r="Q333" s="4" t="str">
        <f t="shared" si="189"/>
        <v>1+2028,62517627731i</v>
      </c>
      <c r="R333" s="4">
        <f t="shared" si="197"/>
        <v>2028.6254227496379</v>
      </c>
      <c r="S333" s="4">
        <f t="shared" si="198"/>
        <v>1.5703033821490864</v>
      </c>
      <c r="T333" s="4" t="str">
        <f t="shared" si="190"/>
        <v>1+0,0177504702924265i</v>
      </c>
      <c r="U333" s="4">
        <f t="shared" si="199"/>
        <v>1.0001575271903933</v>
      </c>
      <c r="V333" s="4">
        <f t="shared" si="200"/>
        <v>1.7748606376815333E-2</v>
      </c>
      <c r="W333" t="str">
        <f t="shared" si="191"/>
        <v>1-0,154083943510646i</v>
      </c>
      <c r="X333" s="4">
        <f t="shared" si="201"/>
        <v>1.0118012955357352</v>
      </c>
      <c r="Y333" s="4">
        <f t="shared" si="202"/>
        <v>-0.15288161172750472</v>
      </c>
      <c r="Z333" t="str">
        <f t="shared" si="192"/>
        <v>0,999201895074012+0,132111573166028i</v>
      </c>
      <c r="AA333" s="4">
        <f t="shared" si="203"/>
        <v>1.0078977601343797</v>
      </c>
      <c r="AB333" s="4">
        <f t="shared" si="204"/>
        <v>0.13145463287377349</v>
      </c>
      <c r="AC333" s="48" t="str">
        <f t="shared" si="205"/>
        <v>-0,0422429761440065-0,154986982602758i</v>
      </c>
      <c r="AD333" s="20">
        <f t="shared" si="206"/>
        <v>-15.882888356979477</v>
      </c>
      <c r="AE333" s="44">
        <f t="shared" si="207"/>
        <v>-105.24610289288363</v>
      </c>
      <c r="AF333" t="str">
        <f t="shared" si="193"/>
        <v>-0,0000125211169631323</v>
      </c>
      <c r="AG333" t="str">
        <f t="shared" si="194"/>
        <v>0,000428940114616485i</v>
      </c>
      <c r="AH333">
        <f t="shared" si="208"/>
        <v>4.2894011461648497E-4</v>
      </c>
      <c r="AI333">
        <f t="shared" si="209"/>
        <v>1.5707963267948966</v>
      </c>
      <c r="AJ333" t="str">
        <f t="shared" si="195"/>
        <v>1+0,68648373749183i</v>
      </c>
      <c r="AK333">
        <f t="shared" si="210"/>
        <v>1.2129550370235296</v>
      </c>
      <c r="AL333">
        <f t="shared" si="211"/>
        <v>0.60159693061774089</v>
      </c>
      <c r="AM333" t="str">
        <f t="shared" si="196"/>
        <v>1+100,538663736303i</v>
      </c>
      <c r="AN333">
        <f t="shared" si="212"/>
        <v>100.54363682442269</v>
      </c>
      <c r="AO333">
        <f t="shared" si="213"/>
        <v>1.5608502325492537</v>
      </c>
      <c r="AP333" s="42" t="str">
        <f t="shared" si="214"/>
        <v>-1,98113721087689+1,38920930466901i</v>
      </c>
      <c r="AQ333">
        <f t="shared" si="215"/>
        <v>7.6751259382407513</v>
      </c>
      <c r="AR333" s="44">
        <f t="shared" si="216"/>
        <v>144.96116568466414</v>
      </c>
      <c r="AS333" s="42" t="str">
        <f t="shared" si="217"/>
        <v>0,298998490271401+0,248366142919688i</v>
      </c>
      <c r="AT333" s="20">
        <f t="shared" si="218"/>
        <v>-8.207762418738735</v>
      </c>
      <c r="AU333" s="44">
        <f t="shared" si="219"/>
        <v>39.715062791780518</v>
      </c>
    </row>
    <row r="334" spans="14:47" x14ac:dyDescent="0.3">
      <c r="N334" s="8">
        <v>16</v>
      </c>
      <c r="O334" s="35">
        <f t="shared" si="221"/>
        <v>14454.397707459291</v>
      </c>
      <c r="P334" s="34" t="str">
        <f t="shared" si="188"/>
        <v>324,571428571429</v>
      </c>
      <c r="Q334" s="4" t="str">
        <f t="shared" si="189"/>
        <v>1+2075,87792684888i</v>
      </c>
      <c r="R334" s="4">
        <f t="shared" si="197"/>
        <v>2075.8781677108136</v>
      </c>
      <c r="S334" s="4">
        <f t="shared" si="198"/>
        <v>1.5703146029373838</v>
      </c>
      <c r="T334" s="4" t="str">
        <f t="shared" si="190"/>
        <v>1+0,0181639318599277i</v>
      </c>
      <c r="U334" s="4">
        <f t="shared" si="199"/>
        <v>1.0001649506059549</v>
      </c>
      <c r="V334" s="4">
        <f t="shared" si="200"/>
        <v>1.8161934656156481E-2</v>
      </c>
      <c r="W334" t="str">
        <f t="shared" si="191"/>
        <v>1-0,157673019617428i</v>
      </c>
      <c r="X334" s="4">
        <f t="shared" si="201"/>
        <v>1.0123540789246013</v>
      </c>
      <c r="Y334" s="4">
        <f t="shared" si="202"/>
        <v>-0.1563855454932811</v>
      </c>
      <c r="Z334" t="str">
        <f t="shared" si="192"/>
        <v>0,999164281547658+0,135188847019983i</v>
      </c>
      <c r="AA334" s="4">
        <f t="shared" si="203"/>
        <v>1.0082684592305959</v>
      </c>
      <c r="AB334" s="4">
        <f t="shared" si="204"/>
        <v>0.13448523337907234</v>
      </c>
      <c r="AC334" s="48" t="str">
        <f t="shared" si="205"/>
        <v>-0,0422172850321936-0,151231156006582i</v>
      </c>
      <c r="AD334" s="20">
        <f t="shared" si="206"/>
        <v>-16.08127375699943</v>
      </c>
      <c r="AE334" s="44">
        <f t="shared" si="207"/>
        <v>-105.59746506555246</v>
      </c>
      <c r="AF334" t="str">
        <f t="shared" si="193"/>
        <v>-0,0000125211169631323</v>
      </c>
      <c r="AG334" t="str">
        <f t="shared" si="194"/>
        <v>0,000438931413395153i</v>
      </c>
      <c r="AH334">
        <f t="shared" si="208"/>
        <v>4.3893141339515301E-4</v>
      </c>
      <c r="AI334">
        <f t="shared" si="209"/>
        <v>1.5707963267948966</v>
      </c>
      <c r="AJ334" t="str">
        <f t="shared" si="195"/>
        <v>1+0,702473997890091i</v>
      </c>
      <c r="AK334">
        <f t="shared" si="210"/>
        <v>1.2220759868812117</v>
      </c>
      <c r="AL334">
        <f t="shared" si="211"/>
        <v>0.61238443652493146</v>
      </c>
      <c r="AM334" t="str">
        <f t="shared" si="196"/>
        <v>1+102,88051005463i</v>
      </c>
      <c r="AN334">
        <f t="shared" si="212"/>
        <v>102.88536994685309</v>
      </c>
      <c r="AO334">
        <f t="shared" si="213"/>
        <v>1.5610766188700107</v>
      </c>
      <c r="AP334" s="42" t="str">
        <f t="shared" si="214"/>
        <v>-1,95167517858787+1,39952742858739i</v>
      </c>
      <c r="AQ334">
        <f t="shared" si="215"/>
        <v>7.6100364382502388</v>
      </c>
      <c r="AR334" s="44">
        <f t="shared" si="216"/>
        <v>144.35605810542859</v>
      </c>
      <c r="AS334" s="42" t="str">
        <f t="shared" si="217"/>
        <v>0,294046578192892+0,236069845044149i</v>
      </c>
      <c r="AT334" s="20">
        <f t="shared" si="218"/>
        <v>-8.4712373187491838</v>
      </c>
      <c r="AU334" s="44">
        <f t="shared" si="219"/>
        <v>38.758593039876075</v>
      </c>
    </row>
    <row r="335" spans="14:47" x14ac:dyDescent="0.3">
      <c r="N335" s="8">
        <v>17</v>
      </c>
      <c r="O335" s="35">
        <f t="shared" si="221"/>
        <v>14791.083881682089</v>
      </c>
      <c r="P335" s="34" t="str">
        <f t="shared" si="188"/>
        <v>324,571428571429</v>
      </c>
      <c r="Q335" s="4" t="str">
        <f t="shared" si="189"/>
        <v>1+2124,23133537476i</v>
      </c>
      <c r="R335" s="4">
        <f t="shared" si="197"/>
        <v>2124.231570754007</v>
      </c>
      <c r="S335" s="4">
        <f t="shared" si="198"/>
        <v>1.5703255683094737</v>
      </c>
      <c r="T335" s="4" t="str">
        <f t="shared" si="190"/>
        <v>1+0,0185870241845291i</v>
      </c>
      <c r="U335" s="4">
        <f t="shared" si="199"/>
        <v>1.0001727238172595</v>
      </c>
      <c r="V335" s="4">
        <f t="shared" si="200"/>
        <v>1.8584884162091444E-2</v>
      </c>
      <c r="W335" t="str">
        <f t="shared" si="191"/>
        <v>1-0,16134569604626i</v>
      </c>
      <c r="X335" s="4">
        <f t="shared" si="201"/>
        <v>1.0129325908631097</v>
      </c>
      <c r="Y335" s="4">
        <f t="shared" si="202"/>
        <v>-0.15996709216145896</v>
      </c>
      <c r="Z335" t="str">
        <f t="shared" si="192"/>
        <v>0,99912489535042+0,138337799790063i</v>
      </c>
      <c r="AA335" s="4">
        <f t="shared" si="203"/>
        <v>1.008656484319485</v>
      </c>
      <c r="AB335" s="4">
        <f t="shared" si="204"/>
        <v>0.13758421227563386</v>
      </c>
      <c r="AC335" s="48" t="str">
        <f t="shared" si="205"/>
        <v>-0,0421901019593644-0,147555862719061i</v>
      </c>
      <c r="AD335" s="20">
        <f t="shared" si="206"/>
        <v>-16.279586113996711</v>
      </c>
      <c r="AE335" s="44">
        <f t="shared" si="207"/>
        <v>-105.95662603324568</v>
      </c>
      <c r="AF335" t="str">
        <f t="shared" si="193"/>
        <v>-0,0000125211169631323</v>
      </c>
      <c r="AG335" t="str">
        <f t="shared" si="194"/>
        <v>0,000449155439419147i</v>
      </c>
      <c r="AH335">
        <f t="shared" si="208"/>
        <v>4.4915543941914698E-4</v>
      </c>
      <c r="AI335">
        <f t="shared" si="209"/>
        <v>1.5707963267948966</v>
      </c>
      <c r="AJ335" t="str">
        <f t="shared" si="195"/>
        <v>1+0,718836719300375i</v>
      </c>
      <c r="AK335">
        <f t="shared" si="210"/>
        <v>1.2315543954752977</v>
      </c>
      <c r="AL335">
        <f t="shared" si="211"/>
        <v>0.62325650759929418</v>
      </c>
      <c r="AM335" t="str">
        <f t="shared" si="196"/>
        <v>1+105,276904981173i</v>
      </c>
      <c r="AN335">
        <f t="shared" si="212"/>
        <v>105.28165425379167</v>
      </c>
      <c r="AO335">
        <f t="shared" si="213"/>
        <v>1.5612978529717003</v>
      </c>
      <c r="AP335" s="42" t="str">
        <f t="shared" si="214"/>
        <v>-1,92174943788265+1,40930108524204i</v>
      </c>
      <c r="AQ335">
        <f t="shared" si="215"/>
        <v>7.5429102118055757</v>
      </c>
      <c r="AR335" s="44">
        <f t="shared" si="216"/>
        <v>143.74581009861251</v>
      </c>
      <c r="AS335" s="42" t="str">
        <f t="shared" si="217"/>
        <v>0,289029442188418+0,22410683975884i</v>
      </c>
      <c r="AT335" s="20">
        <f t="shared" si="218"/>
        <v>-8.7366759021911502</v>
      </c>
      <c r="AU335" s="44">
        <f t="shared" si="219"/>
        <v>37.789184065366825</v>
      </c>
    </row>
    <row r="336" spans="14:47" x14ac:dyDescent="0.3">
      <c r="N336" s="8">
        <v>18</v>
      </c>
      <c r="O336" s="35">
        <f t="shared" si="221"/>
        <v>15135.612484362096</v>
      </c>
      <c r="P336" s="34" t="str">
        <f t="shared" si="188"/>
        <v>324,571428571429</v>
      </c>
      <c r="Q336" s="4" t="str">
        <f t="shared" si="189"/>
        <v>1+2173,71103947218i</v>
      </c>
      <c r="R336" s="4">
        <f t="shared" si="197"/>
        <v>2173.7112694935417</v>
      </c>
      <c r="S336" s="4">
        <f t="shared" si="198"/>
        <v>1.5703362840793311</v>
      </c>
      <c r="T336" s="4" t="str">
        <f t="shared" si="190"/>
        <v>1+0,0190199715953816i</v>
      </c>
      <c r="U336" s="4">
        <f t="shared" si="199"/>
        <v>1.0001808633039773</v>
      </c>
      <c r="V336" s="4">
        <f t="shared" si="200"/>
        <v>1.9017678542420643E-2</v>
      </c>
      <c r="W336" t="str">
        <f t="shared" si="191"/>
        <v>1-0,165103920098798i</v>
      </c>
      <c r="X336" s="4">
        <f t="shared" si="201"/>
        <v>1.0135380133137535</v>
      </c>
      <c r="Y336" s="4">
        <f t="shared" si="202"/>
        <v>-0.1636277829902843</v>
      </c>
      <c r="Z336" t="str">
        <f t="shared" si="192"/>
        <v>0,999083652938893+0,14156010109271i</v>
      </c>
      <c r="AA336" s="4">
        <f t="shared" si="203"/>
        <v>1.0090626381900685</v>
      </c>
      <c r="AB336" s="4">
        <f t="shared" si="204"/>
        <v>0.14075300764223569</v>
      </c>
      <c r="AC336" s="48" t="str">
        <f t="shared" si="205"/>
        <v>-0,0421613756478649-0,143959178140302i</v>
      </c>
      <c r="AD336" s="20">
        <f t="shared" si="206"/>
        <v>-16.477822269586685</v>
      </c>
      <c r="AE336" s="44">
        <f t="shared" si="207"/>
        <v>-106.32374344548364</v>
      </c>
      <c r="AF336" t="str">
        <f t="shared" si="193"/>
        <v>-0,0000125211169631323</v>
      </c>
      <c r="AG336" t="str">
        <f t="shared" si="194"/>
        <v>0,000459617613602396i</v>
      </c>
      <c r="AH336">
        <f t="shared" si="208"/>
        <v>4.59617613602396E-4</v>
      </c>
      <c r="AI336">
        <f t="shared" si="209"/>
        <v>1.5707963267948966</v>
      </c>
      <c r="AJ336" t="str">
        <f t="shared" si="195"/>
        <v>1+0,735580577454161i</v>
      </c>
      <c r="AK336">
        <f t="shared" si="210"/>
        <v>1.2414019437425563</v>
      </c>
      <c r="AL336">
        <f t="shared" si="211"/>
        <v>0.63420862772983677</v>
      </c>
      <c r="AM336" t="str">
        <f t="shared" si="196"/>
        <v>1+107,729119116241i</v>
      </c>
      <c r="AN336">
        <f t="shared" si="212"/>
        <v>107.7337602869279</v>
      </c>
      <c r="AO336">
        <f t="shared" si="213"/>
        <v>1.5615140520688959</v>
      </c>
      <c r="AP336" s="42" t="str">
        <f t="shared" si="214"/>
        <v>-1,89138141712574+1,4185059004549i</v>
      </c>
      <c r="AQ336">
        <f t="shared" si="215"/>
        <v>7.4737161278483457</v>
      </c>
      <c r="AR336" s="44">
        <f t="shared" si="216"/>
        <v>143.130687134216</v>
      </c>
      <c r="AS336" s="42" t="str">
        <f t="shared" si="217"/>
        <v>0,283950186037486+0,212475554231469i</v>
      </c>
      <c r="AT336" s="20">
        <f t="shared" si="218"/>
        <v>-9.0041061417383421</v>
      </c>
      <c r="AU336" s="44">
        <f t="shared" si="219"/>
        <v>36.806943688732289</v>
      </c>
    </row>
    <row r="337" spans="14:47" x14ac:dyDescent="0.3">
      <c r="N337" s="8">
        <v>19</v>
      </c>
      <c r="O337" s="35">
        <f t="shared" si="221"/>
        <v>15488.166189124853</v>
      </c>
      <c r="P337" s="34" t="str">
        <f t="shared" si="188"/>
        <v>324,571428571429</v>
      </c>
      <c r="Q337" s="4" t="str">
        <f t="shared" si="189"/>
        <v>1+2224,3432739352i</v>
      </c>
      <c r="R337" s="4">
        <f t="shared" si="197"/>
        <v>2224.3434987206374</v>
      </c>
      <c r="S337" s="4">
        <f t="shared" si="198"/>
        <v>1.5703467559285889</v>
      </c>
      <c r="T337" s="4" t="str">
        <f t="shared" si="190"/>
        <v>1+0,019463003646933i</v>
      </c>
      <c r="U337" s="4">
        <f t="shared" si="199"/>
        <v>1.0001893863218909</v>
      </c>
      <c r="V337" s="4">
        <f t="shared" si="200"/>
        <v>1.9460546621544002E-2</v>
      </c>
      <c r="W337" t="str">
        <f t="shared" si="191"/>
        <v>1-0,168949684435182i</v>
      </c>
      <c r="X337" s="4">
        <f t="shared" si="201"/>
        <v>1.0141715810802172</v>
      </c>
      <c r="Y337" s="4">
        <f t="shared" si="202"/>
        <v>-0.16736916628204043</v>
      </c>
      <c r="Z337" t="str">
        <f t="shared" si="192"/>
        <v>0,999040466832392+0,144857459434725i</v>
      </c>
      <c r="AA337" s="4">
        <f t="shared" si="203"/>
        <v>1.0094877601648109</v>
      </c>
      <c r="AB337" s="4">
        <f t="shared" si="204"/>
        <v>0.14399308042821787</v>
      </c>
      <c r="AC337" s="48" t="str">
        <f t="shared" si="205"/>
        <v>-0,0421310521403145-0,140439220969311i</v>
      </c>
      <c r="AD337" s="20">
        <f t="shared" si="206"/>
        <v>-16.675978942575171</v>
      </c>
      <c r="AE337" s="44">
        <f t="shared" si="207"/>
        <v>-106.69897693454539</v>
      </c>
      <c r="AF337" t="str">
        <f t="shared" si="193"/>
        <v>-0,0000125211169631323</v>
      </c>
      <c r="AG337" t="str">
        <f t="shared" si="194"/>
        <v>0,000470323483128136i</v>
      </c>
      <c r="AH337">
        <f t="shared" si="208"/>
        <v>4.70323483128136E-4</v>
      </c>
      <c r="AI337">
        <f t="shared" si="209"/>
        <v>1.5707963267948966</v>
      </c>
      <c r="AJ337" t="str">
        <f t="shared" si="195"/>
        <v>1+0,752714450166675i</v>
      </c>
      <c r="AK337">
        <f t="shared" si="210"/>
        <v>1.251630553913462</v>
      </c>
      <c r="AL337">
        <f t="shared" si="211"/>
        <v>0.64523609458123399</v>
      </c>
      <c r="AM337" t="str">
        <f t="shared" si="196"/>
        <v>1+110,238452656228i</v>
      </c>
      <c r="AN337">
        <f t="shared" si="212"/>
        <v>110.24298818536906</v>
      </c>
      <c r="AO337">
        <f t="shared" si="213"/>
        <v>1.5617253307123296</v>
      </c>
      <c r="AP337" s="42" t="str">
        <f t="shared" si="214"/>
        <v>-1,86059413353161+1,4271184414422i</v>
      </c>
      <c r="AQ337">
        <f t="shared" si="215"/>
        <v>7.402424582168166</v>
      </c>
      <c r="AR337" s="44">
        <f t="shared" si="216"/>
        <v>142.51096519948038</v>
      </c>
      <c r="AS337" s="42" t="str">
        <f t="shared" si="217"/>
        <v>0,278812190598863+0,201174389186444i</v>
      </c>
      <c r="AT337" s="20">
        <f t="shared" si="218"/>
        <v>-9.2735543604070099</v>
      </c>
      <c r="AU337" s="44">
        <f t="shared" si="219"/>
        <v>35.811988264935067</v>
      </c>
    </row>
    <row r="338" spans="14:47" x14ac:dyDescent="0.3">
      <c r="N338" s="8">
        <v>20</v>
      </c>
      <c r="O338" s="35">
        <f t="shared" si="221"/>
        <v>15848.931924611146</v>
      </c>
      <c r="P338" s="34" t="str">
        <f t="shared" si="188"/>
        <v>324,571428571429</v>
      </c>
      <c r="Q338" s="4" t="str">
        <f t="shared" si="189"/>
        <v>1+2276,15488464471i</v>
      </c>
      <c r="R338" s="4">
        <f t="shared" si="197"/>
        <v>2276.1551043134059</v>
      </c>
      <c r="S338" s="4">
        <f t="shared" si="198"/>
        <v>1.5703569894095513</v>
      </c>
      <c r="T338" s="4" t="str">
        <f t="shared" si="190"/>
        <v>1+0,0199163552406412i</v>
      </c>
      <c r="U338" s="4">
        <f t="shared" si="199"/>
        <v>1.0001983109394215</v>
      </c>
      <c r="V338" s="4">
        <f t="shared" si="200"/>
        <v>1.9913722518695234E-2</v>
      </c>
      <c r="W338" t="str">
        <f t="shared" si="191"/>
        <v>1-0,172885028130566i</v>
      </c>
      <c r="X338" s="4">
        <f t="shared" si="201"/>
        <v>1.0148345840341206</v>
      </c>
      <c r="Y338" s="4">
        <f t="shared" si="202"/>
        <v>-0.17119280658277972</v>
      </c>
      <c r="Z338" t="str">
        <f t="shared" si="192"/>
        <v>0,998995245427396+0,148231623119147i</v>
      </c>
      <c r="AA338" s="4">
        <f t="shared" si="203"/>
        <v>1.0099327276997612</v>
      </c>
      <c r="AB338" s="4">
        <f t="shared" si="204"/>
        <v>0.14730591427757475</v>
      </c>
      <c r="AC338" s="48" t="str">
        <f t="shared" si="205"/>
        <v>-0,0420990747392801-0,136994152310515i</v>
      </c>
      <c r="AD338" s="20">
        <f t="shared" si="206"/>
        <v>-16.874052725483967</v>
      </c>
      <c r="AE338" s="44">
        <f t="shared" si="207"/>
        <v>-107.0824880529351</v>
      </c>
      <c r="AF338" t="str">
        <f t="shared" si="193"/>
        <v>-0,0000125211169631323</v>
      </c>
      <c r="AG338" t="str">
        <f t="shared" si="194"/>
        <v>0,000481278724390096i</v>
      </c>
      <c r="AH338">
        <f t="shared" si="208"/>
        <v>4.81278724390096E-4</v>
      </c>
      <c r="AI338">
        <f t="shared" si="209"/>
        <v>1.5707963267948966</v>
      </c>
      <c r="AJ338" t="str">
        <f t="shared" si="195"/>
        <v>1+0,770247422044018i</v>
      </c>
      <c r="AK338">
        <f t="shared" si="210"/>
        <v>1.2622523880609042</v>
      </c>
      <c r="AL338">
        <f t="shared" si="211"/>
        <v>0.65633402746044456</v>
      </c>
      <c r="AM338" t="str">
        <f t="shared" si="196"/>
        <v>1+112,806236082992i</v>
      </c>
      <c r="AN338">
        <f t="shared" si="212"/>
        <v>112.81066837498892</v>
      </c>
      <c r="AO338">
        <f t="shared" si="213"/>
        <v>1.5619318008492415</v>
      </c>
      <c r="AP338" s="42" t="str">
        <f t="shared" si="214"/>
        <v>-1,82941214465706+1,43511634081687i</v>
      </c>
      <c r="AQ338">
        <f t="shared" si="215"/>
        <v>7.3290076047444437</v>
      </c>
      <c r="AR338" s="44">
        <f t="shared" si="216"/>
        <v>141.88693035162277</v>
      </c>
      <c r="AS338" s="42" t="str">
        <f t="shared" si="217"/>
        <v>0,27361910518404+0,190201695892244i</v>
      </c>
      <c r="AT338" s="20">
        <f t="shared" si="218"/>
        <v>-9.5450451207395055</v>
      </c>
      <c r="AU338" s="44">
        <f t="shared" si="219"/>
        <v>34.804442298687675</v>
      </c>
    </row>
    <row r="339" spans="14:47" x14ac:dyDescent="0.3">
      <c r="N339" s="8">
        <v>21</v>
      </c>
      <c r="O339" s="35">
        <f t="shared" si="221"/>
        <v>16218.100973589309</v>
      </c>
      <c r="P339" s="34" t="str">
        <f t="shared" ref="P339:P402" si="222">COMPLEX(Adc,0)</f>
        <v>324,571428571429</v>
      </c>
      <c r="Q339" s="4" t="str">
        <f t="shared" ref="Q339:Q402" si="223">IMSUM(COMPLEX(1,0),IMDIV(COMPLEX(0,2*PI()*O339),COMPLEX(wp_lf,0)))</f>
        <v>1+2329,17334280254i</v>
      </c>
      <c r="R339" s="4">
        <f t="shared" si="197"/>
        <v>2329.1735574709669</v>
      </c>
      <c r="S339" s="4">
        <f t="shared" si="198"/>
        <v>1.5703669899481365</v>
      </c>
      <c r="T339" s="4" t="str">
        <f t="shared" ref="T339:T402" si="224">IMSUM(COMPLEX(1,0),IMDIV(COMPLEX(0,2*PI()*O339),COMPLEX(wz_esr,0)))</f>
        <v>1+0,0203802667495222i</v>
      </c>
      <c r="U339" s="4">
        <f t="shared" si="199"/>
        <v>1.0002076560758679</v>
      </c>
      <c r="V339" s="4">
        <f t="shared" si="200"/>
        <v>2.0377445768762669E-2</v>
      </c>
      <c r="W339" t="str">
        <f t="shared" ref="W339:W402" si="225">IMSUB(COMPLEX(1,0),IMDIV(COMPLEX(0,2*PI()*O339),COMPLEX(wz_rhp,0)))</f>
        <v>1-0,176912037756269i</v>
      </c>
      <c r="X339" s="4">
        <f t="shared" si="201"/>
        <v>1.0155283694230681</v>
      </c>
      <c r="Y339" s="4">
        <f t="shared" si="202"/>
        <v>-0.17510028379313747</v>
      </c>
      <c r="Z339" t="str">
        <f t="shared" ref="Z339:Z402" si="226">IMSUM(COMPLEX(1,0),IMDIV(COMPLEX(0,2*PI()*O339),COMPLEX(Q*(wsl/2),0)),IMDIV(IMPOWER(COMPLEX(0,2*PI()*O339),2),IMPOWER(COMPLEX(wsl/2,0),2)))</f>
        <v>0,998947892803242+0,151684381172225i</v>
      </c>
      <c r="AA339" s="4">
        <f t="shared" si="203"/>
        <v>1.0103984580489216</v>
      </c>
      <c r="AB339" s="4">
        <f t="shared" si="204"/>
        <v>0.1506930153042495</v>
      </c>
      <c r="AC339" s="48" t="str">
        <f t="shared" si="205"/>
        <v>-0,0420653839459129-0,133622174808815i</v>
      </c>
      <c r="AD339" s="20">
        <f t="shared" si="206"/>
        <v>-17.072040081109421</v>
      </c>
      <c r="AE339" s="44">
        <f t="shared" si="207"/>
        <v>-107.47444020280794</v>
      </c>
      <c r="AF339" t="str">
        <f t="shared" ref="AF339:AF402" si="227">COMPLEX(Adc_ea,0)</f>
        <v>-0,0000125211169631323</v>
      </c>
      <c r="AG339" t="str">
        <f t="shared" ref="AG339:AG402" si="228">COMPLEX(0,2*PI()*O339*wp0_ea)</f>
        <v>0,000492489146002205i</v>
      </c>
      <c r="AH339">
        <f t="shared" si="208"/>
        <v>4.9248914600220504E-4</v>
      </c>
      <c r="AI339">
        <f t="shared" si="209"/>
        <v>1.5707963267948966</v>
      </c>
      <c r="AJ339" t="str">
        <f t="shared" ref="AJ339:AJ402" si="229">IMSUM(COMPLEX(1,0),IMDIV(COMPLEX(0,2*PI()*O339),COMPLEX(wp1_ea,0)))</f>
        <v>1+0,788188789299958i</v>
      </c>
      <c r="AK339">
        <f t="shared" si="210"/>
        <v>1.273279846529479</v>
      </c>
      <c r="AL339">
        <f t="shared" si="211"/>
        <v>0.66749737615511195</v>
      </c>
      <c r="AM339" t="str">
        <f t="shared" ref="AM339:AM402" si="230">IMSUM(COMPLEX(1,0),IMDIV(COMPLEX(0,2*PI()*O339),COMPLEX(wz_ea,0)))</f>
        <v>1+115,433830869294i</v>
      </c>
      <c r="AN339">
        <f t="shared" si="212"/>
        <v>115.43816227383719</v>
      </c>
      <c r="AO339">
        <f t="shared" si="213"/>
        <v>1.5621335718823768</v>
      </c>
      <c r="AP339" s="42" t="str">
        <f t="shared" si="214"/>
        <v>-1,797861488578+1,44247841806569i</v>
      </c>
      <c r="AQ339">
        <f t="shared" si="215"/>
        <v>7.2534389633753547</v>
      </c>
      <c r="AR339" s="44">
        <f t="shared" si="216"/>
        <v>141.25887821481209</v>
      </c>
      <c r="AS339" s="42" t="str">
        <f t="shared" si="217"/>
        <v>0,268374837135321+0,17955575361918i</v>
      </c>
      <c r="AT339" s="20">
        <f t="shared" si="218"/>
        <v>-9.8186011177340511</v>
      </c>
      <c r="AU339" s="44">
        <f t="shared" si="219"/>
        <v>33.784438012004181</v>
      </c>
    </row>
    <row r="340" spans="14:47" x14ac:dyDescent="0.3">
      <c r="N340" s="8">
        <v>22</v>
      </c>
      <c r="O340" s="35">
        <f t="shared" si="221"/>
        <v>16595.869074375616</v>
      </c>
      <c r="P340" s="34" t="str">
        <f t="shared" si="222"/>
        <v>324,571428571429</v>
      </c>
      <c r="Q340" s="4" t="str">
        <f t="shared" si="223"/>
        <v>1+2383,42675949698i</v>
      </c>
      <c r="R340" s="4">
        <f t="shared" ref="R340:R403" si="231">IMABS(Q340)</f>
        <v>2383.4269692789571</v>
      </c>
      <c r="S340" s="4">
        <f t="shared" ref="S340:S403" si="232">IMARGUMENT(Q340)</f>
        <v>1.5703767628467546</v>
      </c>
      <c r="T340" s="4" t="str">
        <f t="shared" si="224"/>
        <v>1+0,0208549841455986i</v>
      </c>
      <c r="U340" s="4">
        <f t="shared" ref="U340:U403" si="233">IMABS(T340)</f>
        <v>1.0002174415414447</v>
      </c>
      <c r="V340" s="4">
        <f t="shared" ref="V340:V403" si="234">IMARGUMENT(T340)</f>
        <v>2.0851961445744541E-2</v>
      </c>
      <c r="W340" t="str">
        <f t="shared" si="225"/>
        <v>1-0,181032848486099i</v>
      </c>
      <c r="X340" s="4">
        <f t="shared" ref="X340:X403" si="235">IMABS(W340)</f>
        <v>1.0162543442618048</v>
      </c>
      <c r="Y340" s="4">
        <f t="shared" ref="Y340:Y403" si="236">IMARGUMENT(W340)</f>
        <v>-0.17909319218480133</v>
      </c>
      <c r="Z340" t="str">
        <f t="shared" si="226"/>
        <v>0,998898308518665+0,155217564291981i</v>
      </c>
      <c r="AA340" s="4">
        <f t="shared" ref="AA340:AA403" si="237">IMABS(Z340)</f>
        <v>1.0108859099948844</v>
      </c>
      <c r="AB340" s="4">
        <f t="shared" ref="AB340:AB403" si="238">IMARGUMENT(Z340)</f>
        <v>0.15415591181498775</v>
      </c>
      <c r="AC340" s="48" t="str">
        <f t="shared" ref="AC340:AC403" si="239">(IMDIV(IMPRODUCT(P340,T340,W340),IMPRODUCT(Q340,Z340)))</f>
        <v>-0,0420299173978153-0,130321531813028i</v>
      </c>
      <c r="AD340" s="20">
        <f t="shared" ref="AD340:AD403" si="240">20*LOG(IMABS(AC340))</f>
        <v>-17.269937339128699</v>
      </c>
      <c r="AE340" s="44">
        <f t="shared" ref="AE340:AE403" si="241">(180/PI())*IMARGUMENT(AC340)</f>
        <v>-107.87499855682914</v>
      </c>
      <c r="AF340" t="str">
        <f t="shared" si="227"/>
        <v>-0,0000125211169631323</v>
      </c>
      <c r="AG340" t="str">
        <f t="shared" si="228"/>
        <v>0,00050396069187839i</v>
      </c>
      <c r="AH340">
        <f t="shared" ref="AH340:AH403" si="242">IMABS(AG340)</f>
        <v>5.0396069187838999E-4</v>
      </c>
      <c r="AI340">
        <f t="shared" ref="AI340:AI403" si="243">IMARGUMENT(AG340)</f>
        <v>1.5707963267948966</v>
      </c>
      <c r="AJ340" t="str">
        <f t="shared" si="229"/>
        <v>1+0,806548064684901i</v>
      </c>
      <c r="AK340">
        <f t="shared" ref="AK340:AK403" si="244">IMABS(AJ340)</f>
        <v>1.2847255662774673</v>
      </c>
      <c r="AL340">
        <f t="shared" ref="AL340:AL403" si="245">IMARGUMENT(AJ340)</f>
        <v>0.67872093071911277</v>
      </c>
      <c r="AM340" t="str">
        <f t="shared" si="230"/>
        <v>1+118,12263020067i</v>
      </c>
      <c r="AN340">
        <f t="shared" ref="AN340:AN403" si="246">IMABS(AM340)</f>
        <v>118.12686301398271</v>
      </c>
      <c r="AO340">
        <f t="shared" ref="AO340:AO403" si="247">IMARGUMENT(AM340)</f>
        <v>1.5623307507276545</v>
      </c>
      <c r="AP340" s="42" t="str">
        <f t="shared" ref="AP340:AP403" si="248">IMPRODUCT(AF340,IMDIV(AM340,IMPRODUCT(AG340,AJ340)))</f>
        <v>-1,7659696128501+1,44918479732641i</v>
      </c>
      <c r="AQ340">
        <f t="shared" ref="AQ340:AQ403" si="249">20*LOG(IMABS(AP340))</f>
        <v>7.1756942628190483</v>
      </c>
      <c r="AR340" s="44">
        <f t="shared" ref="AR340:AR403" si="250">(180/PI())*IMARGUMENT(AP340)</f>
        <v>140.62711342280392</v>
      </c>
      <c r="AS340" s="42" t="str">
        <f t="shared" ref="AS340:AS403" si="251">IMPRODUCT(AC340,AP340)</f>
        <v>0,263083539622872+0,169234747756086i</v>
      </c>
      <c r="AT340" s="20">
        <f t="shared" ref="AT340:AT403" si="252">20*LOG(IMABS(AS340))</f>
        <v>-10.094243076309652</v>
      </c>
      <c r="AU340" s="44">
        <f t="shared" ref="AU340:AU403" si="253">(180/PI())*IMARGUMENT(AS340)</f>
        <v>32.752114865974697</v>
      </c>
    </row>
    <row r="341" spans="14:47" x14ac:dyDescent="0.3">
      <c r="N341" s="8">
        <v>23</v>
      </c>
      <c r="O341" s="35">
        <f t="shared" si="221"/>
        <v>16982.436524617482</v>
      </c>
      <c r="P341" s="34" t="str">
        <f t="shared" si="222"/>
        <v>324,571428571429</v>
      </c>
      <c r="Q341" s="4" t="str">
        <f t="shared" si="223"/>
        <v>1+2438,9439006077i</v>
      </c>
      <c r="R341" s="4">
        <f t="shared" si="231"/>
        <v>2438.9441056144569</v>
      </c>
      <c r="S341" s="4">
        <f t="shared" si="232"/>
        <v>1.5703863132871181</v>
      </c>
      <c r="T341" s="4" t="str">
        <f t="shared" si="224"/>
        <v>1+0,0213407591303174i</v>
      </c>
      <c r="U341" s="4">
        <f t="shared" si="233"/>
        <v>1.0002276880791985</v>
      </c>
      <c r="V341" s="4">
        <f t="shared" si="234"/>
        <v>2.1337520288888554E-2</v>
      </c>
      <c r="W341" t="str">
        <f t="shared" si="225"/>
        <v>1-0,18524964522845i</v>
      </c>
      <c r="X341" s="4">
        <f t="shared" si="235"/>
        <v>1.0170139778082041</v>
      </c>
      <c r="Y341" s="4">
        <f t="shared" si="236"/>
        <v>-0.18317313931705453</v>
      </c>
      <c r="Z341" t="str">
        <f t="shared" si="226"/>
        <v>0,998846387398749+0,158833045818873i</v>
      </c>
      <c r="AA341" s="4">
        <f t="shared" si="237"/>
        <v>1.0113960856477704</v>
      </c>
      <c r="AB341" s="4">
        <f t="shared" si="238"/>
        <v>0.1576961539759171</v>
      </c>
      <c r="AC341" s="48" t="str">
        <f t="shared" si="239"/>
        <v>-0,0419926098064356-0,127090506567532i</v>
      </c>
      <c r="AD341" s="20">
        <f t="shared" si="240"/>
        <v>-17.467740692773756</v>
      </c>
      <c r="AE341" s="44">
        <f t="shared" si="241"/>
        <v>-108.28432996992717</v>
      </c>
      <c r="AF341" t="str">
        <f t="shared" si="227"/>
        <v>-0,0000125211169631323</v>
      </c>
      <c r="AG341" t="str">
        <f t="shared" si="228"/>
        <v>0,000515699444384118i</v>
      </c>
      <c r="AH341">
        <f t="shared" si="242"/>
        <v>5.1569944438411804E-4</v>
      </c>
      <c r="AI341">
        <f t="shared" si="243"/>
        <v>1.5707963267948966</v>
      </c>
      <c r="AJ341" t="str">
        <f t="shared" si="229"/>
        <v>1+0,825334982529668i</v>
      </c>
      <c r="AK341">
        <f t="shared" si="244"/>
        <v>1.2966024191660477</v>
      </c>
      <c r="AL341">
        <f t="shared" si="245"/>
        <v>0.68999933217134091</v>
      </c>
      <c r="AM341" t="str">
        <f t="shared" si="230"/>
        <v>1+120,874059714118i</v>
      </c>
      <c r="AN341">
        <f t="shared" si="246"/>
        <v>120.87819618017205</v>
      </c>
      <c r="AO341">
        <f t="shared" si="247"/>
        <v>1.5625234418705438</v>
      </c>
      <c r="AP341" s="42" t="str">
        <f t="shared" si="248"/>
        <v>-1,73376529249013+1,45521702028572i</v>
      </c>
      <c r="AQ341">
        <f t="shared" si="249"/>
        <v>7.0957510386862275</v>
      </c>
      <c r="AR341" s="44">
        <f t="shared" si="250"/>
        <v>139.99194900917405</v>
      </c>
      <c r="AS341" s="42" t="str">
        <f t="shared" si="251"/>
        <v>0,257749597697285+0,159236748775234i</v>
      </c>
      <c r="AT341" s="20">
        <f t="shared" si="252"/>
        <v>-10.371989654087539</v>
      </c>
      <c r="AU341" s="44">
        <f t="shared" si="253"/>
        <v>31.707619039246957</v>
      </c>
    </row>
    <row r="342" spans="14:47" x14ac:dyDescent="0.3">
      <c r="N342" s="8">
        <v>24</v>
      </c>
      <c r="O342" s="35">
        <f t="shared" si="221"/>
        <v>17378.008287493791</v>
      </c>
      <c r="P342" s="34" t="str">
        <f t="shared" si="222"/>
        <v>324,571428571429</v>
      </c>
      <c r="Q342" s="4" t="str">
        <f t="shared" si="223"/>
        <v>1+2495,75420205774i</v>
      </c>
      <c r="R342" s="4">
        <f t="shared" si="231"/>
        <v>2495.7544023979735</v>
      </c>
      <c r="S342" s="4">
        <f t="shared" si="232"/>
        <v>1.5703956463329902</v>
      </c>
      <c r="T342" s="4" t="str">
        <f t="shared" si="224"/>
        <v>1+0,0218378492680052i</v>
      </c>
      <c r="U342" s="4">
        <f t="shared" si="233"/>
        <v>1.0002384174088956</v>
      </c>
      <c r="V342" s="4">
        <f t="shared" si="234"/>
        <v>2.1834378831563583E-2</v>
      </c>
      <c r="W342" t="str">
        <f t="shared" si="225"/>
        <v>1-0,189564663784767i</v>
      </c>
      <c r="X342" s="4">
        <f t="shared" si="235"/>
        <v>1.0178088041257216</v>
      </c>
      <c r="Y342" s="4">
        <f t="shared" si="236"/>
        <v>-0.18734174484761407</v>
      </c>
      <c r="Z342" t="str">
        <f t="shared" si="226"/>
        <v>0,998792019311839+0,162532742729059i</v>
      </c>
      <c r="AA342" s="4">
        <f t="shared" si="237"/>
        <v>1.0119300323145133</v>
      </c>
      <c r="AB342" s="4">
        <f t="shared" si="238"/>
        <v>0.16131531341880906</v>
      </c>
      <c r="AC342" s="48" t="str">
        <f t="shared" si="239"/>
        <v>-0,041953392894315-0,123927421431986i</v>
      </c>
      <c r="AD342" s="20">
        <f t="shared" si="240"/>
        <v>-17.665446195592637</v>
      </c>
      <c r="AE342" s="44">
        <f t="shared" si="241"/>
        <v>-108.70260288137395</v>
      </c>
      <c r="AF342" t="str">
        <f t="shared" si="227"/>
        <v>-0,0000125211169631323</v>
      </c>
      <c r="AG342" t="str">
        <f t="shared" si="228"/>
        <v>0,000527711627561346i</v>
      </c>
      <c r="AH342">
        <f t="shared" si="242"/>
        <v>5.2771162756134603E-4</v>
      </c>
      <c r="AI342">
        <f t="shared" si="243"/>
        <v>1.5707963267948966</v>
      </c>
      <c r="AJ342" t="str">
        <f t="shared" si="229"/>
        <v>1+0,844559503906764i</v>
      </c>
      <c r="AK342">
        <f t="shared" si="244"/>
        <v>1.3089235102324503</v>
      </c>
      <c r="AL342">
        <f t="shared" si="245"/>
        <v>0.70132708406453859</v>
      </c>
      <c r="AM342" t="str">
        <f t="shared" si="230"/>
        <v>1+123,689578253981i</v>
      </c>
      <c r="AN342">
        <f t="shared" si="246"/>
        <v>123.69362056568515</v>
      </c>
      <c r="AO342">
        <f t="shared" si="247"/>
        <v>1.5627117474211691</v>
      </c>
      <c r="AP342" s="42" t="str">
        <f t="shared" si="248"/>
        <v>-1,70127853735391+1,46055815303068i</v>
      </c>
      <c r="AQ342">
        <f t="shared" si="249"/>
        <v>7.013588845340136</v>
      </c>
      <c r="AR342" s="44">
        <f t="shared" si="250"/>
        <v>139.35370574763229</v>
      </c>
      <c r="AS342" s="42" t="str">
        <f t="shared" si="251"/>
        <v>0,25237761265683+0,14955969223276i</v>
      </c>
      <c r="AT342" s="20">
        <f t="shared" si="252"/>
        <v>-10.651857350252502</v>
      </c>
      <c r="AU342" s="44">
        <f t="shared" si="253"/>
        <v>30.651102866258451</v>
      </c>
    </row>
    <row r="343" spans="14:47" x14ac:dyDescent="0.3">
      <c r="N343" s="8">
        <v>25</v>
      </c>
      <c r="O343" s="35">
        <f t="shared" si="221"/>
        <v>17782.794100389234</v>
      </c>
      <c r="P343" s="34" t="str">
        <f t="shared" si="222"/>
        <v>324,571428571429</v>
      </c>
      <c r="Q343" s="4" t="str">
        <f t="shared" si="223"/>
        <v>1+2553,88778542091i</v>
      </c>
      <c r="R343" s="4">
        <f t="shared" si="231"/>
        <v>2553.8879812008431</v>
      </c>
      <c r="S343" s="4">
        <f t="shared" si="232"/>
        <v>1.5704047669328689</v>
      </c>
      <c r="T343" s="4" t="str">
        <f t="shared" si="224"/>
        <v>1+0,022346518122433i</v>
      </c>
      <c r="U343" s="4">
        <f t="shared" si="233"/>
        <v>1.0002496522729694</v>
      </c>
      <c r="V343" s="4">
        <f t="shared" si="234"/>
        <v>2.2342799532913921E-2</v>
      </c>
      <c r="W343" t="str">
        <f t="shared" si="225"/>
        <v>1-0,193980192035009i</v>
      </c>
      <c r="X343" s="4">
        <f t="shared" si="235"/>
        <v>1.0186404247338405</v>
      </c>
      <c r="Y343" s="4">
        <f t="shared" si="236"/>
        <v>-0.19160063923183809</v>
      </c>
      <c r="Z343" t="str">
        <f t="shared" si="226"/>
        <v>0,998735088935933+0,166318616650816i</v>
      </c>
      <c r="AA343" s="4">
        <f t="shared" si="237"/>
        <v>1.0124888444405238</v>
      </c>
      <c r="AB343" s="4">
        <f t="shared" si="238"/>
        <v>0.1650149827828219</v>
      </c>
      <c r="AC343" s="48" t="str">
        <f t="shared" si="239"/>
        <v>-0,0419121953325532-0,120830637129003i</v>
      </c>
      <c r="AD343" s="20">
        <f t="shared" si="240"/>
        <v>-17.863049758320017</v>
      </c>
      <c r="AE343" s="44">
        <f t="shared" si="241"/>
        <v>-109.12998720660886</v>
      </c>
      <c r="AF343" t="str">
        <f t="shared" si="227"/>
        <v>-0,0000125211169631323</v>
      </c>
      <c r="AG343" t="str">
        <f t="shared" si="228"/>
        <v>0,000540003610428596i</v>
      </c>
      <c r="AH343">
        <f t="shared" si="242"/>
        <v>5.4000361042859596E-4</v>
      </c>
      <c r="AI343">
        <f t="shared" si="243"/>
        <v>1.5707963267948966</v>
      </c>
      <c r="AJ343" t="str">
        <f t="shared" si="229"/>
        <v>1+0,864231821911897i</v>
      </c>
      <c r="AK343">
        <f t="shared" si="244"/>
        <v>1.3217021759856329</v>
      </c>
      <c r="AL343">
        <f t="shared" si="245"/>
        <v>0.71269856487187566</v>
      </c>
      <c r="AM343" t="str">
        <f t="shared" si="230"/>
        <v>1+126,570678645461i</v>
      </c>
      <c r="AN343">
        <f t="shared" si="246"/>
        <v>126.57462894582216</v>
      </c>
      <c r="AO343">
        <f t="shared" si="247"/>
        <v>1.5628957671681787</v>
      </c>
      <c r="AP343" s="42" t="str">
        <f t="shared" si="248"/>
        <v>-1,6685404894275+1,46519288571867i</v>
      </c>
      <c r="AQ343">
        <f t="shared" si="249"/>
        <v>6.9291893370967443</v>
      </c>
      <c r="AR343" s="44">
        <f t="shared" si="250"/>
        <v>138.71271144540853</v>
      </c>
      <c r="AS343" s="42" t="str">
        <f t="shared" si="251"/>
        <v>0,246972384811429+0,140201359986955i</v>
      </c>
      <c r="AT343" s="20">
        <f t="shared" si="252"/>
        <v>-10.933860421223265</v>
      </c>
      <c r="AU343" s="44">
        <f t="shared" si="253"/>
        <v>29.582724238799599</v>
      </c>
    </row>
    <row r="344" spans="14:47" x14ac:dyDescent="0.3">
      <c r="N344" s="8">
        <v>26</v>
      </c>
      <c r="O344" s="35">
        <f t="shared" si="221"/>
        <v>18197.008586099837</v>
      </c>
      <c r="P344" s="34" t="str">
        <f t="shared" si="222"/>
        <v>324,571428571429</v>
      </c>
      <c r="Q344" s="4" t="str">
        <f t="shared" si="223"/>
        <v>1+2613,37547389264i</v>
      </c>
      <c r="R344" s="4">
        <f t="shared" si="231"/>
        <v>2613.3756652160782</v>
      </c>
      <c r="S344" s="4">
        <f t="shared" si="232"/>
        <v>1.5704136799226107</v>
      </c>
      <c r="T344" s="4" t="str">
        <f t="shared" si="224"/>
        <v>1+0,0228670353965606i</v>
      </c>
      <c r="U344" s="4">
        <f t="shared" si="233"/>
        <v>1.0002614164846246</v>
      </c>
      <c r="V344" s="4">
        <f t="shared" si="234"/>
        <v>2.2863050912342787E-2</v>
      </c>
      <c r="W344" t="str">
        <f t="shared" si="225"/>
        <v>1-0,1984985711507i</v>
      </c>
      <c r="X344" s="4">
        <f t="shared" si="235"/>
        <v>1.0195105113479064</v>
      </c>
      <c r="Y344" s="4">
        <f t="shared" si="236"/>
        <v>-0.19595146230416824</v>
      </c>
      <c r="Z344" t="str">
        <f t="shared" si="226"/>
        <v>0,99867547551407+0,17019267490461i</v>
      </c>
      <c r="AA344" s="4">
        <f t="shared" si="237"/>
        <v>1.0130736656257728</v>
      </c>
      <c r="AB344" s="4">
        <f t="shared" si="238"/>
        <v>0.16879677518725578</v>
      </c>
      <c r="AC344" s="48" t="str">
        <f t="shared" si="239"/>
        <v>-0,0418689426788778-0,117798552019655i</v>
      </c>
      <c r="AD344" s="20">
        <f t="shared" si="240"/>
        <v>-18.060547145882282</v>
      </c>
      <c r="AE344" s="44">
        <f t="shared" si="241"/>
        <v>-109.56665421819824</v>
      </c>
      <c r="AF344" t="str">
        <f t="shared" si="227"/>
        <v>-0,0000125211169631323</v>
      </c>
      <c r="AG344" t="str">
        <f t="shared" si="228"/>
        <v>0,000552581910357888i</v>
      </c>
      <c r="AH344">
        <f t="shared" si="242"/>
        <v>5.5258191035788805E-4</v>
      </c>
      <c r="AI344">
        <f t="shared" si="243"/>
        <v>1.5707963267948966</v>
      </c>
      <c r="AJ344" t="str">
        <f t="shared" si="229"/>
        <v>1+0,884362367068474i</v>
      </c>
      <c r="AK344">
        <f t="shared" si="244"/>
        <v>1.3349519827645315</v>
      </c>
      <c r="AL344">
        <f t="shared" si="245"/>
        <v>0.7241080411301466</v>
      </c>
      <c r="AM344" t="str">
        <f t="shared" si="230"/>
        <v>1+129,518888486119i</v>
      </c>
      <c r="AN344">
        <f t="shared" si="246"/>
        <v>129.52274886937712</v>
      </c>
      <c r="AO344">
        <f t="shared" si="247"/>
        <v>1.5630755986313973</v>
      </c>
      <c r="AP344" s="42" t="str">
        <f t="shared" si="248"/>
        <v>-1,63558331068409+1,46910762397899i</v>
      </c>
      <c r="AQ344">
        <f t="shared" si="249"/>
        <v>6.8425363420502485</v>
      </c>
      <c r="AR344" s="44">
        <f t="shared" si="250"/>
        <v>138.06930019322078</v>
      </c>
      <c r="AS344" s="42" t="str">
        <f t="shared" si="251"/>
        <v>0,241538894747322+0,131159362808621i</v>
      </c>
      <c r="AT344" s="20">
        <f t="shared" si="252"/>
        <v>-11.218010803832033</v>
      </c>
      <c r="AU344" s="44">
        <f t="shared" si="253"/>
        <v>28.502645975022631</v>
      </c>
    </row>
    <row r="345" spans="14:47" x14ac:dyDescent="0.3">
      <c r="N345" s="8">
        <v>27</v>
      </c>
      <c r="O345" s="35">
        <f t="shared" si="221"/>
        <v>18620.871366628675</v>
      </c>
      <c r="P345" s="34" t="str">
        <f t="shared" si="222"/>
        <v>324,571428571429</v>
      </c>
      <c r="Q345" s="4" t="str">
        <f t="shared" si="223"/>
        <v>1+2674,24880863273i</v>
      </c>
      <c r="R345" s="4">
        <f t="shared" si="231"/>
        <v>2674.248995601115</v>
      </c>
      <c r="S345" s="4">
        <f t="shared" si="232"/>
        <v>1.570422390027995</v>
      </c>
      <c r="T345" s="4" t="str">
        <f t="shared" si="224"/>
        <v>1+0,0233996770755364i</v>
      </c>
      <c r="U345" s="4">
        <f t="shared" si="233"/>
        <v>1.0002737349782005</v>
      </c>
      <c r="V345" s="4">
        <f t="shared" si="234"/>
        <v>2.3395407686875893E-2</v>
      </c>
      <c r="W345" t="str">
        <f t="shared" si="225"/>
        <v>1-0,203122196836253i</v>
      </c>
      <c r="X345" s="4">
        <f t="shared" si="235"/>
        <v>1.0204208087096154</v>
      </c>
      <c r="Y345" s="4">
        <f t="shared" si="236"/>
        <v>-0.20039586173561208</v>
      </c>
      <c r="Z345" t="str">
        <f t="shared" si="226"/>
        <v>0,99861305259819+0,174156971567404i</v>
      </c>
      <c r="AA345" s="4">
        <f t="shared" si="237"/>
        <v>1.0136856907172977</v>
      </c>
      <c r="AB345" s="4">
        <f t="shared" si="238"/>
        <v>0.17266232363072842</v>
      </c>
      <c r="AC345" s="48" t="str">
        <f t="shared" si="239"/>
        <v>-0,0418235573167643-0,114829601406735i</v>
      </c>
      <c r="AD345" s="20">
        <f t="shared" si="240"/>
        <v>-18.257933974561912</v>
      </c>
      <c r="AE345" s="44">
        <f t="shared" si="241"/>
        <v>-110.01277641530631</v>
      </c>
      <c r="AF345" t="str">
        <f t="shared" si="227"/>
        <v>-0,0000125211169631323</v>
      </c>
      <c r="AG345" t="str">
        <f t="shared" si="228"/>
        <v>0,000565453196530339i</v>
      </c>
      <c r="AH345">
        <f t="shared" si="242"/>
        <v>5.6545319653033904E-4</v>
      </c>
      <c r="AI345">
        <f t="shared" si="243"/>
        <v>1.5707963267948966</v>
      </c>
      <c r="AJ345" t="str">
        <f t="shared" si="229"/>
        <v>1+0,904961812857989i</v>
      </c>
      <c r="AK345">
        <f t="shared" si="244"/>
        <v>1.3486867252001919</v>
      </c>
      <c r="AL345">
        <f t="shared" si="245"/>
        <v>0.7355496812701986</v>
      </c>
      <c r="AM345" t="str">
        <f t="shared" si="230"/>
        <v>1+132,535770955838i</v>
      </c>
      <c r="AN345">
        <f t="shared" si="246"/>
        <v>132.53954346857523</v>
      </c>
      <c r="AO345">
        <f t="shared" si="247"/>
        <v>1.5632513371132952</v>
      </c>
      <c r="AP345" s="42" t="str">
        <f t="shared" si="248"/>
        <v>-1,60244006229218+1,4722905710292i</v>
      </c>
      <c r="AQ345">
        <f t="shared" si="249"/>
        <v>6.7536159279069574</v>
      </c>
      <c r="AR345" s="44">
        <f t="shared" si="250"/>
        <v>137.42381157579945</v>
      </c>
      <c r="AS345" s="42" t="str">
        <f t="shared" si="251"/>
        <v>0,236082283218134+0,122431124546823i</v>
      </c>
      <c r="AT345" s="20">
        <f t="shared" si="252"/>
        <v>-11.504318046654948</v>
      </c>
      <c r="AU345" s="44">
        <f t="shared" si="253"/>
        <v>27.411035160493075</v>
      </c>
    </row>
    <row r="346" spans="14:47" x14ac:dyDescent="0.3">
      <c r="N346" s="8">
        <v>28</v>
      </c>
      <c r="O346" s="35">
        <f t="shared" si="221"/>
        <v>19054.607179632505</v>
      </c>
      <c r="P346" s="34" t="str">
        <f t="shared" si="222"/>
        <v>324,571428571429</v>
      </c>
      <c r="Q346" s="4" t="str">
        <f t="shared" si="223"/>
        <v>1+2736,54006548905i</v>
      </c>
      <c r="R346" s="4">
        <f t="shared" si="231"/>
        <v>2736.5402482015156</v>
      </c>
      <c r="S346" s="4">
        <f t="shared" si="232"/>
        <v>1.57043090186723</v>
      </c>
      <c r="T346" s="4" t="str">
        <f t="shared" si="224"/>
        <v>1+0,0239447255730292i</v>
      </c>
      <c r="U346" s="4">
        <f t="shared" si="233"/>
        <v>1.0002866338618983</v>
      </c>
      <c r="V346" s="4">
        <f t="shared" si="234"/>
        <v>2.3940150911455051E-2</v>
      </c>
      <c r="W346" t="str">
        <f t="shared" si="225"/>
        <v>1-0,207853520599212i</v>
      </c>
      <c r="X346" s="4">
        <f t="shared" si="235"/>
        <v>1.021373137509249</v>
      </c>
      <c r="Y346" s="4">
        <f t="shared" si="236"/>
        <v>-0.20493549136090006</v>
      </c>
      <c r="Z346" t="str">
        <f t="shared" si="226"/>
        <v>0,99854768778092+0,178213608561764i</v>
      </c>
      <c r="AA346" s="4">
        <f t="shared" si="237"/>
        <v>1.0143261679801163</v>
      </c>
      <c r="AB346" s="4">
        <f t="shared" si="238"/>
        <v>0.17661328031194148</v>
      </c>
      <c r="AC346" s="48" t="str">
        <f t="shared" si="239"/>
        <v>-0,0417759583960747-0,111922256865648i</v>
      </c>
      <c r="AD346" s="20">
        <f t="shared" si="240"/>
        <v>-18.455205709352668</v>
      </c>
      <c r="AE346" s="44">
        <f t="shared" si="241"/>
        <v>-110.46852738103776</v>
      </c>
      <c r="AF346" t="str">
        <f t="shared" si="227"/>
        <v>-0,0000125211169631323</v>
      </c>
      <c r="AG346" t="str">
        <f t="shared" si="228"/>
        <v>0,000578624293472249i</v>
      </c>
      <c r="AH346">
        <f t="shared" si="242"/>
        <v>5.7862429347224902E-4</v>
      </c>
      <c r="AI346">
        <f t="shared" si="243"/>
        <v>1.5707963267948966</v>
      </c>
      <c r="AJ346" t="str">
        <f t="shared" si="229"/>
        <v>1+0,926041081379275i</v>
      </c>
      <c r="AK346">
        <f t="shared" si="244"/>
        <v>1.3629204248238769</v>
      </c>
      <c r="AL346">
        <f t="shared" si="245"/>
        <v>0.74701757005749092</v>
      </c>
      <c r="AM346" t="str">
        <f t="shared" si="230"/>
        <v>1+135,622925645637i</v>
      </c>
      <c r="AN346">
        <f t="shared" si="246"/>
        <v>135.6266122878618</v>
      </c>
      <c r="AO346">
        <f t="shared" si="247"/>
        <v>1.5634230757492968</v>
      </c>
      <c r="AP346" s="42" t="str">
        <f t="shared" si="248"/>
        <v>-1,56914457608263+1,47473179957396i</v>
      </c>
      <c r="AQ346">
        <f t="shared" si="249"/>
        <v>6.6624164592610313</v>
      </c>
      <c r="AR346" s="44">
        <f t="shared" si="250"/>
        <v>136.77658984738397</v>
      </c>
      <c r="AS346" s="42" t="str">
        <f t="shared" si="251"/>
        <v>0,23060782980771+0,114013867999288i</v>
      </c>
      <c r="AT346" s="20">
        <f t="shared" si="252"/>
        <v>-11.792789250091651</v>
      </c>
      <c r="AU346" s="44">
        <f t="shared" si="253"/>
        <v>26.30806246634619</v>
      </c>
    </row>
    <row r="347" spans="14:47" x14ac:dyDescent="0.3">
      <c r="N347" s="8">
        <v>29</v>
      </c>
      <c r="O347" s="35">
        <f t="shared" si="221"/>
        <v>19498.445997580486</v>
      </c>
      <c r="P347" s="34" t="str">
        <f t="shared" si="222"/>
        <v>324,571428571429</v>
      </c>
      <c r="Q347" s="4" t="str">
        <f t="shared" si="223"/>
        <v>1+2800,28227211045i</v>
      </c>
      <c r="R347" s="4">
        <f t="shared" si="231"/>
        <v>2800.2824506638722</v>
      </c>
      <c r="S347" s="4">
        <f t="shared" si="232"/>
        <v>1.5704392199534003</v>
      </c>
      <c r="T347" s="4" t="str">
        <f t="shared" si="224"/>
        <v>1+0,0245024698809664i</v>
      </c>
      <c r="U347" s="4">
        <f t="shared" si="233"/>
        <v>1.0003001404729821</v>
      </c>
      <c r="V347" s="4">
        <f t="shared" si="234"/>
        <v>2.4497568122207478E-2</v>
      </c>
      <c r="W347" t="str">
        <f t="shared" si="225"/>
        <v>1-0,212695051050056i</v>
      </c>
      <c r="X347" s="4">
        <f t="shared" si="235"/>
        <v>1.0223693974005608</v>
      </c>
      <c r="Y347" s="4">
        <f t="shared" si="236"/>
        <v>-0.20957200936883971</v>
      </c>
      <c r="Z347" t="str">
        <f t="shared" si="226"/>
        <v>0,998479242414718+0,182364736770317i</v>
      </c>
      <c r="AA347" s="4">
        <f t="shared" si="237"/>
        <v>1.0149964013484858</v>
      </c>
      <c r="AB347" s="4">
        <f t="shared" si="238"/>
        <v>0.18065131586698926</v>
      </c>
      <c r="AC347" s="48" t="str">
        <f t="shared" si="239"/>
        <v>-0,0417260617757351-0,109075025602898i</v>
      </c>
      <c r="AD347" s="20">
        <f t="shared" si="240"/>
        <v>-18.652357661533738</v>
      </c>
      <c r="AE347" s="44">
        <f t="shared" si="241"/>
        <v>-110.93408162698412</v>
      </c>
      <c r="AF347" t="str">
        <f t="shared" si="227"/>
        <v>-0,0000125211169631323</v>
      </c>
      <c r="AG347" t="str">
        <f t="shared" si="228"/>
        <v>0,000592102184673555i</v>
      </c>
      <c r="AH347">
        <f t="shared" si="242"/>
        <v>5.9210218467355504E-4</v>
      </c>
      <c r="AI347">
        <f t="shared" si="243"/>
        <v>1.5707963267948966</v>
      </c>
      <c r="AJ347" t="str">
        <f t="shared" si="229"/>
        <v>1+0,947611349139498i</v>
      </c>
      <c r="AK347">
        <f t="shared" si="244"/>
        <v>1.3776673288635322</v>
      </c>
      <c r="AL347">
        <f t="shared" si="245"/>
        <v>0.75850572355862611</v>
      </c>
      <c r="AM347" t="str">
        <f t="shared" si="230"/>
        <v>1+138,781989405794i</v>
      </c>
      <c r="AN347">
        <f t="shared" si="246"/>
        <v>138.7855921320002</v>
      </c>
      <c r="AO347">
        <f t="shared" si="247"/>
        <v>1.5635909055569546</v>
      </c>
      <c r="AP347" s="42" t="str">
        <f t="shared" si="248"/>
        <v>-1,53573131929649+1,47642331265711i</v>
      </c>
      <c r="AQ347">
        <f t="shared" si="249"/>
        <v>6.5689286458170857</v>
      </c>
      <c r="AR347" s="44">
        <f t="shared" si="250"/>
        <v>136.12798307702593</v>
      </c>
      <c r="AS347" s="42" t="str">
        <f t="shared" si="251"/>
        <v>0,225120930528686+0,105904602620371i</v>
      </c>
      <c r="AT347" s="20">
        <f t="shared" si="252"/>
        <v>-12.083429015716661</v>
      </c>
      <c r="AU347" s="44">
        <f t="shared" si="253"/>
        <v>25.193901450041825</v>
      </c>
    </row>
    <row r="348" spans="14:47" x14ac:dyDescent="0.3">
      <c r="N348" s="8">
        <v>30</v>
      </c>
      <c r="O348" s="35">
        <f t="shared" si="221"/>
        <v>19952.623149688792</v>
      </c>
      <c r="P348" s="34" t="str">
        <f t="shared" si="222"/>
        <v>324,571428571429</v>
      </c>
      <c r="Q348" s="4" t="str">
        <f t="shared" si="223"/>
        <v>1+2865,50922545865i</v>
      </c>
      <c r="R348" s="4">
        <f t="shared" si="231"/>
        <v>2865.5093999477008</v>
      </c>
      <c r="S348" s="4">
        <f t="shared" si="232"/>
        <v>1.5704473486968609</v>
      </c>
      <c r="T348" s="4" t="str">
        <f t="shared" si="224"/>
        <v>1+0,0250732057227632i</v>
      </c>
      <c r="U348" s="4">
        <f t="shared" si="233"/>
        <v>1.0003142834355689</v>
      </c>
      <c r="V348" s="4">
        <f t="shared" si="234"/>
        <v>2.5067953482744845E-2</v>
      </c>
      <c r="W348" t="str">
        <f t="shared" si="225"/>
        <v>1-0,217649355232319i</v>
      </c>
      <c r="X348" s="4">
        <f t="shared" si="235"/>
        <v>1.0234115701090369</v>
      </c>
      <c r="Y348" s="4">
        <f t="shared" si="236"/>
        <v>-0.21430707634941448</v>
      </c>
      <c r="Z348" t="str">
        <f t="shared" si="226"/>
        <v>0,998407571317786+0,186612557176191i</v>
      </c>
      <c r="AA348" s="4">
        <f t="shared" si="237"/>
        <v>1.0156977527594107</v>
      </c>
      <c r="AB348" s="4">
        <f t="shared" si="238"/>
        <v>0.18477811851802431</v>
      </c>
      <c r="AC348" s="48" t="str">
        <f t="shared" si="239"/>
        <v>-0,0416737799690205-0,106286449842037i</v>
      </c>
      <c r="AD348" s="20">
        <f t="shared" si="240"/>
        <v>-18.849384986500279</v>
      </c>
      <c r="AE348" s="44">
        <f t="shared" si="241"/>
        <v>-111.40961442430871</v>
      </c>
      <c r="AF348" t="str">
        <f t="shared" si="227"/>
        <v>-0,0000125211169631323</v>
      </c>
      <c r="AG348" t="str">
        <f t="shared" si="228"/>
        <v>0,000605894016290572i</v>
      </c>
      <c r="AH348">
        <f t="shared" si="242"/>
        <v>6.0589401629057202E-4</v>
      </c>
      <c r="AI348">
        <f t="shared" si="243"/>
        <v>1.5707963267948966</v>
      </c>
      <c r="AJ348" t="str">
        <f t="shared" si="229"/>
        <v>1+0,969684052980161i</v>
      </c>
      <c r="AK348">
        <f t="shared" si="244"/>
        <v>1.392941909271177</v>
      </c>
      <c r="AL348">
        <f t="shared" si="245"/>
        <v>0.77000810454377822</v>
      </c>
      <c r="AM348" t="str">
        <f t="shared" si="230"/>
        <v>1+142,014637213731i</v>
      </c>
      <c r="AN348">
        <f t="shared" si="246"/>
        <v>142.01815793393334</v>
      </c>
      <c r="AO348">
        <f t="shared" si="247"/>
        <v>1.5637549154840142</v>
      </c>
      <c r="AP348" s="42" t="str">
        <f t="shared" si="248"/>
        <v>-1,50223525373362+1,47735909275617i</v>
      </c>
      <c r="AQ348">
        <f t="shared" si="249"/>
        <v>6.4731455811359249</v>
      </c>
      <c r="AR348" s="44">
        <f t="shared" si="250"/>
        <v>135.47834226884393</v>
      </c>
      <c r="AS348" s="42" t="str">
        <f t="shared" si="251"/>
        <v>0,219627074536707+0,0981001141801458i</v>
      </c>
      <c r="AT348" s="20">
        <f t="shared" si="252"/>
        <v>-12.376239405364336</v>
      </c>
      <c r="AU348" s="44">
        <f t="shared" si="253"/>
        <v>24.068727844535189</v>
      </c>
    </row>
    <row r="349" spans="14:47" x14ac:dyDescent="0.3">
      <c r="N349" s="8">
        <v>31</v>
      </c>
      <c r="O349" s="35">
        <f t="shared" si="221"/>
        <v>20417.379446695286</v>
      </c>
      <c r="P349" s="34" t="str">
        <f t="shared" si="222"/>
        <v>324,571428571429</v>
      </c>
      <c r="Q349" s="4" t="str">
        <f t="shared" si="223"/>
        <v>1+2932,25550972768i</v>
      </c>
      <c r="R349" s="4">
        <f t="shared" si="231"/>
        <v>2932.2556802448753</v>
      </c>
      <c r="S349" s="4">
        <f t="shared" si="232"/>
        <v>1.5704552924075745</v>
      </c>
      <c r="T349" s="4" t="str">
        <f t="shared" si="224"/>
        <v>1+0,0256572357101172i</v>
      </c>
      <c r="U349" s="4">
        <f t="shared" si="233"/>
        <v>1.0003290927211328</v>
      </c>
      <c r="V349" s="4">
        <f t="shared" si="234"/>
        <v>2.5651607933533563E-2</v>
      </c>
      <c r="W349" t="str">
        <f t="shared" si="225"/>
        <v>1-0,222719059983656i</v>
      </c>
      <c r="X349" s="4">
        <f t="shared" si="235"/>
        <v>1.0245017226339852</v>
      </c>
      <c r="Y349" s="4">
        <f t="shared" si="236"/>
        <v>-0.21914235319100495</v>
      </c>
      <c r="Z349" t="str">
        <f t="shared" si="226"/>
        <v>0,998332522466119+0,190959322029987i</v>
      </c>
      <c r="AA349" s="4">
        <f t="shared" si="237"/>
        <v>1.0164316445702173</v>
      </c>
      <c r="AB349" s="4">
        <f t="shared" si="238"/>
        <v>0.18899539312781538</v>
      </c>
      <c r="AC349" s="48" t="str">
        <f t="shared" si="239"/>
        <v>-0,0416190220920617-0,103555106237058i</v>
      </c>
      <c r="AD349" s="20">
        <f t="shared" si="240"/>
        <v>-19.046282681882744</v>
      </c>
      <c r="AE349" s="44">
        <f t="shared" si="241"/>
        <v>-111.89530162067135</v>
      </c>
      <c r="AF349" t="str">
        <f t="shared" si="227"/>
        <v>-0,0000125211169631323</v>
      </c>
      <c r="AG349" t="str">
        <f t="shared" si="228"/>
        <v>0,000620007100934984i</v>
      </c>
      <c r="AH349">
        <f t="shared" si="242"/>
        <v>6.2000710093498401E-4</v>
      </c>
      <c r="AI349">
        <f t="shared" si="243"/>
        <v>1.5707963267948966</v>
      </c>
      <c r="AJ349" t="str">
        <f t="shared" si="229"/>
        <v>1+0,992270896140995i</v>
      </c>
      <c r="AK349">
        <f t="shared" si="244"/>
        <v>1.4087588620230409</v>
      </c>
      <c r="AL349">
        <f t="shared" si="245"/>
        <v>0.78151863822958278</v>
      </c>
      <c r="AM349" t="str">
        <f t="shared" si="230"/>
        <v>1+145,322583062104i</v>
      </c>
      <c r="AN349">
        <f t="shared" si="246"/>
        <v>145.32602364284975</v>
      </c>
      <c r="AO349">
        <f t="shared" si="247"/>
        <v>1.563915192455396</v>
      </c>
      <c r="AP349" s="42" t="str">
        <f t="shared" si="248"/>
        <v>-1,46869169050749+1,47753513853811i</v>
      </c>
      <c r="AQ349">
        <f t="shared" si="249"/>
        <v>6.3750627715598096</v>
      </c>
      <c r="AR349" s="44">
        <f t="shared" si="250"/>
        <v>134.82802046271735</v>
      </c>
      <c r="AS349" s="42" t="str">
        <f t="shared" si="251"/>
        <v>0,214131820153959+0,0905969564673724i</v>
      </c>
      <c r="AT349" s="20">
        <f t="shared" si="252"/>
        <v>-12.671219910322929</v>
      </c>
      <c r="AU349" s="44">
        <f t="shared" si="253"/>
        <v>22.93271884204599</v>
      </c>
    </row>
    <row r="350" spans="14:47" x14ac:dyDescent="0.3">
      <c r="N350" s="8">
        <v>32</v>
      </c>
      <c r="O350" s="35">
        <f t="shared" si="221"/>
        <v>20892.961308540423</v>
      </c>
      <c r="P350" s="34" t="str">
        <f t="shared" si="222"/>
        <v>324,571428571429</v>
      </c>
      <c r="Q350" s="4" t="str">
        <f t="shared" si="223"/>
        <v>1+3000,55651468098i</v>
      </c>
      <c r="R350" s="4">
        <f t="shared" si="231"/>
        <v>3000.5566813167306</v>
      </c>
      <c r="S350" s="4">
        <f t="shared" si="232"/>
        <v>1.5704630552973982</v>
      </c>
      <c r="T350" s="4" t="str">
        <f t="shared" si="224"/>
        <v>1+0,0262548695034586i</v>
      </c>
      <c r="U350" s="4">
        <f t="shared" si="233"/>
        <v>1.0003445997118412</v>
      </c>
      <c r="V350" s="4">
        <f t="shared" si="234"/>
        <v>2.6248839344391425E-2</v>
      </c>
      <c r="W350" t="str">
        <f t="shared" si="225"/>
        <v>1-0,227906853328634i</v>
      </c>
      <c r="X350" s="4">
        <f t="shared" si="235"/>
        <v>1.0256420105446926</v>
      </c>
      <c r="Y350" s="4">
        <f t="shared" si="236"/>
        <v>-0.22407949882123832</v>
      </c>
      <c r="Z350" t="str">
        <f t="shared" si="226"/>
        <v>0,998253936671039+0,19540733604397i</v>
      </c>
      <c r="AA350" s="4">
        <f t="shared" si="237"/>
        <v>1.0171995620619523</v>
      </c>
      <c r="AB350" s="4">
        <f t="shared" si="238"/>
        <v>0.19330486015466375</v>
      </c>
      <c r="AC350" s="48" t="str">
        <f t="shared" si="239"/>
        <v>-0,041561693816242-0,100879605313097i</v>
      </c>
      <c r="AD350" s="20">
        <f t="shared" si="240"/>
        <v>-19.243045585997788</v>
      </c>
      <c r="AE350" s="44">
        <f t="shared" si="241"/>
        <v>-112.39131944230327</v>
      </c>
      <c r="AF350" t="str">
        <f t="shared" si="227"/>
        <v>-0,0000125211169631323</v>
      </c>
      <c r="AG350" t="str">
        <f t="shared" si="228"/>
        <v>0,000634448921551076i</v>
      </c>
      <c r="AH350">
        <f t="shared" si="242"/>
        <v>6.3444892155107603E-4</v>
      </c>
      <c r="AI350">
        <f t="shared" si="243"/>
        <v>1.5707963267948966</v>
      </c>
      <c r="AJ350" t="str">
        <f t="shared" si="229"/>
        <v>1+1,01538385446523i</v>
      </c>
      <c r="AK350">
        <f t="shared" si="244"/>
        <v>1.4251331067337774</v>
      </c>
      <c r="AL350">
        <f t="shared" si="245"/>
        <v>0.79303122826331263</v>
      </c>
      <c r="AM350" t="str">
        <f t="shared" si="230"/>
        <v>1+148,70758086759i</v>
      </c>
      <c r="AN350">
        <f t="shared" si="246"/>
        <v>148.71094313294776</v>
      </c>
      <c r="AO350">
        <f t="shared" si="247"/>
        <v>1.5640718214191143</v>
      </c>
      <c r="AP350" s="42" t="str">
        <f t="shared" si="248"/>
        <v>-1,43513614167721+1,47694948883851i</v>
      </c>
      <c r="AQ350">
        <f t="shared" si="249"/>
        <v>6.2746781550594513</v>
      </c>
      <c r="AR350" s="44">
        <f t="shared" si="250"/>
        <v>134.17737182109107</v>
      </c>
      <c r="AS350" s="42" t="str">
        <f t="shared" si="251"/>
        <v>0,20864077040642+0,0833914451057965i</v>
      </c>
      <c r="AT350" s="20">
        <f t="shared" si="252"/>
        <v>-12.968367430938347</v>
      </c>
      <c r="AU350" s="44">
        <f t="shared" si="253"/>
        <v>21.786052378787822</v>
      </c>
    </row>
    <row r="351" spans="14:47" x14ac:dyDescent="0.3">
      <c r="N351" s="8">
        <v>33</v>
      </c>
      <c r="O351" s="35">
        <f t="shared" si="221"/>
        <v>21379.620895022348</v>
      </c>
      <c r="P351" s="34" t="str">
        <f t="shared" si="222"/>
        <v>324,571428571429</v>
      </c>
      <c r="Q351" s="4" t="str">
        <f t="shared" si="223"/>
        <v>1+3070,44845441541i</v>
      </c>
      <c r="R351" s="4">
        <f t="shared" si="231"/>
        <v>3070.4486172580682</v>
      </c>
      <c r="S351" s="4">
        <f t="shared" si="232"/>
        <v>1.5704706414823146</v>
      </c>
      <c r="T351" s="4" t="str">
        <f t="shared" si="224"/>
        <v>1+0,0268664239761348i</v>
      </c>
      <c r="U351" s="4">
        <f t="shared" si="233"/>
        <v>1.0003608372668662</v>
      </c>
      <c r="V351" s="4">
        <f t="shared" si="234"/>
        <v>2.6859962670151689E-2</v>
      </c>
      <c r="W351" t="str">
        <f t="shared" si="225"/>
        <v>1-0,233215485903948i</v>
      </c>
      <c r="X351" s="4">
        <f t="shared" si="235"/>
        <v>1.0268346813705771</v>
      </c>
      <c r="Y351" s="4">
        <f t="shared" si="236"/>
        <v>-0.22912016778492672</v>
      </c>
      <c r="Z351" t="str">
        <f t="shared" si="226"/>
        <v>0,998171647241541+0,199958957614045i</v>
      </c>
      <c r="AA351" s="4">
        <f t="shared" si="237"/>
        <v>1.0180030560302786</v>
      </c>
      <c r="AB351" s="4">
        <f t="shared" si="238"/>
        <v>0.1977082545018353</v>
      </c>
      <c r="AC351" s="48" t="str">
        <f t="shared" si="239"/>
        <v>-0,0415016973252079-0,0982585909343876i</v>
      </c>
      <c r="AD351" s="20">
        <f t="shared" si="240"/>
        <v>-19.439668376670273</v>
      </c>
      <c r="AE351" s="44">
        <f t="shared" si="241"/>
        <v>-112.89784428052013</v>
      </c>
      <c r="AF351" t="str">
        <f t="shared" si="227"/>
        <v>-0,0000125211169631323</v>
      </c>
      <c r="AG351" t="str">
        <f t="shared" si="228"/>
        <v>0,000649227135383298i</v>
      </c>
      <c r="AH351">
        <f t="shared" si="242"/>
        <v>6.4922713538329805E-4</v>
      </c>
      <c r="AI351">
        <f t="shared" si="243"/>
        <v>1.5707963267948966</v>
      </c>
      <c r="AJ351" t="str">
        <f t="shared" si="229"/>
        <v>1+1,03903518274929i</v>
      </c>
      <c r="AK351">
        <f t="shared" si="244"/>
        <v>1.4420797866244608</v>
      </c>
      <c r="AL351">
        <f t="shared" si="245"/>
        <v>0.80453977284601363</v>
      </c>
      <c r="AM351" t="str">
        <f t="shared" si="230"/>
        <v>1+152,171425400828i</v>
      </c>
      <c r="AN351">
        <f t="shared" si="246"/>
        <v>152.17471113335409</v>
      </c>
      <c r="AO351">
        <f t="shared" si="247"/>
        <v>1.5642248853911607</v>
      </c>
      <c r="AP351" s="42" t="str">
        <f t="shared" si="248"/>
        <v>-1,40160417007614+1,4756022335755i</v>
      </c>
      <c r="AQ351">
        <f t="shared" si="249"/>
        <v>6.1719921098329289</v>
      </c>
      <c r="AR351" s="44">
        <f t="shared" si="250"/>
        <v>133.52675070775786</v>
      </c>
      <c r="AS351" s="42" t="str">
        <f t="shared" si="251"/>
        <v>0,203159548287013+0,0764796535291921i</v>
      </c>
      <c r="AT351" s="20">
        <f t="shared" si="252"/>
        <v>-13.267676266837341</v>
      </c>
      <c r="AU351" s="44">
        <f t="shared" si="253"/>
        <v>20.628906427237702</v>
      </c>
    </row>
    <row r="352" spans="14:47" x14ac:dyDescent="0.3">
      <c r="N352" s="8">
        <v>34</v>
      </c>
      <c r="O352" s="35">
        <f t="shared" si="221"/>
        <v>21877.61623949555</v>
      </c>
      <c r="P352" s="34" t="str">
        <f t="shared" si="222"/>
        <v>324,571428571429</v>
      </c>
      <c r="Q352" s="4" t="str">
        <f t="shared" si="223"/>
        <v>1+3141,96838656256i</v>
      </c>
      <c r="R352" s="4">
        <f t="shared" si="231"/>
        <v>3141.9685456984666</v>
      </c>
      <c r="S352" s="4">
        <f t="shared" si="232"/>
        <v>1.5704780549846165</v>
      </c>
      <c r="T352" s="4" t="str">
        <f t="shared" si="224"/>
        <v>1+0,0274922233824224i</v>
      </c>
      <c r="U352" s="4">
        <f t="shared" si="233"/>
        <v>1.0003778397918004</v>
      </c>
      <c r="V352" s="4">
        <f t="shared" si="234"/>
        <v>2.7485300109547361E-2</v>
      </c>
      <c r="W352" t="str">
        <f t="shared" si="225"/>
        <v>1-0,238647772416861i</v>
      </c>
      <c r="X352" s="4">
        <f t="shared" si="235"/>
        <v>1.0280820780849795</v>
      </c>
      <c r="Y352" s="4">
        <f t="shared" si="236"/>
        <v>-0.23426600765272276</v>
      </c>
      <c r="Z352" t="str">
        <f t="shared" si="226"/>
        <v>0,998085479630709+0,204616600070217i</v>
      </c>
      <c r="AA352" s="4">
        <f t="shared" si="237"/>
        <v>1.0188437454653965</v>
      </c>
      <c r="AB352" s="4">
        <f t="shared" si="238"/>
        <v>0.20220732425562082</v>
      </c>
      <c r="AC352" s="48" t="str">
        <f t="shared" si="239"/>
        <v>-0,0414389312772752-0,0956907397993477i</v>
      </c>
      <c r="AD352" s="20">
        <f t="shared" si="240"/>
        <v>-19.636145570472362</v>
      </c>
      <c r="AE352" s="44">
        <f t="shared" si="241"/>
        <v>-113.41505246196627</v>
      </c>
      <c r="AF352" t="str">
        <f t="shared" si="227"/>
        <v>-0,0000125211169631323</v>
      </c>
      <c r="AG352" t="str">
        <f t="shared" si="228"/>
        <v>0,000664349578036237i</v>
      </c>
      <c r="AH352">
        <f t="shared" si="242"/>
        <v>6.6434957803623699E-4</v>
      </c>
      <c r="AI352">
        <f t="shared" si="243"/>
        <v>1.5707963267948966</v>
      </c>
      <c r="AJ352" t="str">
        <f t="shared" si="229"/>
        <v>1+1,0632374212405i</v>
      </c>
      <c r="AK352">
        <f t="shared" si="244"/>
        <v>1.459614268882758</v>
      </c>
      <c r="AL352">
        <f t="shared" si="245"/>
        <v>0.81603818089085045</v>
      </c>
      <c r="AM352" t="str">
        <f t="shared" si="230"/>
        <v>1+155,71595323804i</v>
      </c>
      <c r="AN352">
        <f t="shared" si="246"/>
        <v>155.71916417972275</v>
      </c>
      <c r="AO352">
        <f t="shared" si="247"/>
        <v>1.5643744654993745</v>
      </c>
      <c r="AP352" s="42" t="str">
        <f t="shared" si="248"/>
        <v>-1,36813123868397+1,47349551146598i</v>
      </c>
      <c r="AQ352">
        <f t="shared" si="249"/>
        <v>6.0670074525786912</v>
      </c>
      <c r="AR352" s="44">
        <f t="shared" si="250"/>
        <v>132.87651076456908</v>
      </c>
      <c r="AS352" s="42" t="str">
        <f t="shared" si="251"/>
        <v>0,197693771961316+0,0698574111352548i</v>
      </c>
      <c r="AT352" s="20">
        <f t="shared" si="252"/>
        <v>-13.569138117893683</v>
      </c>
      <c r="AU352" s="44">
        <f t="shared" si="253"/>
        <v>19.461458302602828</v>
      </c>
    </row>
    <row r="353" spans="14:47" x14ac:dyDescent="0.3">
      <c r="N353" s="8">
        <v>35</v>
      </c>
      <c r="O353" s="35">
        <f t="shared" si="221"/>
        <v>22387.211385683382</v>
      </c>
      <c r="P353" s="34" t="str">
        <f t="shared" si="222"/>
        <v>324,571428571429</v>
      </c>
      <c r="Q353" s="4" t="str">
        <f t="shared" si="223"/>
        <v>1+3215,15423193712i</v>
      </c>
      <c r="R353" s="4">
        <f t="shared" si="231"/>
        <v>3215.1543874506515</v>
      </c>
      <c r="S353" s="4">
        <f t="shared" si="232"/>
        <v>1.5704852997350371</v>
      </c>
      <c r="T353" s="4" t="str">
        <f t="shared" si="224"/>
        <v>1+0,0281325995294498i</v>
      </c>
      <c r="U353" s="4">
        <f t="shared" si="233"/>
        <v>1.0003956433113272</v>
      </c>
      <c r="V353" s="4">
        <f t="shared" si="234"/>
        <v>2.8125181267355602E-2</v>
      </c>
      <c r="W353" t="str">
        <f t="shared" si="225"/>
        <v>1-0,244206593137585i</v>
      </c>
      <c r="X353" s="4">
        <f t="shared" si="235"/>
        <v>1.0293866426818767</v>
      </c>
      <c r="Y353" s="4">
        <f t="shared" si="236"/>
        <v>-0.2395186562541731</v>
      </c>
      <c r="Z353" t="str">
        <f t="shared" si="226"/>
        <v>0,997995251065491+0,209382732956165i</v>
      </c>
      <c r="AA353" s="4">
        <f t="shared" si="237"/>
        <v>1.0197233203224614</v>
      </c>
      <c r="AB353" s="4">
        <f t="shared" si="238"/>
        <v>0.20680382930589269</v>
      </c>
      <c r="AC353" s="48" t="str">
        <f t="shared" si="239"/>
        <v>-0,0413732907740674-0,0931747609626829i</v>
      </c>
      <c r="AD353" s="20">
        <f t="shared" si="240"/>
        <v>-19.832471522426939</v>
      </c>
      <c r="AE353" s="44">
        <f t="shared" si="241"/>
        <v>-113.94312000187617</v>
      </c>
      <c r="AF353" t="str">
        <f t="shared" si="227"/>
        <v>-0,0000125211169631323</v>
      </c>
      <c r="AG353" t="str">
        <f t="shared" si="228"/>
        <v>0,000679824267629156i</v>
      </c>
      <c r="AH353">
        <f t="shared" si="242"/>
        <v>6.7982426762915602E-4</v>
      </c>
      <c r="AI353">
        <f t="shared" si="243"/>
        <v>1.5707963267948966</v>
      </c>
      <c r="AJ353" t="str">
        <f t="shared" si="229"/>
        <v>1+1,08800340228606i</v>
      </c>
      <c r="AK353">
        <f t="shared" si="244"/>
        <v>1.4777521454513411</v>
      </c>
      <c r="AL353">
        <f t="shared" si="245"/>
        <v>0.82752038811228401</v>
      </c>
      <c r="AM353" t="str">
        <f t="shared" si="230"/>
        <v>1+159,343043734804i</v>
      </c>
      <c r="AN353">
        <f t="shared" si="246"/>
        <v>159.34618158798679</v>
      </c>
      <c r="AO353">
        <f t="shared" si="247"/>
        <v>1.5645206410263197</v>
      </c>
      <c r="AP353" s="42" t="str">
        <f t="shared" si="248"/>
        <v>-1,33475256089637+1,47063349457013i</v>
      </c>
      <c r="AQ353">
        <f t="shared" si="249"/>
        <v>5.9597294264587646</v>
      </c>
      <c r="AR353" s="44">
        <f t="shared" si="250"/>
        <v>132.22700399204871</v>
      </c>
      <c r="AS353" s="42" t="str">
        <f t="shared" si="251"/>
        <v>0,192249030133684+0,0635203036129153i</v>
      </c>
      <c r="AT353" s="20">
        <f t="shared" si="252"/>
        <v>-13.872742095968151</v>
      </c>
      <c r="AU353" s="44">
        <f t="shared" si="253"/>
        <v>18.283883990172523</v>
      </c>
    </row>
    <row r="354" spans="14:47" x14ac:dyDescent="0.3">
      <c r="N354" s="8">
        <v>36</v>
      </c>
      <c r="O354" s="35">
        <f t="shared" si="221"/>
        <v>22908.676527677751</v>
      </c>
      <c r="P354" s="34" t="str">
        <f t="shared" si="222"/>
        <v>324,571428571429</v>
      </c>
      <c r="Q354" s="4" t="str">
        <f t="shared" si="223"/>
        <v>1+3290,04479464309i</v>
      </c>
      <c r="R354" s="4">
        <f t="shared" si="231"/>
        <v>3290.0449466167011</v>
      </c>
      <c r="S354" s="4">
        <f t="shared" si="232"/>
        <v>1.5704923795748365</v>
      </c>
      <c r="T354" s="4" t="str">
        <f t="shared" si="224"/>
        <v>1+0,028787891953127i</v>
      </c>
      <c r="U354" s="4">
        <f t="shared" si="233"/>
        <v>1.000414285545296</v>
      </c>
      <c r="V354" s="4">
        <f t="shared" si="234"/>
        <v>2.8779943319852775E-2</v>
      </c>
      <c r="W354" t="str">
        <f t="shared" si="225"/>
        <v>1-0,24989489542645i</v>
      </c>
      <c r="X354" s="4">
        <f t="shared" si="235"/>
        <v>1.030750919844458</v>
      </c>
      <c r="Y354" s="4">
        <f t="shared" si="236"/>
        <v>-0.24487973872916174</v>
      </c>
      <c r="Z354" t="str">
        <f t="shared" si="226"/>
        <v>0,997900770159001+0,214259883338638i</v>
      </c>
      <c r="AA354" s="4">
        <f t="shared" si="237"/>
        <v>1.0206435443837452</v>
      </c>
      <c r="AB354" s="4">
        <f t="shared" si="238"/>
        <v>0.21149953984296666</v>
      </c>
      <c r="AC354" s="48" t="str">
        <f t="shared" si="239"/>
        <v>-0,0413046673362977-0,0907093953843574i</v>
      </c>
      <c r="AD354" s="20">
        <f t="shared" si="240"/>
        <v>-20.028640426225792</v>
      </c>
      <c r="AE354" s="44">
        <f t="shared" si="241"/>
        <v>-114.48222233965078</v>
      </c>
      <c r="AF354" t="str">
        <f t="shared" si="227"/>
        <v>-0,0000125211169631323</v>
      </c>
      <c r="AG354" t="str">
        <f t="shared" si="228"/>
        <v>0,000695659409047313i</v>
      </c>
      <c r="AH354">
        <f t="shared" si="242"/>
        <v>6.95659409047313E-4</v>
      </c>
      <c r="AI354">
        <f t="shared" si="243"/>
        <v>1.5707963267948966</v>
      </c>
      <c r="AJ354" t="str">
        <f t="shared" si="229"/>
        <v>1+1,11334625713695i</v>
      </c>
      <c r="AK354">
        <f t="shared" si="244"/>
        <v>1.4965092342785111</v>
      </c>
      <c r="AL354">
        <f t="shared" si="245"/>
        <v>0.83898037294269212</v>
      </c>
      <c r="AM354" t="str">
        <f t="shared" si="230"/>
        <v>1+163,054620022511i</v>
      </c>
      <c r="AN354">
        <f t="shared" si="246"/>
        <v>163.05768645079399</v>
      </c>
      <c r="AO354">
        <f t="shared" si="247"/>
        <v>1.5646634894511942</v>
      </c>
      <c r="AP354" s="42" t="str">
        <f t="shared" si="248"/>
        <v>-1,30150295303203+1,46702235984755i</v>
      </c>
      <c r="AQ354">
        <f t="shared" si="249"/>
        <v>5.8501656788581489</v>
      </c>
      <c r="AR354" s="44">
        <f t="shared" si="250"/>
        <v>131.57857983983757</v>
      </c>
      <c r="AS354" s="42" t="str">
        <f t="shared" si="251"/>
        <v>0,186830857789302+0,0574636754120777i</v>
      </c>
      <c r="AT354" s="20">
        <f t="shared" si="252"/>
        <v>-14.178474747367623</v>
      </c>
      <c r="AU354" s="44">
        <f t="shared" si="253"/>
        <v>17.096357500186762</v>
      </c>
    </row>
    <row r="355" spans="14:47" x14ac:dyDescent="0.3">
      <c r="N355" s="8">
        <v>37</v>
      </c>
      <c r="O355" s="35">
        <f t="shared" si="221"/>
        <v>23442.288153199243</v>
      </c>
      <c r="P355" s="34" t="str">
        <f t="shared" si="222"/>
        <v>324,571428571429</v>
      </c>
      <c r="Q355" s="4" t="str">
        <f t="shared" si="223"/>
        <v>1+3366,67978264805i</v>
      </c>
      <c r="R355" s="4">
        <f t="shared" si="231"/>
        <v>3366.6799311623195</v>
      </c>
      <c r="S355" s="4">
        <f t="shared" si="232"/>
        <v>1.5704992982578361</v>
      </c>
      <c r="T355" s="4" t="str">
        <f t="shared" si="224"/>
        <v>1+0,0294584480981704i</v>
      </c>
      <c r="U355" s="4">
        <f t="shared" si="233"/>
        <v>1.0004338059883584</v>
      </c>
      <c r="V355" s="4">
        <f t="shared" si="234"/>
        <v>2.9449931183618307E-2</v>
      </c>
      <c r="W355" t="str">
        <f t="shared" si="225"/>
        <v>1-0,255715695296618i</v>
      </c>
      <c r="X355" s="4">
        <f t="shared" si="235"/>
        <v>1.032177560704084</v>
      </c>
      <c r="Y355" s="4">
        <f t="shared" si="236"/>
        <v>-0.25035086439190563</v>
      </c>
      <c r="Z355" t="str">
        <f t="shared" si="226"/>
        <v>0,997801836504569+0,21925063714732i</v>
      </c>
      <c r="AA355" s="4">
        <f t="shared" si="237"/>
        <v>1.0216062582136998</v>
      </c>
      <c r="AB355" s="4">
        <f t="shared" si="238"/>
        <v>0.21629623472437512</v>
      </c>
      <c r="AC355" s="48" t="str">
        <f t="shared" si="239"/>
        <v>-0,0412329488876542-0,0882934155052636i</v>
      </c>
      <c r="AD355" s="20">
        <f t="shared" si="240"/>
        <v>-20.224646315015541</v>
      </c>
      <c r="AE355" s="44">
        <f t="shared" si="241"/>
        <v>-115.03253405604531</v>
      </c>
      <c r="AF355" t="str">
        <f t="shared" si="227"/>
        <v>-0,0000125211169631323</v>
      </c>
      <c r="AG355" t="str">
        <f t="shared" si="228"/>
        <v>0,000711863398292286i</v>
      </c>
      <c r="AH355">
        <f t="shared" si="242"/>
        <v>7.1186339829228595E-4</v>
      </c>
      <c r="AI355">
        <f t="shared" si="243"/>
        <v>1.5707963267948966</v>
      </c>
      <c r="AJ355" t="str">
        <f t="shared" si="229"/>
        <v>1+1,13927942291025i</v>
      </c>
      <c r="AK355">
        <f t="shared" si="244"/>
        <v>1.5159015810621455</v>
      </c>
      <c r="AL355">
        <f t="shared" si="245"/>
        <v>0.85041217217498677</v>
      </c>
      <c r="AM355" t="str">
        <f t="shared" si="230"/>
        <v>1+166,852650028037i</v>
      </c>
      <c r="AN355">
        <f t="shared" si="246"/>
        <v>166.8556466571587</v>
      </c>
      <c r="AO355">
        <f t="shared" si="247"/>
        <v>1.5648030864907909</v>
      </c>
      <c r="AP355" s="42" t="str">
        <f t="shared" si="248"/>
        <v>-1,26841669038337+1,46267024806294i</v>
      </c>
      <c r="AQ355">
        <f t="shared" si="249"/>
        <v>5.7383262291404025</v>
      </c>
      <c r="AR355" s="44">
        <f t="shared" si="250"/>
        <v>130.93158431278758</v>
      </c>
      <c r="AS355" s="42" t="str">
        <f t="shared" si="251"/>
        <v>0,181444712522233+0,0516826342999585i</v>
      </c>
      <c r="AT355" s="20">
        <f t="shared" si="252"/>
        <v>-14.486320085875144</v>
      </c>
      <c r="AU355" s="44">
        <f t="shared" si="253"/>
        <v>15.899050256742294</v>
      </c>
    </row>
    <row r="356" spans="14:47" x14ac:dyDescent="0.3">
      <c r="N356" s="8">
        <v>38</v>
      </c>
      <c r="O356" s="35">
        <f t="shared" si="221"/>
        <v>23988.329190194923</v>
      </c>
      <c r="P356" s="34" t="str">
        <f t="shared" si="222"/>
        <v>324,571428571429</v>
      </c>
      <c r="Q356" s="4" t="str">
        <f t="shared" si="223"/>
        <v>1+3445,09982883703i</v>
      </c>
      <c r="R356" s="4">
        <f t="shared" si="231"/>
        <v>3445.0999739707026</v>
      </c>
      <c r="S356" s="4">
        <f t="shared" si="232"/>
        <v>1.5705060594524107</v>
      </c>
      <c r="T356" s="4" t="str">
        <f t="shared" si="224"/>
        <v>1+0,030144623502324i</v>
      </c>
      <c r="U356" s="4">
        <f t="shared" si="233"/>
        <v>1.0004542459933372</v>
      </c>
      <c r="V356" s="4">
        <f t="shared" si="234"/>
        <v>3.0135497687735859E-2</v>
      </c>
      <c r="W356" t="str">
        <f t="shared" si="225"/>
        <v>1-0,261672079013229i</v>
      </c>
      <c r="X356" s="4">
        <f t="shared" si="235"/>
        <v>1.0336693266877497</v>
      </c>
      <c r="Y356" s="4">
        <f t="shared" si="236"/>
        <v>-0.25593362340211451</v>
      </c>
      <c r="Z356" t="str">
        <f t="shared" si="226"/>
        <v>0,997698240250651+0,224357640545942i</v>
      </c>
      <c r="AA356" s="4">
        <f t="shared" si="237"/>
        <v>1.0226133822078547</v>
      </c>
      <c r="AB356" s="4">
        <f t="shared" si="238"/>
        <v>0.22119569970518993</v>
      </c>
      <c r="AC356" s="48" t="str">
        <f t="shared" si="239"/>
        <v>-0,0411580197478299-0,0859256248493541i</v>
      </c>
      <c r="AD356" s="20">
        <f t="shared" si="240"/>
        <v>-20.420483062808657</v>
      </c>
      <c r="AE356" s="44">
        <f t="shared" si="241"/>
        <v>-115.59422857129388</v>
      </c>
      <c r="AF356" t="str">
        <f t="shared" si="227"/>
        <v>-0,0000125211169631323</v>
      </c>
      <c r="AG356" t="str">
        <f t="shared" si="228"/>
        <v>0,000728444826933659i</v>
      </c>
      <c r="AH356">
        <f t="shared" si="242"/>
        <v>7.2844482693365899E-4</v>
      </c>
      <c r="AI356">
        <f t="shared" si="243"/>
        <v>1.5707963267948966</v>
      </c>
      <c r="AJ356" t="str">
        <f t="shared" si="229"/>
        <v>1+1,16581664971372i</v>
      </c>
      <c r="AK356">
        <f t="shared" si="244"/>
        <v>1.5359454615153894</v>
      </c>
      <c r="AL356">
        <f t="shared" si="245"/>
        <v>0.86180989623316151</v>
      </c>
      <c r="AM356" t="str">
        <f t="shared" si="230"/>
        <v>1+170,739147517163i</v>
      </c>
      <c r="AN356">
        <f t="shared" si="246"/>
        <v>170.74207593586164</v>
      </c>
      <c r="AO356">
        <f t="shared" si="247"/>
        <v>1.5649395061395324</v>
      </c>
      <c r="AP356" s="42" t="str">
        <f t="shared" si="248"/>
        <v>-1,23552736806212+1,4575872105272i</v>
      </c>
      <c r="AQ356">
        <f t="shared" si="249"/>
        <v>5.6242234266848969</v>
      </c>
      <c r="AR356" s="44">
        <f t="shared" si="250"/>
        <v>130.28635909831499</v>
      </c>
      <c r="AS356" s="42" t="str">
        <f t="shared" si="251"/>
        <v>0,176095951650662+0,0461720579241528i</v>
      </c>
      <c r="AT356" s="20">
        <f t="shared" si="252"/>
        <v>-14.796259636123747</v>
      </c>
      <c r="AU356" s="44">
        <f t="shared" si="253"/>
        <v>14.692130527021071</v>
      </c>
    </row>
    <row r="357" spans="14:47" x14ac:dyDescent="0.3">
      <c r="N357" s="8">
        <v>39</v>
      </c>
      <c r="O357" s="35">
        <f t="shared" si="221"/>
        <v>24547.089156850321</v>
      </c>
      <c r="P357" s="34" t="str">
        <f t="shared" si="222"/>
        <v>324,571428571429</v>
      </c>
      <c r="Q357" s="4" t="str">
        <f t="shared" si="223"/>
        <v>1+3525,34651255655i</v>
      </c>
      <c r="R357" s="4">
        <f t="shared" si="231"/>
        <v>3525.3466543865761</v>
      </c>
      <c r="S357" s="4">
        <f t="shared" si="232"/>
        <v>1.570512666743433</v>
      </c>
      <c r="T357" s="4" t="str">
        <f t="shared" si="224"/>
        <v>1+0,0308467819848698i</v>
      </c>
      <c r="U357" s="4">
        <f t="shared" si="233"/>
        <v>1.0004756488584927</v>
      </c>
      <c r="V357" s="4">
        <f t="shared" si="234"/>
        <v>3.083700374942781E-2</v>
      </c>
      <c r="W357" t="str">
        <f t="shared" si="225"/>
        <v>1-0,267767204729773i</v>
      </c>
      <c r="X357" s="4">
        <f t="shared" si="235"/>
        <v>1.0352290934516843</v>
      </c>
      <c r="Y357" s="4">
        <f t="shared" si="236"/>
        <v>-0.26162958323824853</v>
      </c>
      <c r="Z357" t="str">
        <f t="shared" si="226"/>
        <v>0,997589761655703+0,229583601335307i</v>
      </c>
      <c r="AA357" s="4">
        <f t="shared" si="237"/>
        <v>1.023666919736284</v>
      </c>
      <c r="AB357" s="4">
        <f t="shared" si="238"/>
        <v>0.22619972552534384</v>
      </c>
      <c r="AC357" s="48" t="str">
        <f t="shared" si="239"/>
        <v>-0,0410797606357924-0,0836048576519953i</v>
      </c>
      <c r="AD357" s="20">
        <f t="shared" si="240"/>
        <v>-20.616144386577172</v>
      </c>
      <c r="AE357" s="44">
        <f t="shared" si="241"/>
        <v>-116.16747782350149</v>
      </c>
      <c r="AF357" t="str">
        <f t="shared" si="227"/>
        <v>-0,0000125211169631323</v>
      </c>
      <c r="AG357" t="str">
        <f t="shared" si="228"/>
        <v>0,00074541248666438i</v>
      </c>
      <c r="AH357">
        <f t="shared" si="242"/>
        <v>7.4541248666438E-4</v>
      </c>
      <c r="AI357">
        <f t="shared" si="243"/>
        <v>1.5707963267948966</v>
      </c>
      <c r="AJ357" t="str">
        <f t="shared" si="229"/>
        <v>1+1,19297200793627i</v>
      </c>
      <c r="AK357">
        <f t="shared" si="244"/>
        <v>1.5566573841791571</v>
      </c>
      <c r="AL357">
        <f t="shared" si="245"/>
        <v>0.87316774397696484</v>
      </c>
      <c r="AM357" t="str">
        <f t="shared" si="230"/>
        <v>1+174,716173162303i</v>
      </c>
      <c r="AN357">
        <f t="shared" si="246"/>
        <v>174.7190349231584</v>
      </c>
      <c r="AO357">
        <f t="shared" si="247"/>
        <v>1.5650728207086002</v>
      </c>
      <c r="AP357" s="42" t="str">
        <f t="shared" si="248"/>
        <v>-1,20286776781933+1,45178514429795i</v>
      </c>
      <c r="AQ357">
        <f t="shared" si="249"/>
        <v>5.5078718995757869</v>
      </c>
      <c r="AR357" s="44">
        <f t="shared" si="250"/>
        <v>129.64324072039798</v>
      </c>
      <c r="AS357" s="42" t="str">
        <f t="shared" si="251"/>
        <v>0,17078981030884+0,0409266022803493i</v>
      </c>
      <c r="AT357" s="20">
        <f t="shared" si="252"/>
        <v>-15.108272487001367</v>
      </c>
      <c r="AU357" s="44">
        <f t="shared" si="253"/>
        <v>13.47576289689647</v>
      </c>
    </row>
    <row r="358" spans="14:47" x14ac:dyDescent="0.3">
      <c r="N358" s="8">
        <v>40</v>
      </c>
      <c r="O358" s="35">
        <f t="shared" si="221"/>
        <v>25118.86431509586</v>
      </c>
      <c r="P358" s="34" t="str">
        <f t="shared" si="222"/>
        <v>324,571428571429</v>
      </c>
      <c r="Q358" s="4" t="str">
        <f t="shared" si="223"/>
        <v>1+3607,46238166053i</v>
      </c>
      <c r="R358" s="4">
        <f t="shared" si="231"/>
        <v>3607.4625202621114</v>
      </c>
      <c r="S358" s="4">
        <f t="shared" si="232"/>
        <v>1.5705191236341736</v>
      </c>
      <c r="T358" s="4" t="str">
        <f t="shared" si="224"/>
        <v>1+0,0315652958395296i</v>
      </c>
      <c r="U358" s="4">
        <f t="shared" si="233"/>
        <v>1.0004980599188771</v>
      </c>
      <c r="V358" s="4">
        <f t="shared" si="234"/>
        <v>3.1554818553164533E-2</v>
      </c>
      <c r="W358" t="str">
        <f t="shared" si="225"/>
        <v>1-0,274004304162583i</v>
      </c>
      <c r="X358" s="4">
        <f t="shared" si="235"/>
        <v>1.0368598548982506</v>
      </c>
      <c r="Y358" s="4">
        <f t="shared" si="236"/>
        <v>-0.26744028496839806</v>
      </c>
      <c r="Z358" t="str">
        <f t="shared" si="226"/>
        <v>0,997476170622079+0,234931290388999i</v>
      </c>
      <c r="AA358" s="4">
        <f t="shared" si="237"/>
        <v>1.024768960382157</v>
      </c>
      <c r="AB358" s="4">
        <f t="shared" si="238"/>
        <v>0.23131010584745618</v>
      </c>
      <c r="AC358" s="48" t="str">
        <f t="shared" si="239"/>
        <v>-0,0409980486844702-0,0813299785142197i</v>
      </c>
      <c r="AD358" s="20">
        <f t="shared" si="240"/>
        <v>-20.81162384909053</v>
      </c>
      <c r="AE358" s="44">
        <f t="shared" si="241"/>
        <v>-116.75245192667427</v>
      </c>
      <c r="AF358" t="str">
        <f t="shared" si="227"/>
        <v>-0,0000125211169631323</v>
      </c>
      <c r="AG358" t="str">
        <f t="shared" si="228"/>
        <v>0,000762775373962232i</v>
      </c>
      <c r="AH358">
        <f t="shared" si="242"/>
        <v>7.6277537396223199E-4</v>
      </c>
      <c r="AI358">
        <f t="shared" si="243"/>
        <v>1.5707963267948966</v>
      </c>
      <c r="AJ358" t="str">
        <f t="shared" si="229"/>
        <v>1+1,22075989570829i</v>
      </c>
      <c r="AK358">
        <f t="shared" si="244"/>
        <v>1.5780540938034142</v>
      </c>
      <c r="AL358">
        <f t="shared" si="245"/>
        <v>0.88448001695244249</v>
      </c>
      <c r="AM358" t="str">
        <f t="shared" si="230"/>
        <v>1+178,785835635096i</v>
      </c>
      <c r="AN358">
        <f t="shared" si="246"/>
        <v>178.78863225535218</v>
      </c>
      <c r="AO358">
        <f t="shared" si="247"/>
        <v>1.5652031008641776</v>
      </c>
      <c r="AP358" s="42" t="str">
        <f t="shared" si="248"/>
        <v>-1,17046973192951+1,44527771659088i</v>
      </c>
      <c r="AQ358">
        <f t="shared" si="249"/>
        <v>5.3892884943907156</v>
      </c>
      <c r="AR358" s="44">
        <f t="shared" si="250"/>
        <v>129.00255972527236</v>
      </c>
      <c r="AS358" s="42" t="str">
        <f t="shared" si="251"/>
        <v>0,165531380690762+0,0359407119619987i</v>
      </c>
      <c r="AT358" s="20">
        <f t="shared" si="252"/>
        <v>-15.422335354699797</v>
      </c>
      <c r="AU358" s="44">
        <f t="shared" si="253"/>
        <v>12.250107798598087</v>
      </c>
    </row>
    <row r="359" spans="14:47" x14ac:dyDescent="0.3">
      <c r="N359" s="8">
        <v>41</v>
      </c>
      <c r="O359" s="35">
        <f t="shared" si="221"/>
        <v>25703.95782768865</v>
      </c>
      <c r="P359" s="34" t="str">
        <f t="shared" si="222"/>
        <v>324,571428571429</v>
      </c>
      <c r="Q359" s="4" t="str">
        <f t="shared" si="223"/>
        <v>1+3691,49097506965i</v>
      </c>
      <c r="R359" s="4">
        <f t="shared" si="231"/>
        <v>3691.4911105162741</v>
      </c>
      <c r="S359" s="4">
        <f t="shared" si="232"/>
        <v>1.5705254335481591</v>
      </c>
      <c r="T359" s="4" t="str">
        <f t="shared" si="224"/>
        <v>1+0,0323005460318594i</v>
      </c>
      <c r="U359" s="4">
        <f t="shared" si="233"/>
        <v>1.0005215266419589</v>
      </c>
      <c r="V359" s="4">
        <f t="shared" si="234"/>
        <v>3.2289319733284645E-2</v>
      </c>
      <c r="W359" t="str">
        <f t="shared" si="225"/>
        <v>1-0,280386684304335i</v>
      </c>
      <c r="X359" s="4">
        <f t="shared" si="235"/>
        <v>1.0385647272727776</v>
      </c>
      <c r="Y359" s="4">
        <f t="shared" si="236"/>
        <v>-0.27336723931489387</v>
      </c>
      <c r="Z359" t="str">
        <f t="shared" si="226"/>
        <v>0,99735722620797+0,240403543122537i</v>
      </c>
      <c r="AA359" s="4">
        <f t="shared" si="237"/>
        <v>1.0259216832756415</v>
      </c>
      <c r="AB359" s="4">
        <f t="shared" si="238"/>
        <v>0.23652863503865051</v>
      </c>
      <c r="AC359" s="48" t="str">
        <f t="shared" si="239"/>
        <v>-0,0409127574680878-0,0790998820824913i</v>
      </c>
      <c r="AD359" s="20">
        <f t="shared" si="240"/>
        <v>-21.006914862562166</v>
      </c>
      <c r="AE359" s="44">
        <f t="shared" si="241"/>
        <v>-117.34931880778866</v>
      </c>
      <c r="AF359" t="str">
        <f t="shared" si="227"/>
        <v>-0,0000125211169631323</v>
      </c>
      <c r="AG359" t="str">
        <f t="shared" si="228"/>
        <v>0,000780542694859883i</v>
      </c>
      <c r="AH359">
        <f t="shared" si="242"/>
        <v>7.8054269485988302E-4</v>
      </c>
      <c r="AI359">
        <f t="shared" si="243"/>
        <v>1.5707963267948966</v>
      </c>
      <c r="AJ359" t="str">
        <f t="shared" si="229"/>
        <v>1+1,24919504653567i</v>
      </c>
      <c r="AK359">
        <f t="shared" si="244"/>
        <v>1.6001525753156336</v>
      </c>
      <c r="AL359">
        <f t="shared" si="245"/>
        <v>0.8957411330063918</v>
      </c>
      <c r="AM359" t="str">
        <f t="shared" si="230"/>
        <v>1+182,950292724452i</v>
      </c>
      <c r="AN359">
        <f t="shared" si="246"/>
        <v>182.95302568682123</v>
      </c>
      <c r="AO359">
        <f t="shared" si="247"/>
        <v>1.5653304156648273</v>
      </c>
      <c r="AP359" s="42" t="str">
        <f t="shared" si="248"/>
        <v>-1,13836404512466+1,4380802792661i</v>
      </c>
      <c r="AQ359">
        <f t="shared" si="249"/>
        <v>5.2684922076083005</v>
      </c>
      <c r="AR359" s="44">
        <f t="shared" si="250"/>
        <v>128.36463990352053</v>
      </c>
      <c r="AS359" s="42" t="str">
        <f t="shared" si="251"/>
        <v>0,160325592603681+0,0312086320510545i</v>
      </c>
      <c r="AT359" s="20">
        <f t="shared" si="252"/>
        <v>-15.738422654953879</v>
      </c>
      <c r="AU359" s="44">
        <f t="shared" si="253"/>
        <v>11.015321095731876</v>
      </c>
    </row>
    <row r="360" spans="14:47" x14ac:dyDescent="0.3">
      <c r="N360" s="8">
        <v>42</v>
      </c>
      <c r="O360" s="35">
        <f t="shared" si="221"/>
        <v>26302.679918953829</v>
      </c>
      <c r="P360" s="34" t="str">
        <f t="shared" si="222"/>
        <v>324,571428571429</v>
      </c>
      <c r="Q360" s="4" t="str">
        <f t="shared" si="223"/>
        <v>1+3777,47684585641i</v>
      </c>
      <c r="R360" s="4">
        <f t="shared" si="231"/>
        <v>3777.4769782198923</v>
      </c>
      <c r="S360" s="4">
        <f t="shared" si="232"/>
        <v>1.5705315998309877</v>
      </c>
      <c r="T360" s="4" t="str">
        <f t="shared" si="224"/>
        <v>1+0,0330529224012436i</v>
      </c>
      <c r="U360" s="4">
        <f t="shared" si="233"/>
        <v>1.000546098727721</v>
      </c>
      <c r="V360" s="4">
        <f t="shared" si="234"/>
        <v>3.3040893560163695E-2</v>
      </c>
      <c r="W360" t="str">
        <f t="shared" si="225"/>
        <v>1-0,286917729177462i</v>
      </c>
      <c r="X360" s="4">
        <f t="shared" si="235"/>
        <v>1.0403469533364105</v>
      </c>
      <c r="Y360" s="4">
        <f t="shared" si="236"/>
        <v>-0.27941192250946784</v>
      </c>
      <c r="Z360" t="str">
        <f t="shared" si="226"/>
        <v>0,997232676116324+0,246003260996756i</v>
      </c>
      <c r="AA360" s="4">
        <f t="shared" si="237"/>
        <v>1.0271273605231064</v>
      </c>
      <c r="AB360" s="4">
        <f t="shared" si="238"/>
        <v>0.24185710578991643</v>
      </c>
      <c r="AC360" s="48" t="str">
        <f t="shared" si="239"/>
        <v>-0,0408237570434597-0,0769134927535348i</v>
      </c>
      <c r="AD360" s="20">
        <f t="shared" si="240"/>
        <v>-21.202010693170191</v>
      </c>
      <c r="AE360" s="44">
        <f t="shared" si="241"/>
        <v>-117.95824382234655</v>
      </c>
      <c r="AF360" t="str">
        <f t="shared" si="227"/>
        <v>-0,0000125211169631323</v>
      </c>
      <c r="AG360" t="str">
        <f t="shared" si="228"/>
        <v>0,000798723869826053i</v>
      </c>
      <c r="AH360">
        <f t="shared" si="242"/>
        <v>7.9872386982605297E-4</v>
      </c>
      <c r="AI360">
        <f t="shared" si="243"/>
        <v>1.5707963267948966</v>
      </c>
      <c r="AJ360" t="str">
        <f t="shared" si="229"/>
        <v>1+1,27829253711178i</v>
      </c>
      <c r="AK360">
        <f t="shared" si="244"/>
        <v>1.6229700583916116</v>
      </c>
      <c r="AL360">
        <f t="shared" si="245"/>
        <v>0.90694563919013071</v>
      </c>
      <c r="AM360" t="str">
        <f t="shared" si="230"/>
        <v>1+187,211752480644i</v>
      </c>
      <c r="AN360">
        <f t="shared" si="246"/>
        <v>187.21442323409252</v>
      </c>
      <c r="AO360">
        <f t="shared" si="247"/>
        <v>1.5654548325980233</v>
      </c>
      <c r="AP360" s="42" t="str">
        <f t="shared" si="248"/>
        <v>-1,10658032544734+1,43020977435097i</v>
      </c>
      <c r="AQ360">
        <f t="shared" si="249"/>
        <v>5.1455041092168479</v>
      </c>
      <c r="AR360" s="44">
        <f t="shared" si="250"/>
        <v>127.72979755283636</v>
      </c>
      <c r="AS360" s="42" t="str">
        <f t="shared" si="251"/>
        <v>0,155177195470713+0,0267244214932129i</v>
      </c>
      <c r="AT360" s="20">
        <f t="shared" si="252"/>
        <v>-16.056506583953329</v>
      </c>
      <c r="AU360" s="44">
        <f t="shared" si="253"/>
        <v>9.7715537304897904</v>
      </c>
    </row>
    <row r="361" spans="14:47" x14ac:dyDescent="0.3">
      <c r="N361" s="8">
        <v>43</v>
      </c>
      <c r="O361" s="35">
        <f t="shared" si="221"/>
        <v>26915.348039269167</v>
      </c>
      <c r="P361" s="34" t="str">
        <f t="shared" si="222"/>
        <v>324,571428571429</v>
      </c>
      <c r="Q361" s="4" t="str">
        <f t="shared" si="223"/>
        <v>1+3865,46558486768i</v>
      </c>
      <c r="R361" s="4">
        <f t="shared" si="231"/>
        <v>3865.4657142182014</v>
      </c>
      <c r="S361" s="4">
        <f t="shared" si="232"/>
        <v>1.5705376257521022</v>
      </c>
      <c r="T361" s="4" t="str">
        <f t="shared" si="224"/>
        <v>1+0,0338228238675922i</v>
      </c>
      <c r="U361" s="4">
        <f t="shared" si="233"/>
        <v>1.0005718282134364</v>
      </c>
      <c r="V361" s="4">
        <f t="shared" si="234"/>
        <v>3.3809935129960181E-2</v>
      </c>
      <c r="W361" t="str">
        <f t="shared" si="225"/>
        <v>1-0,293600901628405i</v>
      </c>
      <c r="X361" s="4">
        <f t="shared" si="235"/>
        <v>1.0422099066104737</v>
      </c>
      <c r="Y361" s="4">
        <f t="shared" si="236"/>
        <v>-0.2855757719366066</v>
      </c>
      <c r="Z361" t="str">
        <f t="shared" si="226"/>
        <v>0,9971022561597+0,251733413056194i</v>
      </c>
      <c r="AA361" s="4">
        <f t="shared" si="237"/>
        <v>1.028388360731336</v>
      </c>
      <c r="AB361" s="4">
        <f t="shared" si="238"/>
        <v>0.24729730656663512</v>
      </c>
      <c r="AC361" s="48" t="str">
        <f t="shared" si="239"/>
        <v>-0,040730914006615-0,0747697644036955i</v>
      </c>
      <c r="AD361" s="20">
        <f t="shared" si="240"/>
        <v>-21.396904466519658</v>
      </c>
      <c r="AE361" s="44">
        <f t="shared" si="241"/>
        <v>-118.57938934791358</v>
      </c>
      <c r="AF361" t="str">
        <f t="shared" si="227"/>
        <v>-0,0000125211169631323</v>
      </c>
      <c r="AG361" t="str">
        <f t="shared" si="228"/>
        <v>0,000817328538760365i</v>
      </c>
      <c r="AH361">
        <f t="shared" si="242"/>
        <v>8.1732853876036497E-4</v>
      </c>
      <c r="AI361">
        <f t="shared" si="243"/>
        <v>1.5707963267948966</v>
      </c>
      <c r="AJ361" t="str">
        <f t="shared" si="229"/>
        <v>1+1,30806779531128i</v>
      </c>
      <c r="AK361">
        <f t="shared" si="244"/>
        <v>1.6465240226399713</v>
      </c>
      <c r="AL361">
        <f t="shared" si="245"/>
        <v>0.91808822388571232</v>
      </c>
      <c r="AM361" t="str">
        <f t="shared" si="230"/>
        <v>1+191,572474386042i</v>
      </c>
      <c r="AN361">
        <f t="shared" si="246"/>
        <v>191.57508434655776</v>
      </c>
      <c r="AO361">
        <f t="shared" si="247"/>
        <v>1.5655764176158542</v>
      </c>
      <c r="AP361" s="42" t="str">
        <f t="shared" si="248"/>
        <v>-1,07514692476535+1,42168463164144i</v>
      </c>
      <c r="AQ361">
        <f t="shared" si="249"/>
        <v>5.0203472591629392</v>
      </c>
      <c r="AR361" s="44">
        <f t="shared" si="250"/>
        <v>127.09834078528637</v>
      </c>
      <c r="AS361" s="42" t="str">
        <f t="shared" si="251"/>
        <v>0,150090741901279+0,0224819677881493i</v>
      </c>
      <c r="AT361" s="20">
        <f t="shared" si="252"/>
        <v>-16.376557207356729</v>
      </c>
      <c r="AU361" s="44">
        <f t="shared" si="253"/>
        <v>8.5189514373727739</v>
      </c>
    </row>
    <row r="362" spans="14:47" x14ac:dyDescent="0.3">
      <c r="N362" s="8">
        <v>44</v>
      </c>
      <c r="O362" s="35">
        <f t="shared" si="221"/>
        <v>27542.287033381719</v>
      </c>
      <c r="P362" s="34" t="str">
        <f t="shared" si="222"/>
        <v>324,571428571429</v>
      </c>
      <c r="Q362" s="4" t="str">
        <f t="shared" si="223"/>
        <v>1+3955,50384489753i</v>
      </c>
      <c r="R362" s="4">
        <f t="shared" si="231"/>
        <v>3955.5039713036754</v>
      </c>
      <c r="S362" s="4">
        <f t="shared" si="232"/>
        <v>1.5705435145065241</v>
      </c>
      <c r="T362" s="4" t="str">
        <f t="shared" si="224"/>
        <v>1+0,0346106586428534i</v>
      </c>
      <c r="U362" s="4">
        <f t="shared" si="233"/>
        <v>1.0005987695833392</v>
      </c>
      <c r="V362" s="4">
        <f t="shared" si="234"/>
        <v>3.4596848557971231E-2</v>
      </c>
      <c r="W362" t="str">
        <f t="shared" si="225"/>
        <v>1-0,300439745163658i</v>
      </c>
      <c r="X362" s="4">
        <f t="shared" si="235"/>
        <v>1.0441570956872361</v>
      </c>
      <c r="Y362" s="4">
        <f t="shared" si="236"/>
        <v>-0.29186018156369281</v>
      </c>
      <c r="Z362" t="str">
        <f t="shared" si="226"/>
        <v>0,996965689699883+0,25759703750332i</v>
      </c>
      <c r="AA362" s="4">
        <f t="shared" si="237"/>
        <v>1.0297071526260513</v>
      </c>
      <c r="AB362" s="4">
        <f t="shared" si="238"/>
        <v>0.25285101888409683</v>
      </c>
      <c r="AC362" s="48" t="str">
        <f t="shared" si="239"/>
        <v>-0,0406340915661906-0,0726676801421929i</v>
      </c>
      <c r="AD362" s="20">
        <f t="shared" si="240"/>
        <v>-21.59158917411597</v>
      </c>
      <c r="AE362" s="44">
        <f t="shared" si="241"/>
        <v>-119.2129143552052</v>
      </c>
      <c r="AF362" t="str">
        <f t="shared" si="227"/>
        <v>-0,0000125211169631323</v>
      </c>
      <c r="AG362" t="str">
        <f t="shared" si="228"/>
        <v>0,000836366566104552i</v>
      </c>
      <c r="AH362">
        <f t="shared" si="242"/>
        <v>8.3636656610455197E-4</v>
      </c>
      <c r="AI362">
        <f t="shared" si="243"/>
        <v>1.5707963267948966</v>
      </c>
      <c r="AJ362" t="str">
        <f t="shared" si="229"/>
        <v>1+1,33853660837017i</v>
      </c>
      <c r="AK362">
        <f t="shared" si="244"/>
        <v>1.6708322034085643</v>
      </c>
      <c r="AL362">
        <f t="shared" si="245"/>
        <v>0.92916372809638348</v>
      </c>
      <c r="AM362" t="str">
        <f t="shared" si="230"/>
        <v>1+196,034770553122i</v>
      </c>
      <c r="AN362">
        <f t="shared" si="246"/>
        <v>196.03732110446518</v>
      </c>
      <c r="AO362">
        <f t="shared" si="247"/>
        <v>1.5656952351699185</v>
      </c>
      <c r="AP362" s="42" t="str">
        <f t="shared" si="248"/>
        <v>-1,04409083955714+1,41252465948581i</v>
      </c>
      <c r="AQ362">
        <f t="shared" si="249"/>
        <v>4.8930466173244973</v>
      </c>
      <c r="AR362" s="44">
        <f t="shared" si="250"/>
        <v>126.47056888241541</v>
      </c>
      <c r="AS362" s="42" t="str">
        <f t="shared" si="251"/>
        <v>0,14507057292646+0,0184750028152833i</v>
      </c>
      <c r="AT362" s="20">
        <f t="shared" si="252"/>
        <v>-16.698542556791498</v>
      </c>
      <c r="AU362" s="44">
        <f t="shared" si="253"/>
        <v>7.257654527210236</v>
      </c>
    </row>
    <row r="363" spans="14:47" x14ac:dyDescent="0.3">
      <c r="N363" s="8">
        <v>45</v>
      </c>
      <c r="O363" s="35">
        <f t="shared" si="221"/>
        <v>28183.829312644593</v>
      </c>
      <c r="P363" s="34" t="str">
        <f t="shared" si="222"/>
        <v>324,571428571429</v>
      </c>
      <c r="Q363" s="4" t="str">
        <f t="shared" si="223"/>
        <v>1+4047,63936542322i</v>
      </c>
      <c r="R363" s="4">
        <f t="shared" si="231"/>
        <v>4047.6394889520097</v>
      </c>
      <c r="S363" s="4">
        <f t="shared" si="232"/>
        <v>1.570549269216547</v>
      </c>
      <c r="T363" s="4" t="str">
        <f t="shared" si="224"/>
        <v>1+0,0354168444474532i</v>
      </c>
      <c r="U363" s="4">
        <f t="shared" si="233"/>
        <v>1.0006269798834204</v>
      </c>
      <c r="V363" s="4">
        <f t="shared" si="234"/>
        <v>3.5402047175624382E-2</v>
      </c>
      <c r="W363" t="str">
        <f t="shared" si="225"/>
        <v>1-0,307437885828587i</v>
      </c>
      <c r="X363" s="4">
        <f t="shared" si="235"/>
        <v>1.0461921686013289</v>
      </c>
      <c r="Y363" s="4">
        <f t="shared" si="236"/>
        <v>-0.29826649715759929</v>
      </c>
      <c r="Z363" t="str">
        <f t="shared" si="226"/>
        <v>0,996822687061103+0,26359724330943i</v>
      </c>
      <c r="AA363" s="4">
        <f t="shared" si="237"/>
        <v>1.0310863087637467</v>
      </c>
      <c r="AB363" s="4">
        <f t="shared" si="238"/>
        <v>0.25852001440201527</v>
      </c>
      <c r="AC363" s="48" t="str">
        <f t="shared" si="239"/>
        <v>-0,0405331496350907-0,0706062520875324i</v>
      </c>
      <c r="AD363" s="20">
        <f t="shared" si="240"/>
        <v>-21.786057680919377</v>
      </c>
      <c r="AE363" s="44">
        <f t="shared" si="241"/>
        <v>-119.85897395635547</v>
      </c>
      <c r="AF363" t="str">
        <f t="shared" si="227"/>
        <v>-0,0000125211169631323</v>
      </c>
      <c r="AG363" t="str">
        <f t="shared" si="228"/>
        <v>0,000855848046072706i</v>
      </c>
      <c r="AH363">
        <f t="shared" si="242"/>
        <v>8.5584804607270596E-4</v>
      </c>
      <c r="AI363">
        <f t="shared" si="243"/>
        <v>1.5707963267948966</v>
      </c>
      <c r="AJ363" t="str">
        <f t="shared" si="229"/>
        <v>1+1,36971513125644i</v>
      </c>
      <c r="AK363">
        <f t="shared" si="244"/>
        <v>1.6959125982175045</v>
      </c>
      <c r="AL363">
        <f t="shared" si="245"/>
        <v>0.94016715585192956</v>
      </c>
      <c r="AM363" t="str">
        <f t="shared" si="230"/>
        <v>1+200,601006950375i</v>
      </c>
      <c r="AN363">
        <f t="shared" si="246"/>
        <v>200.60349944481129</v>
      </c>
      <c r="AO363">
        <f t="shared" si="247"/>
        <v>1.565811348245429</v>
      </c>
      <c r="AP363" s="42" t="str">
        <f t="shared" si="248"/>
        <v>-1,01343763243827+1,40275092989866i</v>
      </c>
      <c r="AQ363">
        <f t="shared" si="249"/>
        <v>4.7636289477288525</v>
      </c>
      <c r="AR363" s="44">
        <f t="shared" si="250"/>
        <v>125.84677170101841</v>
      </c>
      <c r="AS363" s="42" t="str">
        <f t="shared" si="251"/>
        <v>0,140120804973898+0,0146971196085835i</v>
      </c>
      <c r="AT363" s="20">
        <f t="shared" si="252"/>
        <v>-17.022428733190505</v>
      </c>
      <c r="AU363" s="44">
        <f t="shared" si="253"/>
        <v>5.987797744662914</v>
      </c>
    </row>
    <row r="364" spans="14:47" x14ac:dyDescent="0.3">
      <c r="N364" s="8">
        <v>46</v>
      </c>
      <c r="O364" s="35">
        <f t="shared" si="221"/>
        <v>28840.315031266062</v>
      </c>
      <c r="P364" s="34" t="str">
        <f t="shared" si="222"/>
        <v>324,571428571429</v>
      </c>
      <c r="Q364" s="4" t="str">
        <f t="shared" si="223"/>
        <v>1+4141,92099791728i</v>
      </c>
      <c r="R364" s="4">
        <f t="shared" si="231"/>
        <v>4141.9211186342109</v>
      </c>
      <c r="S364" s="4">
        <f t="shared" si="232"/>
        <v>1.570554892933393</v>
      </c>
      <c r="T364" s="4" t="str">
        <f t="shared" si="224"/>
        <v>1+0,0362418087317762i</v>
      </c>
      <c r="U364" s="4">
        <f t="shared" si="233"/>
        <v>1.0006565188415806</v>
      </c>
      <c r="V364" s="4">
        <f t="shared" si="234"/>
        <v>3.6225953731128066E-2</v>
      </c>
      <c r="W364" t="str">
        <f t="shared" si="225"/>
        <v>1-0,314599034130002i</v>
      </c>
      <c r="X364" s="4">
        <f t="shared" si="235"/>
        <v>1.0483189172553982</v>
      </c>
      <c r="Y364" s="4">
        <f t="shared" si="236"/>
        <v>-0.30479601128857647</v>
      </c>
      <c r="Z364" t="str">
        <f t="shared" si="226"/>
        <v>0,996672944915589+0,269737211863063i</v>
      </c>
      <c r="AA364" s="4">
        <f t="shared" si="237"/>
        <v>1.0325285093353942</v>
      </c>
      <c r="AB364" s="4">
        <f t="shared" si="238"/>
        <v>0.26430605183234873</v>
      </c>
      <c r="AC364" s="48" t="str">
        <f t="shared" si="239"/>
        <v>-0,0404279449419694-0,068584521166218i</v>
      </c>
      <c r="AD364" s="20">
        <f t="shared" si="240"/>
        <v>-21.980302734051257</v>
      </c>
      <c r="AE364" s="44">
        <f t="shared" si="241"/>
        <v>-120.51771893009131</v>
      </c>
      <c r="AF364" t="str">
        <f t="shared" si="227"/>
        <v>-0,0000125211169631323</v>
      </c>
      <c r="AG364" t="str">
        <f t="shared" si="228"/>
        <v>0,000875783308003374i</v>
      </c>
      <c r="AH364">
        <f t="shared" si="242"/>
        <v>8.7578330800337399E-4</v>
      </c>
      <c r="AI364">
        <f t="shared" si="243"/>
        <v>1.5707963267948966</v>
      </c>
      <c r="AJ364" t="str">
        <f t="shared" si="229"/>
        <v>1+1,40161989523562i</v>
      </c>
      <c r="AK364">
        <f t="shared" si="244"/>
        <v>1.7217834738201867</v>
      </c>
      <c r="AL364">
        <f t="shared" si="245"/>
        <v>0.95109368368866698</v>
      </c>
      <c r="AM364" t="str">
        <f t="shared" si="230"/>
        <v>1+205,27360465678i</v>
      </c>
      <c r="AN364">
        <f t="shared" si="246"/>
        <v>205.27604041579724</v>
      </c>
      <c r="AO364">
        <f t="shared" si="247"/>
        <v>1.5659248183945442</v>
      </c>
      <c r="AP364" s="42" t="str">
        <f t="shared" si="248"/>
        <v>-0,983211364759898+1,39238565917796i</v>
      </c>
      <c r="AQ364">
        <f t="shared" si="249"/>
        <v>4.6321227177666415</v>
      </c>
      <c r="AR364" s="44">
        <f t="shared" si="250"/>
        <v>125.22722913188639</v>
      </c>
      <c r="AS364" s="42" t="str">
        <f t="shared" si="251"/>
        <v>0,135245318634261+0,011141789890007i</v>
      </c>
      <c r="AT364" s="20">
        <f t="shared" si="252"/>
        <v>-17.348180016284616</v>
      </c>
      <c r="AU364" s="44">
        <f t="shared" si="253"/>
        <v>4.7095102017950934</v>
      </c>
    </row>
    <row r="365" spans="14:47" x14ac:dyDescent="0.3">
      <c r="N365" s="8">
        <v>47</v>
      </c>
      <c r="O365" s="35">
        <f t="shared" si="221"/>
        <v>29512.092266663854</v>
      </c>
      <c r="P365" s="34" t="str">
        <f t="shared" si="222"/>
        <v>324,571428571429</v>
      </c>
      <c r="Q365" s="4" t="str">
        <f t="shared" si="223"/>
        <v>1+4238,39873174928i</v>
      </c>
      <c r="R365" s="4">
        <f t="shared" si="231"/>
        <v>4238.3988497183582</v>
      </c>
      <c r="S365" s="4">
        <f t="shared" si="232"/>
        <v>1.57056038863883</v>
      </c>
      <c r="T365" s="4" t="str">
        <f t="shared" si="224"/>
        <v>1+0,0370859889028062i</v>
      </c>
      <c r="U365" s="4">
        <f t="shared" si="233"/>
        <v>1.0006874489933903</v>
      </c>
      <c r="V365" s="4">
        <f t="shared" si="234"/>
        <v>3.7069000593801728E-2</v>
      </c>
      <c r="W365" t="str">
        <f t="shared" si="225"/>
        <v>1-0,321926987003526i</v>
      </c>
      <c r="X365" s="4">
        <f t="shared" si="235"/>
        <v>1.0505412818928956</v>
      </c>
      <c r="Y365" s="4">
        <f t="shared" si="236"/>
        <v>-0.31144995812365373</v>
      </c>
      <c r="Z365" t="str">
        <f t="shared" si="226"/>
        <v>0,996516145640176+0,276020198656823i</v>
      </c>
      <c r="AA365" s="4">
        <f t="shared" si="237"/>
        <v>1.0340365460601983</v>
      </c>
      <c r="AB365" s="4">
        <f t="shared" si="238"/>
        <v>0.27021087365509822</v>
      </c>
      <c r="AC365" s="48" t="str">
        <f t="shared" si="239"/>
        <v>-0,040318331164139-0,0666015569327748i</v>
      </c>
      <c r="AD365" s="20">
        <f t="shared" si="240"/>
        <v>-22.174316972723048</v>
      </c>
      <c r="AE365" s="44">
        <f t="shared" si="241"/>
        <v>-121.18929522362987</v>
      </c>
      <c r="AF365" t="str">
        <f t="shared" si="227"/>
        <v>-0,0000125211169631323</v>
      </c>
      <c r="AG365" t="str">
        <f t="shared" si="228"/>
        <v>0,00089618292183631i</v>
      </c>
      <c r="AH365">
        <f t="shared" si="242"/>
        <v>8.9618292183631001E-4</v>
      </c>
      <c r="AI365">
        <f t="shared" si="243"/>
        <v>1.5707963267948966</v>
      </c>
      <c r="AJ365" t="str">
        <f t="shared" si="229"/>
        <v>1+1,4342678166359i</v>
      </c>
      <c r="AK365">
        <f t="shared" si="244"/>
        <v>1.7484633738907751</v>
      </c>
      <c r="AL365">
        <f t="shared" si="245"/>
        <v>0.96193866917325077</v>
      </c>
      <c r="AM365" t="str">
        <f t="shared" si="230"/>
        <v>1+210,055041145494i</v>
      </c>
      <c r="AN365">
        <f t="shared" si="246"/>
        <v>210.0574214605025</v>
      </c>
      <c r="AO365">
        <f t="shared" si="247"/>
        <v>1.5660357057689449</v>
      </c>
      <c r="AP365" s="42" t="str">
        <f t="shared" si="248"/>
        <v>-0,953434540470581+1,38145208520488i</v>
      </c>
      <c r="AQ365">
        <f t="shared" si="249"/>
        <v>4.4985579931673163</v>
      </c>
      <c r="AR365" s="44">
        <f t="shared" si="250"/>
        <v>124.6122106132933</v>
      </c>
      <c r="AS365" s="42" t="str">
        <f t="shared" si="251"/>
        <v>0,130447749248695+0,00780238217014466i</v>
      </c>
      <c r="AT365" s="20">
        <f t="shared" si="252"/>
        <v>-17.67575897955572</v>
      </c>
      <c r="AU365" s="44">
        <f t="shared" si="253"/>
        <v>3.4229153896634021</v>
      </c>
    </row>
    <row r="366" spans="14:47" x14ac:dyDescent="0.3">
      <c r="N366" s="8">
        <v>48</v>
      </c>
      <c r="O366" s="35">
        <f t="shared" si="221"/>
        <v>30199.517204020212</v>
      </c>
      <c r="P366" s="34" t="str">
        <f t="shared" si="222"/>
        <v>324,571428571429</v>
      </c>
      <c r="Q366" s="4" t="str">
        <f t="shared" si="223"/>
        <v>1+4337,12372069067i</v>
      </c>
      <c r="R366" s="4">
        <f t="shared" si="231"/>
        <v>4337.1238359744439</v>
      </c>
      <c r="S366" s="4">
        <f t="shared" si="232"/>
        <v>1.5705657592467519</v>
      </c>
      <c r="T366" s="4" t="str">
        <f t="shared" si="224"/>
        <v>1+0,0379498325560434i</v>
      </c>
      <c r="U366" s="4">
        <f t="shared" si="233"/>
        <v>1.0007198358137164</v>
      </c>
      <c r="V366" s="4">
        <f t="shared" si="234"/>
        <v>3.7931629962097528E-2</v>
      </c>
      <c r="W366" t="str">
        <f t="shared" si="225"/>
        <v>1-0,329425629826766i</v>
      </c>
      <c r="X366" s="4">
        <f t="shared" si="235"/>
        <v>1.0528633556101956</v>
      </c>
      <c r="Y366" s="4">
        <f t="shared" si="236"/>
        <v>-0.31822950801319377</v>
      </c>
      <c r="Z366" t="str">
        <f t="shared" si="226"/>
        <v>0,996351956642576+0,282449535013469i</v>
      </c>
      <c r="AA366" s="4">
        <f t="shared" si="237"/>
        <v>1.0356133261670664</v>
      </c>
      <c r="AB366" s="4">
        <f t="shared" si="238"/>
        <v>0.2762362026371678</v>
      </c>
      <c r="AC366" s="48" t="str">
        <f t="shared" si="239"/>
        <v>-0,0402041590835603-0,0646564574099616i</v>
      </c>
      <c r="AD366" s="20">
        <f t="shared" si="240"/>
        <v>-22.368092939455853</v>
      </c>
      <c r="AE366" s="44">
        <f t="shared" si="241"/>
        <v>-121.87384343122937</v>
      </c>
      <c r="AF366" t="str">
        <f t="shared" si="227"/>
        <v>-0,0000125211169631323</v>
      </c>
      <c r="AG366" t="str">
        <f t="shared" si="228"/>
        <v>0,000917057703716788i</v>
      </c>
      <c r="AH366">
        <f t="shared" si="242"/>
        <v>9.1705770371678795E-4</v>
      </c>
      <c r="AI366">
        <f t="shared" si="243"/>
        <v>1.5707963267948966</v>
      </c>
      <c r="AJ366" t="str">
        <f t="shared" si="229"/>
        <v>1+1,46767620581734i</v>
      </c>
      <c r="AK366">
        <f t="shared" si="244"/>
        <v>1.7759711273335452</v>
      </c>
      <c r="AL366">
        <f t="shared" si="245"/>
        <v>0.97269765844865941</v>
      </c>
      <c r="AM366" t="str">
        <f t="shared" si="230"/>
        <v>1+214,94785159743i</v>
      </c>
      <c r="AN366">
        <f t="shared" si="246"/>
        <v>214.95017773044708</v>
      </c>
      <c r="AO366">
        <f t="shared" si="247"/>
        <v>1.5661440691516704</v>
      </c>
      <c r="AP366" s="42" t="str">
        <f t="shared" si="248"/>
        <v>-0,924128061297395+1,36997434259512i</v>
      </c>
      <c r="AQ366">
        <f t="shared" si="249"/>
        <v>4.3629663295120151</v>
      </c>
      <c r="AR366" s="44">
        <f t="shared" si="250"/>
        <v>124.00197470046979</v>
      </c>
      <c r="AS366" s="42" t="str">
        <f t="shared" si="251"/>
        <v>0,125731479324724+0,00467218022653526i</v>
      </c>
      <c r="AT366" s="20">
        <f t="shared" si="252"/>
        <v>-18.005126609943851</v>
      </c>
      <c r="AU366" s="44">
        <f t="shared" si="253"/>
        <v>2.12813126924042</v>
      </c>
    </row>
    <row r="367" spans="14:47" x14ac:dyDescent="0.3">
      <c r="N367" s="8">
        <v>49</v>
      </c>
      <c r="O367" s="35">
        <f t="shared" si="221"/>
        <v>30902.954325135954</v>
      </c>
      <c r="P367" s="34" t="str">
        <f t="shared" si="222"/>
        <v>324,571428571429</v>
      </c>
      <c r="Q367" s="4" t="str">
        <f t="shared" si="223"/>
        <v>1+4438,14831003739i</v>
      </c>
      <c r="R367" s="4">
        <f t="shared" si="231"/>
        <v>4438.1484226969851</v>
      </c>
      <c r="S367" s="4">
        <f t="shared" si="232"/>
        <v>1.5705710076047255</v>
      </c>
      <c r="T367" s="4" t="str">
        <f t="shared" si="224"/>
        <v>1+0,0388337977128272i</v>
      </c>
      <c r="U367" s="4">
        <f t="shared" si="233"/>
        <v>1.0007537478544863</v>
      </c>
      <c r="V367" s="4">
        <f t="shared" si="234"/>
        <v>3.881429407533063E-2</v>
      </c>
      <c r="W367" t="str">
        <f t="shared" si="225"/>
        <v>1-0,337098938479403i</v>
      </c>
      <c r="X367" s="4">
        <f t="shared" si="235"/>
        <v>1.0552893888995285</v>
      </c>
      <c r="Y367" s="4">
        <f t="shared" si="236"/>
        <v>-0.32513576187595145</v>
      </c>
      <c r="Z367" t="str">
        <f t="shared" si="226"/>
        <v>0,996180029655914+0,28902862985224i</v>
      </c>
      <c r="AA367" s="4">
        <f t="shared" si="237"/>
        <v>1.0372618764610608</v>
      </c>
      <c r="AB367" s="4">
        <f t="shared" si="238"/>
        <v>0.28238373814996814</v>
      </c>
      <c r="AC367" s="48" t="str">
        <f t="shared" si="239"/>
        <v>-0,0400852767675886-0,0627483489478621i</v>
      </c>
      <c r="AD367" s="20">
        <f t="shared" si="240"/>
        <v>-22.56162309266136</v>
      </c>
      <c r="AE367" s="44">
        <f t="shared" si="241"/>
        <v>-122.57149824944696</v>
      </c>
      <c r="AF367" t="str">
        <f t="shared" si="227"/>
        <v>-0,0000125211169631323</v>
      </c>
      <c r="AG367" t="str">
        <f t="shared" si="228"/>
        <v>0,00093841872173047i</v>
      </c>
      <c r="AH367">
        <f t="shared" si="242"/>
        <v>9.3841872173046998E-4</v>
      </c>
      <c r="AI367">
        <f t="shared" si="243"/>
        <v>1.5707963267948966</v>
      </c>
      <c r="AJ367" t="str">
        <f t="shared" si="229"/>
        <v>1+1,50186277635008i</v>
      </c>
      <c r="AK367">
        <f t="shared" si="244"/>
        <v>1.804325857207054</v>
      </c>
      <c r="AL367">
        <f t="shared" si="245"/>
        <v>0.98336639278995264</v>
      </c>
      <c r="AM367" t="str">
        <f t="shared" si="230"/>
        <v>1+219,954630245453i</v>
      </c>
      <c r="AN367">
        <f t="shared" si="246"/>
        <v>219.95690342977178</v>
      </c>
      <c r="AO367">
        <f t="shared" si="247"/>
        <v>1.5662499659882352</v>
      </c>
      <c r="AP367" s="42" t="str">
        <f t="shared" si="248"/>
        <v>-0,895311193171822+1,35797733684376i</v>
      </c>
      <c r="AQ367">
        <f t="shared" si="249"/>
        <v>4.2253806610587672</v>
      </c>
      <c r="AR367" s="44">
        <f t="shared" si="250"/>
        <v>123.39676869176647</v>
      </c>
      <c r="AS367" s="42" t="str">
        <f t="shared" si="251"/>
        <v>0,121099632766973+0,00174440177457724i</v>
      </c>
      <c r="AT367" s="20">
        <f t="shared" si="252"/>
        <v>-18.336242431602606</v>
      </c>
      <c r="AU367" s="44">
        <f t="shared" si="253"/>
        <v>0.82527044231949664</v>
      </c>
    </row>
    <row r="368" spans="14:47" x14ac:dyDescent="0.3">
      <c r="N368" s="8">
        <v>50</v>
      </c>
      <c r="O368" s="35">
        <f t="shared" si="221"/>
        <v>31622.77660168384</v>
      </c>
      <c r="P368" s="34" t="str">
        <f t="shared" si="222"/>
        <v>324,571428571429</v>
      </c>
      <c r="Q368" s="4" t="str">
        <f t="shared" si="223"/>
        <v>1+4541,52606436393i</v>
      </c>
      <c r="R368" s="4">
        <f t="shared" si="231"/>
        <v>4541.5261744590807</v>
      </c>
      <c r="S368" s="4">
        <f t="shared" si="232"/>
        <v>1.570576136495498</v>
      </c>
      <c r="T368" s="4" t="str">
        <f t="shared" si="224"/>
        <v>1+0,0397383530631844i</v>
      </c>
      <c r="U368" s="4">
        <f t="shared" si="233"/>
        <v>1.0007892568888688</v>
      </c>
      <c r="V368" s="4">
        <f t="shared" si="234"/>
        <v>3.9717455429117983E-2</v>
      </c>
      <c r="W368" t="str">
        <f t="shared" si="225"/>
        <v>1-0,344950981451253i</v>
      </c>
      <c r="X368" s="4">
        <f t="shared" si="235"/>
        <v>1.0578237942134705</v>
      </c>
      <c r="Y368" s="4">
        <f t="shared" si="236"/>
        <v>-0.33216974538967842</v>
      </c>
      <c r="Z368" t="str">
        <f t="shared" si="226"/>
        <v>0,996+0,295760971496304i</v>
      </c>
      <c r="AA368" s="4">
        <f t="shared" si="237"/>
        <v>1.0389853474714825</v>
      </c>
      <c r="AB368" s="4">
        <f t="shared" si="238"/>
        <v>0.28865515228199567</v>
      </c>
      <c r="AC368" s="48" t="str">
        <f t="shared" si="239"/>
        <v>-0,0399615297761927-0,0608763861004137i</v>
      </c>
      <c r="AD368" s="20">
        <f t="shared" si="240"/>
        <v>-22.754899820646784</v>
      </c>
      <c r="AE368" s="44">
        <f t="shared" si="241"/>
        <v>-123.28238790929541</v>
      </c>
      <c r="AF368" t="str">
        <f t="shared" si="227"/>
        <v>-0,0000125211169631323</v>
      </c>
      <c r="AG368" t="str">
        <f t="shared" si="228"/>
        <v>0,000960277301771852i</v>
      </c>
      <c r="AH368">
        <f t="shared" si="242"/>
        <v>9.6027730177185202E-4</v>
      </c>
      <c r="AI368">
        <f t="shared" si="243"/>
        <v>1.5707963267948966</v>
      </c>
      <c r="AJ368" t="str">
        <f t="shared" si="229"/>
        <v>1+1,53684565440636i</v>
      </c>
      <c r="AK368">
        <f t="shared" si="244"/>
        <v>1.833546990253512</v>
      </c>
      <c r="AL368">
        <f t="shared" si="245"/>
        <v>0.99394081416619007</v>
      </c>
      <c r="AM368" t="str">
        <f t="shared" si="230"/>
        <v>1+225,078031749876i</v>
      </c>
      <c r="AN368">
        <f t="shared" si="246"/>
        <v>225.08025319071905</v>
      </c>
      <c r="AO368">
        <f t="shared" si="247"/>
        <v>1.5663534524170377</v>
      </c>
      <c r="AP368" s="42" t="str">
        <f t="shared" si="248"/>
        <v>-0,867001543703979+1,34548661856304i</v>
      </c>
      <c r="AQ368">
        <f t="shared" si="249"/>
        <v>4.0858351876456522</v>
      </c>
      <c r="AR368" s="44">
        <f t="shared" si="250"/>
        <v>122.79682831172219</v>
      </c>
      <c r="AS368" s="42" t="str">
        <f t="shared" si="251"/>
        <v>0,116555070889315-0,000987782846997631i</v>
      </c>
      <c r="AT368" s="20">
        <f t="shared" si="252"/>
        <v>-18.669064633001156</v>
      </c>
      <c r="AU368" s="44">
        <f t="shared" si="253"/>
        <v>-0.48555959757320666</v>
      </c>
    </row>
    <row r="369" spans="14:47" x14ac:dyDescent="0.3">
      <c r="N369" s="8">
        <v>51</v>
      </c>
      <c r="O369" s="35">
        <f t="shared" si="221"/>
        <v>32359.365692962871</v>
      </c>
      <c r="P369" s="34" t="str">
        <f t="shared" si="222"/>
        <v>324,571428571429</v>
      </c>
      <c r="Q369" s="4" t="str">
        <f t="shared" si="223"/>
        <v>1+4647,311795924i</v>
      </c>
      <c r="R369" s="4">
        <f t="shared" si="231"/>
        <v>4647.3119035130785</v>
      </c>
      <c r="S369" s="4">
        <f t="shared" si="232"/>
        <v>1.5705811486384744</v>
      </c>
      <c r="T369" s="4" t="str">
        <f t="shared" si="224"/>
        <v>1+0,040663978214335i</v>
      </c>
      <c r="U369" s="4">
        <f t="shared" si="233"/>
        <v>1.0008264380621728</v>
      </c>
      <c r="V369" s="4">
        <f t="shared" si="234"/>
        <v>4.0641586994529445E-2</v>
      </c>
      <c r="W369" t="str">
        <f t="shared" si="225"/>
        <v>1-0,352985921999436i</v>
      </c>
      <c r="X369" s="4">
        <f t="shared" si="235"/>
        <v>1.0604711505410187</v>
      </c>
      <c r="Y369" s="4">
        <f t="shared" si="236"/>
        <v>-0.33933240299630169</v>
      </c>
      <c r="Z369" t="str">
        <f t="shared" si="226"/>
        <v>0,995811485807796+0,302650129522316i</v>
      </c>
      <c r="AA369" s="4">
        <f t="shared" si="237"/>
        <v>1.0407870176777787</v>
      </c>
      <c r="AB369" s="4">
        <f t="shared" si="238"/>
        <v>0.29505208574341091</v>
      </c>
      <c r="AC369" s="48" t="str">
        <f t="shared" si="239"/>
        <v>-0,039832761397361-0,0590397515177171i</v>
      </c>
      <c r="AD369" s="20">
        <f t="shared" si="240"/>
        <v>-22.947915457106895</v>
      </c>
      <c r="AE369" s="44">
        <f t="shared" si="241"/>
        <v>-124.00663358564333</v>
      </c>
      <c r="AF369" t="str">
        <f t="shared" si="227"/>
        <v>-0,0000125211169631323</v>
      </c>
      <c r="AG369" t="str">
        <f t="shared" si="228"/>
        <v>0,000982645033549408i</v>
      </c>
      <c r="AH369">
        <f t="shared" si="242"/>
        <v>9.8264503354940792E-4</v>
      </c>
      <c r="AI369">
        <f t="shared" si="243"/>
        <v>1.5707963267948966</v>
      </c>
      <c r="AJ369" t="str">
        <f t="shared" si="229"/>
        <v>1+1,57264338837115i</v>
      </c>
      <c r="AK369">
        <f t="shared" si="244"/>
        <v>1.8636542670215126</v>
      </c>
      <c r="AL369">
        <f t="shared" si="245"/>
        <v>1.004417069813335</v>
      </c>
      <c r="AM369" t="str">
        <f t="shared" si="230"/>
        <v>1+230,320772605993i</v>
      </c>
      <c r="AN369">
        <f t="shared" si="246"/>
        <v>230.3229434811511</v>
      </c>
      <c r="AO369">
        <f t="shared" si="247"/>
        <v>1.5664545832990813</v>
      </c>
      <c r="AP369" s="42" t="str">
        <f t="shared" si="248"/>
        <v>-0,839215050395563+1,33252825885684i</v>
      </c>
      <c r="AQ369">
        <f t="shared" si="249"/>
        <v>3.9443652604191701</v>
      </c>
      <c r="AR369" s="44">
        <f t="shared" si="250"/>
        <v>122.20237745076047</v>
      </c>
      <c r="AS369" s="42" t="str">
        <f t="shared" si="251"/>
        <v>0,112100390156725-0,00353123214500292i</v>
      </c>
      <c r="AT369" s="20">
        <f t="shared" si="252"/>
        <v>-19.003550196687709</v>
      </c>
      <c r="AU369" s="44">
        <f t="shared" si="253"/>
        <v>-1.8042561348828765</v>
      </c>
    </row>
    <row r="370" spans="14:47" x14ac:dyDescent="0.3">
      <c r="N370" s="8">
        <v>52</v>
      </c>
      <c r="O370" s="35">
        <f t="shared" si="221"/>
        <v>33113.11214825909</v>
      </c>
      <c r="P370" s="34" t="str">
        <f t="shared" si="222"/>
        <v>324,571428571429</v>
      </c>
      <c r="Q370" s="4" t="str">
        <f t="shared" si="223"/>
        <v>1+4755,56159371271i</v>
      </c>
      <c r="R370" s="4">
        <f t="shared" si="231"/>
        <v>4755.5616988527627</v>
      </c>
      <c r="S370" s="4">
        <f t="shared" si="232"/>
        <v>1.5705860466911581</v>
      </c>
      <c r="T370" s="4" t="str">
        <f t="shared" si="224"/>
        <v>1+0,0416111639449862i</v>
      </c>
      <c r="U370" s="4">
        <f t="shared" si="233"/>
        <v>1.0008653700497667</v>
      </c>
      <c r="V370" s="4">
        <f t="shared" si="234"/>
        <v>4.1587172440944536E-2</v>
      </c>
      <c r="W370" t="str">
        <f t="shared" si="225"/>
        <v>1-0,361208020355783i</v>
      </c>
      <c r="X370" s="4">
        <f t="shared" si="235"/>
        <v>1.0632362079845399</v>
      </c>
      <c r="Y370" s="4">
        <f t="shared" si="236"/>
        <v>-0.34662459173274851</v>
      </c>
      <c r="Z370" t="str">
        <f t="shared" si="226"/>
        <v>0,995614087215427+0,309699756653048i</v>
      </c>
      <c r="AA370" s="4">
        <f t="shared" si="237"/>
        <v>1.0426702978088351</v>
      </c>
      <c r="AB370" s="4">
        <f t="shared" si="238"/>
        <v>0.30157614356044893</v>
      </c>
      <c r="AC370" s="48" t="str">
        <f t="shared" si="239"/>
        <v>-0,0396988129124039-0,0572376558522862i</v>
      </c>
      <c r="AD370" s="20">
        <f t="shared" si="240"/>
        <v>-23.140662298160084</v>
      </c>
      <c r="AE370" s="44">
        <f t="shared" si="241"/>
        <v>-124.74434878436813</v>
      </c>
      <c r="AF370" t="str">
        <f t="shared" si="227"/>
        <v>-0,0000125211169631323</v>
      </c>
      <c r="AG370" t="str">
        <f t="shared" si="228"/>
        <v>0,00100553377673059i</v>
      </c>
      <c r="AH370">
        <f t="shared" si="242"/>
        <v>1.0055337767305901E-3</v>
      </c>
      <c r="AI370">
        <f t="shared" si="243"/>
        <v>1.5707963267948966</v>
      </c>
      <c r="AJ370" t="str">
        <f t="shared" si="229"/>
        <v>1+1,60927495867686i</v>
      </c>
      <c r="AK370">
        <f t="shared" si="244"/>
        <v>1.8946677525688798</v>
      </c>
      <c r="AL370">
        <f t="shared" si="245"/>
        <v>1.0147915158311318</v>
      </c>
      <c r="AM370" t="str">
        <f t="shared" si="230"/>
        <v>1+235,685632584402i</v>
      </c>
      <c r="AN370">
        <f t="shared" si="246"/>
        <v>235.68775404485854</v>
      </c>
      <c r="AO370">
        <f t="shared" si="247"/>
        <v>1.5665534122470186</v>
      </c>
      <c r="AP370" s="42" t="str">
        <f t="shared" si="248"/>
        <v>-0,811965979179666+1,31912872680889i</v>
      </c>
      <c r="AQ370">
        <f t="shared" si="249"/>
        <v>3.8010072671121842</v>
      </c>
      <c r="AR370" s="44">
        <f t="shared" si="250"/>
        <v>121.61362796076489</v>
      </c>
      <c r="AS370" s="42" t="str">
        <f t="shared" si="251"/>
        <v>0,107737921588642-0,00589281525291338i</v>
      </c>
      <c r="AT370" s="20">
        <f t="shared" si="252"/>
        <v>-19.339655031047908</v>
      </c>
      <c r="AU370" s="44">
        <f t="shared" si="253"/>
        <v>-3.1307208236032622</v>
      </c>
    </row>
    <row r="371" spans="14:47" x14ac:dyDescent="0.3">
      <c r="N371" s="8">
        <v>53</v>
      </c>
      <c r="O371" s="35">
        <f t="shared" si="221"/>
        <v>33884.41561392029</v>
      </c>
      <c r="P371" s="34" t="str">
        <f t="shared" si="222"/>
        <v>324,571428571429</v>
      </c>
      <c r="Q371" s="4" t="str">
        <f t="shared" si="223"/>
        <v>1+4866,33285320574i</v>
      </c>
      <c r="R371" s="4">
        <f t="shared" si="231"/>
        <v>4866.3329559525127</v>
      </c>
      <c r="S371" s="4">
        <f t="shared" si="232"/>
        <v>1.5705908332505605</v>
      </c>
      <c r="T371" s="4" t="str">
        <f t="shared" si="224"/>
        <v>1+0,0425804124655502i</v>
      </c>
      <c r="U371" s="4">
        <f t="shared" si="233"/>
        <v>1.0009061352223476</v>
      </c>
      <c r="V371" s="4">
        <f t="shared" si="234"/>
        <v>4.2554706362603591E-2</v>
      </c>
      <c r="W371" t="str">
        <f t="shared" si="225"/>
        <v>1-0,369621635985679i</v>
      </c>
      <c r="X371" s="4">
        <f t="shared" si="235"/>
        <v>1.0661238923261827</v>
      </c>
      <c r="Y371" s="4">
        <f t="shared" si="236"/>
        <v>-0.3540470749007526</v>
      </c>
      <c r="Z371" t="str">
        <f t="shared" si="226"/>
        <v>0,995407385514012+0,316913590694121i</v>
      </c>
      <c r="AA371" s="4">
        <f t="shared" si="237"/>
        <v>1.0446387352106381</v>
      </c>
      <c r="AB371" s="4">
        <f t="shared" si="238"/>
        <v>0.30822889055850511</v>
      </c>
      <c r="AC371" s="48" t="str">
        <f t="shared" si="239"/>
        <v>-0,0395595238928554-0,0554693376771805i</v>
      </c>
      <c r="AD371" s="20">
        <f t="shared" si="240"/>
        <v>-23.333132620979079</v>
      </c>
      <c r="AE371" s="44">
        <f t="shared" si="241"/>
        <v>-125.49563870796398</v>
      </c>
      <c r="AF371" t="str">
        <f t="shared" si="227"/>
        <v>-0,0000125211169631323</v>
      </c>
      <c r="AG371" t="str">
        <f t="shared" si="228"/>
        <v>0,00102895566723002i</v>
      </c>
      <c r="AH371">
        <f t="shared" si="242"/>
        <v>1.02895566723002E-3</v>
      </c>
      <c r="AI371">
        <f t="shared" si="243"/>
        <v>1.5707963267948966</v>
      </c>
      <c r="AJ371" t="str">
        <f t="shared" si="229"/>
        <v>1+1,64675978786694i</v>
      </c>
      <c r="AK371">
        <f t="shared" si="244"/>
        <v>1.9266078477301938</v>
      </c>
      <c r="AL371">
        <f t="shared" si="245"/>
        <v>1.0250607198241204</v>
      </c>
      <c r="AM371" t="str">
        <f t="shared" si="230"/>
        <v>1+241,175456204876i</v>
      </c>
      <c r="AN371">
        <f t="shared" si="246"/>
        <v>241.1775293754169</v>
      </c>
      <c r="AO371">
        <f t="shared" si="247"/>
        <v>1.5666499916535397</v>
      </c>
      <c r="AP371" s="42" t="str">
        <f t="shared" si="248"/>
        <v>-0,785266932785983+1,30531476998406i</v>
      </c>
      <c r="AQ371">
        <f t="shared" si="249"/>
        <v>3.6557985175623746</v>
      </c>
      <c r="AR371" s="44">
        <f t="shared" si="250"/>
        <v>121.03077950538918</v>
      </c>
      <c r="AS371" s="42" t="str">
        <f t="shared" si="251"/>
        <v>0,103469731741073-0,00807939416945198i</v>
      </c>
      <c r="AT371" s="20">
        <f t="shared" si="252"/>
        <v>-19.677334103416733</v>
      </c>
      <c r="AU371" s="44">
        <f t="shared" si="253"/>
        <v>-4.4648592025748179</v>
      </c>
    </row>
    <row r="372" spans="14:47" x14ac:dyDescent="0.3">
      <c r="N372" s="8">
        <v>54</v>
      </c>
      <c r="O372" s="35">
        <f t="shared" si="221"/>
        <v>34673.685045253202</v>
      </c>
      <c r="P372" s="34" t="str">
        <f t="shared" si="222"/>
        <v>324,571428571429</v>
      </c>
      <c r="Q372" s="4" t="str">
        <f t="shared" si="223"/>
        <v>1+4979,68430679102i</v>
      </c>
      <c r="R372" s="4">
        <f t="shared" si="231"/>
        <v>4979.6844071989908</v>
      </c>
      <c r="S372" s="4">
        <f t="shared" si="232"/>
        <v>1.5705955108545782</v>
      </c>
      <c r="T372" s="4" t="str">
        <f t="shared" si="224"/>
        <v>1+0,0435722376844214i</v>
      </c>
      <c r="U372" s="4">
        <f t="shared" si="233"/>
        <v>1.0009488198188894</v>
      </c>
      <c r="V372" s="4">
        <f t="shared" si="234"/>
        <v>4.3544694508831694E-2</v>
      </c>
      <c r="W372" t="str">
        <f t="shared" si="225"/>
        <v>1-0,378231229899491i</v>
      </c>
      <c r="X372" s="4">
        <f t="shared" si="235"/>
        <v>1.0691393095716206</v>
      </c>
      <c r="Y372" s="4">
        <f t="shared" si="236"/>
        <v>-0.36160051559127454</v>
      </c>
      <c r="Z372" t="str">
        <f t="shared" si="226"/>
        <v>0,99519094226153+0,324295456515824i</v>
      </c>
      <c r="AA372" s="4">
        <f t="shared" si="237"/>
        <v>1.0466960182766527</v>
      </c>
      <c r="AB372" s="4">
        <f t="shared" si="238"/>
        <v>0.31501184663375875</v>
      </c>
      <c r="AC372" s="48" t="str">
        <f t="shared" si="239"/>
        <v>-0,0394147325306159-0,0537340634137514i</v>
      </c>
      <c r="AD372" s="20">
        <f t="shared" si="240"/>
        <v>-23.525318704059739</v>
      </c>
      <c r="AE372" s="44">
        <f t="shared" si="241"/>
        <v>-126.2605996004896</v>
      </c>
      <c r="AF372" t="str">
        <f t="shared" si="227"/>
        <v>-0,0000125211169631323</v>
      </c>
      <c r="AG372" t="str">
        <f t="shared" si="228"/>
        <v>0,00105292312364405i</v>
      </c>
      <c r="AH372">
        <f t="shared" si="242"/>
        <v>1.05292312364405E-3</v>
      </c>
      <c r="AI372">
        <f t="shared" si="243"/>
        <v>1.5707963267948966</v>
      </c>
      <c r="AJ372" t="str">
        <f t="shared" si="229"/>
        <v>1+1,68511775089397i</v>
      </c>
      <c r="AK372">
        <f t="shared" si="244"/>
        <v>1.959495300932858</v>
      </c>
      <c r="AL372">
        <f t="shared" si="245"/>
        <v>1.0352214626139342</v>
      </c>
      <c r="AM372" t="str">
        <f t="shared" si="230"/>
        <v>1+246,793154244563i</v>
      </c>
      <c r="AN372">
        <f t="shared" si="246"/>
        <v>246.79518022437284</v>
      </c>
      <c r="AO372">
        <f t="shared" si="247"/>
        <v>1.566744372719113</v>
      </c>
      <c r="AP372" s="42" t="str">
        <f t="shared" si="248"/>
        <v>-0,759128868351884+1,29111329875813i</v>
      </c>
      <c r="AQ372">
        <f t="shared" si="249"/>
        <v>3.508777130126171</v>
      </c>
      <c r="AR372" s="44">
        <f t="shared" si="250"/>
        <v>120.45401946353822</v>
      </c>
      <c r="AS372" s="42" t="str">
        <f t="shared" si="251"/>
        <v>0,0992976251721657-0,0100978065860434i</v>
      </c>
      <c r="AT372" s="20">
        <f t="shared" si="252"/>
        <v>-20.016541573933573</v>
      </c>
      <c r="AU372" s="44">
        <f t="shared" si="253"/>
        <v>-5.8065801369513919</v>
      </c>
    </row>
    <row r="373" spans="14:47" x14ac:dyDescent="0.3">
      <c r="N373" s="8">
        <v>55</v>
      </c>
      <c r="O373" s="35">
        <f t="shared" si="221"/>
        <v>35481.33892335758</v>
      </c>
      <c r="P373" s="34" t="str">
        <f t="shared" si="222"/>
        <v>324,571428571429</v>
      </c>
      <c r="Q373" s="4" t="str">
        <f t="shared" si="223"/>
        <v>1+5095,67605490971i</v>
      </c>
      <c r="R373" s="4">
        <f t="shared" si="231"/>
        <v>5095.6761530321164</v>
      </c>
      <c r="S373" s="4">
        <f t="shared" si="232"/>
        <v>1.5706000819833374</v>
      </c>
      <c r="T373" s="4" t="str">
        <f t="shared" si="224"/>
        <v>1+0,04458716548046i</v>
      </c>
      <c r="U373" s="4">
        <f t="shared" si="233"/>
        <v>1.00099351412763</v>
      </c>
      <c r="V373" s="4">
        <f t="shared" si="234"/>
        <v>4.4557654017914353E-2</v>
      </c>
      <c r="W373" t="str">
        <f t="shared" si="225"/>
        <v>1-0,387041367017882i</v>
      </c>
      <c r="X373" s="4">
        <f t="shared" si="235"/>
        <v>1.0722877504583697</v>
      </c>
      <c r="Y373" s="4">
        <f t="shared" si="236"/>
        <v>-0.36928547008177831</v>
      </c>
      <c r="Z373" t="str">
        <f t="shared" si="226"/>
        <v>0,994964298352823+0,331849268081132i</v>
      </c>
      <c r="AA373" s="4">
        <f t="shared" si="237"/>
        <v>1.0488459809346216</v>
      </c>
      <c r="AB373" s="4">
        <f t="shared" si="238"/>
        <v>0.32192648181452771</v>
      </c>
      <c r="AC373" s="48" t="str">
        <f t="shared" si="239"/>
        <v>-0,0392642760029296-0,0520311272664765i</v>
      </c>
      <c r="AD373" s="20">
        <f t="shared" si="240"/>
        <v>-23.717212849163975</v>
      </c>
      <c r="AE373" s="44">
        <f t="shared" si="241"/>
        <v>-127.03931807297361</v>
      </c>
      <c r="AF373" t="str">
        <f t="shared" si="227"/>
        <v>-0,0000125211169631323</v>
      </c>
      <c r="AG373" t="str">
        <f t="shared" si="228"/>
        <v>0,00107744885383531i</v>
      </c>
      <c r="AH373">
        <f t="shared" si="242"/>
        <v>1.0774488538353099E-3</v>
      </c>
      <c r="AI373">
        <f t="shared" si="243"/>
        <v>1.5707963267948966</v>
      </c>
      <c r="AJ373" t="str">
        <f t="shared" si="229"/>
        <v>1+1,72436918565772i</v>
      </c>
      <c r="AK373">
        <f t="shared" si="244"/>
        <v>1.9933512205444046</v>
      </c>
      <c r="AL373">
        <f t="shared" si="245"/>
        <v>1.0452707390560358</v>
      </c>
      <c r="AM373" t="str">
        <f t="shared" si="230"/>
        <v>1+252,541705281325i</v>
      </c>
      <c r="AN373">
        <f t="shared" si="246"/>
        <v>252.54368514456979</v>
      </c>
      <c r="AO373">
        <f t="shared" si="247"/>
        <v>1.5668366054790994</v>
      </c>
      <c r="AP373" s="42" t="str">
        <f t="shared" si="248"/>
        <v>-0,733561123635939+1,27655127520094i</v>
      </c>
      <c r="AQ373">
        <f t="shared" si="249"/>
        <v>3.3599819196012226</v>
      </c>
      <c r="AR373" s="44">
        <f t="shared" si="250"/>
        <v>119.88352288412561</v>
      </c>
      <c r="AS373" s="42" t="str">
        <f t="shared" si="251"/>
        <v>0,0952231482856236-0,0119548494197404i</v>
      </c>
      <c r="AT373" s="20">
        <f t="shared" si="252"/>
        <v>-20.357230929562753</v>
      </c>
      <c r="AU373" s="44">
        <f t="shared" si="253"/>
        <v>-7.1557951888480265</v>
      </c>
    </row>
    <row r="374" spans="14:47" x14ac:dyDescent="0.3">
      <c r="N374" s="8">
        <v>56</v>
      </c>
      <c r="O374" s="35">
        <f t="shared" si="221"/>
        <v>36307.805477010232</v>
      </c>
      <c r="P374" s="34" t="str">
        <f t="shared" si="222"/>
        <v>324,571428571429</v>
      </c>
      <c r="Q374" s="4" t="str">
        <f t="shared" si="223"/>
        <v>1+5214,36959792194i</v>
      </c>
      <c r="R374" s="4">
        <f t="shared" si="231"/>
        <v>5214.3696938108078</v>
      </c>
      <c r="S374" s="4">
        <f t="shared" si="232"/>
        <v>1.5706045490605107</v>
      </c>
      <c r="T374" s="4" t="str">
        <f t="shared" si="224"/>
        <v>1+0,045625733981817i</v>
      </c>
      <c r="U374" s="4">
        <f t="shared" si="233"/>
        <v>1.0010403126754583</v>
      </c>
      <c r="V374" s="4">
        <f t="shared" si="234"/>
        <v>4.5594113654580035E-2</v>
      </c>
      <c r="W374" t="str">
        <f t="shared" si="225"/>
        <v>1-0,396056718592161i</v>
      </c>
      <c r="X374" s="4">
        <f t="shared" si="235"/>
        <v>1.0755746949152301</v>
      </c>
      <c r="Y374" s="4">
        <f t="shared" si="236"/>
        <v>-0.3771023811270679</v>
      </c>
      <c r="Z374" t="str">
        <f t="shared" si="226"/>
        <v>0,994726973045774+0,339579030520919i</v>
      </c>
      <c r="AA374" s="4">
        <f t="shared" si="237"/>
        <v>1.0510926071827995</v>
      </c>
      <c r="AB374" s="4">
        <f t="shared" si="238"/>
        <v>0.32897421111477221</v>
      </c>
      <c r="AC374" s="48" t="str">
        <f t="shared" si="239"/>
        <v>-0,0391079908736948-0,0503598511621434i</v>
      </c>
      <c r="AD374" s="20">
        <f t="shared" si="240"/>
        <v>-23.908807404959838</v>
      </c>
      <c r="AE374" s="44">
        <f t="shared" si="241"/>
        <v>-127.83187041060498</v>
      </c>
      <c r="AF374" t="str">
        <f t="shared" si="227"/>
        <v>-0,0000125211169631323</v>
      </c>
      <c r="AG374" t="str">
        <f t="shared" si="228"/>
        <v>0,00110254586167061i</v>
      </c>
      <c r="AH374">
        <f t="shared" si="242"/>
        <v>1.10254586167061E-3</v>
      </c>
      <c r="AI374">
        <f t="shared" si="243"/>
        <v>1.5707963267948966</v>
      </c>
      <c r="AJ374" t="str">
        <f t="shared" si="229"/>
        <v>1+1,76453490378841i</v>
      </c>
      <c r="AK374">
        <f t="shared" si="244"/>
        <v>2.0281970877327415</v>
      </c>
      <c r="AL374">
        <f t="shared" si="245"/>
        <v>1.0552057579993062</v>
      </c>
      <c r="AM374" t="str">
        <f t="shared" si="230"/>
        <v>1+258,424157273011i</v>
      </c>
      <c r="AN374">
        <f t="shared" si="246"/>
        <v>258.42609206940762</v>
      </c>
      <c r="AO374">
        <f t="shared" si="247"/>
        <v>1.5669267388302484</v>
      </c>
      <c r="AP374" s="42" t="str">
        <f t="shared" si="248"/>
        <v>-0,708571451139286+1,26165560714358i</v>
      </c>
      <c r="AQ374">
        <f t="shared" si="249"/>
        <v>3.2094522872226823</v>
      </c>
      <c r="AR374" s="44">
        <f t="shared" si="250"/>
        <v>119.31945248990789</v>
      </c>
      <c r="AS374" s="42" t="str">
        <f t="shared" si="251"/>
        <v>0,0912475944381502-0,0136572631527986i</v>
      </c>
      <c r="AT374" s="20">
        <f t="shared" si="252"/>
        <v>-20.699355117737156</v>
      </c>
      <c r="AU374" s="44">
        <f t="shared" si="253"/>
        <v>-8.5124179206970947</v>
      </c>
    </row>
    <row r="375" spans="14:47" x14ac:dyDescent="0.3">
      <c r="N375" s="8">
        <v>57</v>
      </c>
      <c r="O375" s="35">
        <f t="shared" si="221"/>
        <v>37153.522909717351</v>
      </c>
      <c r="P375" s="34" t="str">
        <f t="shared" si="222"/>
        <v>324,571428571429</v>
      </c>
      <c r="Q375" s="4" t="str">
        <f t="shared" si="223"/>
        <v>1+5335,82786871534i</v>
      </c>
      <c r="R375" s="4">
        <f t="shared" si="231"/>
        <v>5335.8279624215102</v>
      </c>
      <c r="S375" s="4">
        <f t="shared" si="232"/>
        <v>1.5706089144546007</v>
      </c>
      <c r="T375" s="4" t="str">
        <f t="shared" si="224"/>
        <v>1+0,0466884938512592i</v>
      </c>
      <c r="U375" s="4">
        <f t="shared" si="233"/>
        <v>1.0010893144260899</v>
      </c>
      <c r="V375" s="4">
        <f t="shared" si="234"/>
        <v>4.6654614051055844E-2</v>
      </c>
      <c r="W375" t="str">
        <f t="shared" si="225"/>
        <v>1-0,405282064681069i</v>
      </c>
      <c r="X375" s="4">
        <f t="shared" si="235"/>
        <v>1.079005816458906</v>
      </c>
      <c r="Y375" s="4">
        <f t="shared" si="236"/>
        <v>-0.38505157116731126</v>
      </c>
      <c r="Z375" t="str">
        <f t="shared" si="226"/>
        <v>0,994478462941588+0,347488842257549i</v>
      </c>
      <c r="AA375" s="4">
        <f t="shared" si="237"/>
        <v>1.0534400356679803</v>
      </c>
      <c r="AB375" s="4">
        <f t="shared" si="238"/>
        <v>0.33615638918383006</v>
      </c>
      <c r="AC375" s="48" t="str">
        <f t="shared" si="239"/>
        <v>-0,0389457135324934-0,0487195846903674i</v>
      </c>
      <c r="AD375" s="20">
        <f t="shared" si="240"/>
        <v>-24.100094792372406</v>
      </c>
      <c r="AE375" s="44">
        <f t="shared" si="241"/>
        <v>-128.63832186329387</v>
      </c>
      <c r="AF375" t="str">
        <f t="shared" si="227"/>
        <v>-0,0000125211169631323</v>
      </c>
      <c r="AG375" t="str">
        <f t="shared" si="228"/>
        <v>0,00112822745391568i</v>
      </c>
      <c r="AH375">
        <f t="shared" si="242"/>
        <v>1.1282274539156801E-3</v>
      </c>
      <c r="AI375">
        <f t="shared" si="243"/>
        <v>1.5707963267948966</v>
      </c>
      <c r="AJ375" t="str">
        <f t="shared" si="229"/>
        <v>1+1,80563620168147i</v>
      </c>
      <c r="AK375">
        <f t="shared" si="244"/>
        <v>2.064054769821452</v>
      </c>
      <c r="AL375">
        <f t="shared" si="245"/>
        <v>1.0650239414317577</v>
      </c>
      <c r="AM375" t="str">
        <f t="shared" si="230"/>
        <v>1+264,443629173532i</v>
      </c>
      <c r="AN375">
        <f t="shared" si="246"/>
        <v>264.44551992890422</v>
      </c>
      <c r="AO375">
        <f t="shared" si="247"/>
        <v>1.5670148205565944</v>
      </c>
      <c r="AP375" s="42" t="str">
        <f t="shared" si="248"/>
        <v>-0,684166059402181+1,24645304796528i</v>
      </c>
      <c r="AQ375">
        <f t="shared" si="249"/>
        <v>3.0572281132531742</v>
      </c>
      <c r="AR375" s="44">
        <f t="shared" si="250"/>
        <v>118.7619587279151</v>
      </c>
      <c r="AS375" s="42" t="str">
        <f t="shared" si="251"/>
        <v>0,0873720101910432-0,0152117170644396i</v>
      </c>
      <c r="AT375" s="20">
        <f t="shared" si="252"/>
        <v>-21.042866679119236</v>
      </c>
      <c r="AU375" s="44">
        <f t="shared" si="253"/>
        <v>-9.8763631353787957</v>
      </c>
    </row>
    <row r="376" spans="14:47" x14ac:dyDescent="0.3">
      <c r="N376" s="8">
        <v>58</v>
      </c>
      <c r="O376" s="35">
        <f t="shared" si="221"/>
        <v>38018.939632056143</v>
      </c>
      <c r="P376" s="34" t="str">
        <f t="shared" si="222"/>
        <v>324,571428571429</v>
      </c>
      <c r="Q376" s="4" t="str">
        <f t="shared" si="223"/>
        <v>1+5460,11526607275i</v>
      </c>
      <c r="R376" s="4">
        <f t="shared" si="231"/>
        <v>5460.1153576459083</v>
      </c>
      <c r="S376" s="4">
        <f t="shared" si="232"/>
        <v>1.5706131804801964</v>
      </c>
      <c r="T376" s="4" t="str">
        <f t="shared" si="224"/>
        <v>1+0,0477760085781366i</v>
      </c>
      <c r="U376" s="4">
        <f t="shared" si="233"/>
        <v>1.0011406229874293</v>
      </c>
      <c r="V376" s="4">
        <f t="shared" si="234"/>
        <v>4.7739707951633056E-2</v>
      </c>
      <c r="W376" t="str">
        <f t="shared" si="225"/>
        <v>1-0,414722296685214i</v>
      </c>
      <c r="X376" s="4">
        <f t="shared" si="235"/>
        <v>1.0825869865132587</v>
      </c>
      <c r="Y376" s="4">
        <f t="shared" si="236"/>
        <v>-0.39313323547950435</v>
      </c>
      <c r="Z376" t="str">
        <f t="shared" si="226"/>
        <v>0,994218240917016+0,355582897177902i</v>
      </c>
      <c r="AA376" s="4">
        <f t="shared" si="237"/>
        <v>1.0558925642969346</v>
      </c>
      <c r="AB376" s="4">
        <f t="shared" si="238"/>
        <v>0.34347430475797469</v>
      </c>
      <c r="AC376" s="48" t="str">
        <f t="shared" si="239"/>
        <v>-0,0387772806725797-0,0471097050421835i</v>
      </c>
      <c r="AD376" s="20">
        <f t="shared" si="240"/>
        <v>-24.291067531644018</v>
      </c>
      <c r="AE376" s="44">
        <f t="shared" si="241"/>
        <v>-129.45872592143903</v>
      </c>
      <c r="AF376" t="str">
        <f t="shared" si="227"/>
        <v>-0,0000125211169631323</v>
      </c>
      <c r="AG376" t="str">
        <f t="shared" si="228"/>
        <v>0,00115450724729067i</v>
      </c>
      <c r="AH376">
        <f t="shared" si="242"/>
        <v>1.1545072472906701E-3</v>
      </c>
      <c r="AI376">
        <f t="shared" si="243"/>
        <v>1.5707963267948966</v>
      </c>
      <c r="AJ376" t="str">
        <f t="shared" si="229"/>
        <v>1+1,84769487178909i</v>
      </c>
      <c r="AK376">
        <f t="shared" si="244"/>
        <v>2.1009465341211571</v>
      </c>
      <c r="AL376">
        <f t="shared" si="245"/>
        <v>1.0747229228591921</v>
      </c>
      <c r="AM376" t="str">
        <f t="shared" si="230"/>
        <v>1+270,603312586566i</v>
      </c>
      <c r="AN376">
        <f t="shared" si="246"/>
        <v>270.6051603033888</v>
      </c>
      <c r="AO376">
        <f t="shared" si="247"/>
        <v>1.5671008973547647</v>
      </c>
      <c r="AP376" s="42" t="str">
        <f t="shared" si="248"/>
        <v>-0,660349660717768+1,23097010253886i</v>
      </c>
      <c r="AQ376">
        <f t="shared" si="249"/>
        <v>2.9033496526303559</v>
      </c>
      <c r="AR376" s="44">
        <f t="shared" si="250"/>
        <v>118.21117986379639</v>
      </c>
      <c r="AS376" s="42" t="str">
        <f t="shared" si="251"/>
        <v>0,0835972025820477-0,0166247954245836i</v>
      </c>
      <c r="AT376" s="20">
        <f t="shared" si="252"/>
        <v>-21.387717879013671</v>
      </c>
      <c r="AU376" s="44">
        <f t="shared" si="253"/>
        <v>-11.247546057642632</v>
      </c>
    </row>
    <row r="377" spans="14:47" x14ac:dyDescent="0.3">
      <c r="N377" s="8">
        <v>59</v>
      </c>
      <c r="O377" s="35">
        <f t="shared" si="221"/>
        <v>38904.514499428085</v>
      </c>
      <c r="P377" s="34" t="str">
        <f t="shared" si="222"/>
        <v>324,571428571429</v>
      </c>
      <c r="Q377" s="4" t="str">
        <f t="shared" si="223"/>
        <v>1+5587,29768881742i</v>
      </c>
      <c r="R377" s="4">
        <f t="shared" si="231"/>
        <v>5587.2977783061169</v>
      </c>
      <c r="S377" s="4">
        <f t="shared" si="232"/>
        <v>1.5706173493992006</v>
      </c>
      <c r="T377" s="4" t="str">
        <f t="shared" si="224"/>
        <v>1+0,0488888547771524i</v>
      </c>
      <c r="U377" s="4">
        <f t="shared" si="233"/>
        <v>1.0011943468285374</v>
      </c>
      <c r="V377" s="4">
        <f t="shared" si="234"/>
        <v>4.8849960460682726E-2</v>
      </c>
      <c r="W377" t="str">
        <f t="shared" si="225"/>
        <v>1-0,424382419940559i</v>
      </c>
      <c r="X377" s="4">
        <f t="shared" si="235"/>
        <v>1.0863242786362666</v>
      </c>
      <c r="Y377" s="4">
        <f t="shared" si="236"/>
        <v>-0.40134743530165312</v>
      </c>
      <c r="Z377" t="str">
        <f t="shared" si="226"/>
        <v>0,993945755006255+0,363865486857035i</v>
      </c>
      <c r="AA377" s="4">
        <f t="shared" si="237"/>
        <v>1.0584546548722158</v>
      </c>
      <c r="AB377" s="4">
        <f t="shared" si="238"/>
        <v>0.35092917492130499</v>
      </c>
      <c r="AC377" s="48" t="str">
        <f t="shared" si="239"/>
        <v>-0,0386025298088874-0,0455296169431914i</v>
      </c>
      <c r="AD377" s="20">
        <f t="shared" si="240"/>
        <v>-24.481718271087626</v>
      </c>
      <c r="AE377" s="44">
        <f t="shared" si="241"/>
        <v>-130.29312357900386</v>
      </c>
      <c r="AF377" t="str">
        <f t="shared" si="227"/>
        <v>-0,0000125211169631323</v>
      </c>
      <c r="AG377" t="str">
        <f t="shared" si="228"/>
        <v>0,00118139917568989i</v>
      </c>
      <c r="AH377">
        <f t="shared" si="242"/>
        <v>1.18139917568989E-3</v>
      </c>
      <c r="AI377">
        <f t="shared" si="243"/>
        <v>1.5707963267948966</v>
      </c>
      <c r="AJ377" t="str">
        <f t="shared" si="229"/>
        <v>1+1,89073321417486i</v>
      </c>
      <c r="AK377">
        <f t="shared" si="244"/>
        <v>2.1388950622188077</v>
      </c>
      <c r="AL377">
        <f t="shared" si="245"/>
        <v>1.0843005449669472</v>
      </c>
      <c r="AM377" t="str">
        <f t="shared" si="230"/>
        <v>1+276,906473457791i</v>
      </c>
      <c r="AN377">
        <f t="shared" si="246"/>
        <v>276.90827911572148</v>
      </c>
      <c r="AO377">
        <f t="shared" si="247"/>
        <v>1.5671850148587119</v>
      </c>
      <c r="AP377" s="42" t="str">
        <f t="shared" si="248"/>
        <v>-0,637125524491915+1,21523293968013i</v>
      </c>
      <c r="AQ377">
        <f t="shared" si="249"/>
        <v>2.7478574340880133</v>
      </c>
      <c r="AR377" s="44">
        <f t="shared" si="250"/>
        <v>117.66724211721015</v>
      </c>
      <c r="AS377" s="42" t="str">
        <f t="shared" si="251"/>
        <v>0,0799237472915869-0,0179029847038973i</v>
      </c>
      <c r="AT377" s="20">
        <f t="shared" si="252"/>
        <v>-21.733860836999611</v>
      </c>
      <c r="AU377" s="44">
        <f t="shared" si="253"/>
        <v>-12.625881461793739</v>
      </c>
    </row>
    <row r="378" spans="14:47" x14ac:dyDescent="0.3">
      <c r="N378" s="8">
        <v>60</v>
      </c>
      <c r="O378" s="35">
        <f t="shared" si="221"/>
        <v>39810.717055349742</v>
      </c>
      <c r="P378" s="34" t="str">
        <f t="shared" si="222"/>
        <v>324,571428571429</v>
      </c>
      <c r="Q378" s="4" t="str">
        <f t="shared" si="223"/>
        <v>1+5717,4425707533i</v>
      </c>
      <c r="R378" s="4">
        <f t="shared" si="231"/>
        <v>5717.4426582049864</v>
      </c>
      <c r="S378" s="4">
        <f t="shared" si="232"/>
        <v>1.5706214234220288</v>
      </c>
      <c r="T378" s="4" t="str">
        <f t="shared" si="224"/>
        <v>1+0,0500276224940914i</v>
      </c>
      <c r="U378" s="4">
        <f t="shared" si="233"/>
        <v>1.0012505995066425</v>
      </c>
      <c r="V378" s="4">
        <f t="shared" si="234"/>
        <v>4.9985949294042008E-2</v>
      </c>
      <c r="W378" t="str">
        <f t="shared" si="225"/>
        <v>1-0,434267556372321i</v>
      </c>
      <c r="X378" s="4">
        <f t="shared" si="235"/>
        <v>1.0902239726393779</v>
      </c>
      <c r="Y378" s="4">
        <f t="shared" si="236"/>
        <v>-0.40969409096180698</v>
      </c>
      <c r="Z378" t="str">
        <f t="shared" si="226"/>
        <v>0,993660427230156+0,372341002833628i</v>
      </c>
      <c r="AA378" s="4">
        <f t="shared" si="237"/>
        <v>1.0611309377425426</v>
      </c>
      <c r="AB378" s="4">
        <f t="shared" si="238"/>
        <v>0.35852213918535492</v>
      </c>
      <c r="AC378" s="48" t="str">
        <f t="shared" si="239"/>
        <v>-0,0384212998369088-0,0439787525774715i</v>
      </c>
      <c r="AD378" s="20">
        <f t="shared" si="240"/>
        <v>-24.672039817499165</v>
      </c>
      <c r="AE378" s="44">
        <f t="shared" si="241"/>
        <v>-131.14154258629156</v>
      </c>
      <c r="AF378" t="str">
        <f t="shared" si="227"/>
        <v>-0,0000125211169631323</v>
      </c>
      <c r="AG378" t="str">
        <f t="shared" si="228"/>
        <v>0,00120891749756972i</v>
      </c>
      <c r="AH378">
        <f t="shared" si="242"/>
        <v>1.2089174975697199E-3</v>
      </c>
      <c r="AI378">
        <f t="shared" si="243"/>
        <v>1.5707963267948966</v>
      </c>
      <c r="AJ378" t="str">
        <f t="shared" si="229"/>
        <v>1+1,9347740483376i</v>
      </c>
      <c r="AK378">
        <f t="shared" si="244"/>
        <v>2.1779234647068444</v>
      </c>
      <c r="AL378">
        <f t="shared" si="245"/>
        <v>1.0937548566171491</v>
      </c>
      <c r="AM378" t="str">
        <f t="shared" si="230"/>
        <v>1+283,356453806534i</v>
      </c>
      <c r="AN378">
        <f t="shared" si="246"/>
        <v>283.35821836293087</v>
      </c>
      <c r="AO378">
        <f t="shared" si="247"/>
        <v>1.5672672176638858</v>
      </c>
      <c r="AP378" s="42" t="str">
        <f t="shared" si="248"/>
        <v>-0,614495535475592+1,19926731135482i</v>
      </c>
      <c r="AQ378">
        <f t="shared" si="249"/>
        <v>2.5907921631105104</v>
      </c>
      <c r="AR378" s="44">
        <f t="shared" si="250"/>
        <v>117.13025983525276</v>
      </c>
      <c r="AS378" s="42" t="str">
        <f t="shared" si="251"/>
        <v>0,0763519975772727-0,0190526618395251i</v>
      </c>
      <c r="AT378" s="20">
        <f t="shared" si="252"/>
        <v>-22.081247654388648</v>
      </c>
      <c r="AU378" s="44">
        <f t="shared" si="253"/>
        <v>-14.011282751038804</v>
      </c>
    </row>
    <row r="379" spans="14:47" x14ac:dyDescent="0.3">
      <c r="N379" s="8">
        <v>61</v>
      </c>
      <c r="O379" s="35">
        <f t="shared" si="221"/>
        <v>40738.027780411358</v>
      </c>
      <c r="P379" s="34" t="str">
        <f t="shared" si="222"/>
        <v>324,571428571429</v>
      </c>
      <c r="Q379" s="4" t="str">
        <f t="shared" si="223"/>
        <v>1+5850,61891641952i</v>
      </c>
      <c r="R379" s="4">
        <f t="shared" si="231"/>
        <v>5850.6190018805637</v>
      </c>
      <c r="S379" s="4">
        <f t="shared" si="232"/>
        <v>1.5706254047087811</v>
      </c>
      <c r="T379" s="4" t="str">
        <f t="shared" si="224"/>
        <v>1+0,0511929155186708i</v>
      </c>
      <c r="U379" s="4">
        <f t="shared" si="233"/>
        <v>1.0013094999046508</v>
      </c>
      <c r="V379" s="4">
        <f t="shared" si="234"/>
        <v>5.1148265033683582E-2</v>
      </c>
      <c r="W379" t="str">
        <f t="shared" si="225"/>
        <v>1-0,444382947210684i</v>
      </c>
      <c r="X379" s="4">
        <f t="shared" si="235"/>
        <v>1.0942925585836969</v>
      </c>
      <c r="Y379" s="4">
        <f t="shared" si="236"/>
        <v>-0.41817297504702255</v>
      </c>
      <c r="Z379" t="str">
        <f t="shared" si="226"/>
        <v>0,99336165237025+0,38101393893844i</v>
      </c>
      <c r="AA379" s="4">
        <f t="shared" si="237"/>
        <v>1.0639262164572967</v>
      </c>
      <c r="AB379" s="4">
        <f t="shared" si="238"/>
        <v>0.366254253398966</v>
      </c>
      <c r="AC379" s="48" t="str">
        <f t="shared" si="239"/>
        <v>-0,0382334316330411-0,0424565714982323i</v>
      </c>
      <c r="AD379" s="20">
        <f t="shared" si="240"/>
        <v>-24.862025168176896</v>
      </c>
      <c r="AE379" s="44">
        <f t="shared" si="241"/>
        <v>-132.00399669509295</v>
      </c>
      <c r="AF379" t="str">
        <f t="shared" si="227"/>
        <v>-0,0000125211169631323</v>
      </c>
      <c r="AG379" t="str">
        <f t="shared" si="228"/>
        <v>0,00123707680350868i</v>
      </c>
      <c r="AH379">
        <f t="shared" si="242"/>
        <v>1.2370768035086801E-3</v>
      </c>
      <c r="AI379">
        <f t="shared" si="243"/>
        <v>1.5707963267948966</v>
      </c>
      <c r="AJ379" t="str">
        <f t="shared" si="229"/>
        <v>1+1,97984072531053i</v>
      </c>
      <c r="AK379">
        <f t="shared" si="244"/>
        <v>2.2180552963346347</v>
      </c>
      <c r="AL379">
        <f t="shared" si="245"/>
        <v>1.1030841092355286</v>
      </c>
      <c r="AM379" t="str">
        <f t="shared" si="230"/>
        <v>1+289,956673497751i</v>
      </c>
      <c r="AN379">
        <f t="shared" si="246"/>
        <v>289.95839788818222</v>
      </c>
      <c r="AO379">
        <f t="shared" si="247"/>
        <v>1.5673475493508555</v>
      </c>
      <c r="AP379" s="42" t="str">
        <f t="shared" si="248"/>
        <v>-0,5924602561046+1,18309847880946i</v>
      </c>
      <c r="AQ379">
        <f t="shared" si="249"/>
        <v>2.4321946290280878</v>
      </c>
      <c r="AR379" s="44">
        <f t="shared" si="250"/>
        <v>116.60033570083273</v>
      </c>
      <c r="AS379" s="42" t="str">
        <f t="shared" si="251"/>
        <v>0,072882093852093-0,0200800835815504i</v>
      </c>
      <c r="AT379" s="20">
        <f t="shared" si="252"/>
        <v>-22.429830539148806</v>
      </c>
      <c r="AU379" s="44">
        <f t="shared" si="253"/>
        <v>-15.403660994260177</v>
      </c>
    </row>
    <row r="380" spans="14:47" x14ac:dyDescent="0.3">
      <c r="N380" s="8">
        <v>62</v>
      </c>
      <c r="O380" s="35">
        <f t="shared" si="221"/>
        <v>41686.938347033625</v>
      </c>
      <c r="P380" s="34" t="str">
        <f t="shared" si="222"/>
        <v>324,571428571429</v>
      </c>
      <c r="Q380" s="4" t="str">
        <f t="shared" si="223"/>
        <v>1+5986,89733767733i</v>
      </c>
      <c r="R380" s="4">
        <f t="shared" si="231"/>
        <v>5986.8974211930436</v>
      </c>
      <c r="S380" s="4">
        <f t="shared" si="232"/>
        <v>1.5706292953703878</v>
      </c>
      <c r="T380" s="4" t="str">
        <f t="shared" si="224"/>
        <v>1+0,0523853517046766i</v>
      </c>
      <c r="U380" s="4">
        <f t="shared" si="233"/>
        <v>1.0013711724796268</v>
      </c>
      <c r="V380" s="4">
        <f t="shared" si="234"/>
        <v>5.2337511385562731E-2</v>
      </c>
      <c r="W380" t="str">
        <f t="shared" si="225"/>
        <v>1-0,454733955769762i</v>
      </c>
      <c r="X380" s="4">
        <f t="shared" si="235"/>
        <v>1.098536740637297</v>
      </c>
      <c r="Y380" s="4">
        <f t="shared" si="236"/>
        <v>-0.4267837056502447</v>
      </c>
      <c r="Z380" t="str">
        <f t="shared" si="226"/>
        <v>0,993048796685002+0,389888893676994i</v>
      </c>
      <c r="AA380" s="4">
        <f t="shared" si="237"/>
        <v>1.0668454724139766</v>
      </c>
      <c r="AB380" s="4">
        <f t="shared" si="238"/>
        <v>0.37412648350217692</v>
      </c>
      <c r="AC380" s="48" t="str">
        <f t="shared" si="239"/>
        <v>-0,038038768696709-0,0409625605209068i</v>
      </c>
      <c r="AD380" s="20">
        <f t="shared" si="240"/>
        <v>-25.051667544473851</v>
      </c>
      <c r="AE380" s="44">
        <f t="shared" si="241"/>
        <v>-132.88048489917716</v>
      </c>
      <c r="AF380" t="str">
        <f t="shared" si="227"/>
        <v>-0,0000125211169631323</v>
      </c>
      <c r="AG380" t="str">
        <f t="shared" si="228"/>
        <v>0,00126589202394351i</v>
      </c>
      <c r="AH380">
        <f t="shared" si="242"/>
        <v>1.26589202394351E-3</v>
      </c>
      <c r="AI380">
        <f t="shared" si="243"/>
        <v>1.5707963267948966</v>
      </c>
      <c r="AJ380" t="str">
        <f t="shared" si="229"/>
        <v>1+2,02595714004232i</v>
      </c>
      <c r="AK380">
        <f t="shared" si="244"/>
        <v>2.2593145715655569</v>
      </c>
      <c r="AL380">
        <f t="shared" si="245"/>
        <v>1.1122867526428972</v>
      </c>
      <c r="AM380" t="str">
        <f t="shared" si="230"/>
        <v>1+296,710632055288i</v>
      </c>
      <c r="AN380">
        <f t="shared" si="246"/>
        <v>296.7123171940263</v>
      </c>
      <c r="AO380">
        <f t="shared" si="247"/>
        <v>1.5674260525083952</v>
      </c>
      <c r="AP380" s="42" t="str">
        <f t="shared" si="248"/>
        <v>-0,571018992198749+1,166751145711i</v>
      </c>
      <c r="AQ380">
        <f t="shared" si="249"/>
        <v>2.272105616510625</v>
      </c>
      <c r="AR380" s="44">
        <f t="shared" si="250"/>
        <v>116.07756097283215</v>
      </c>
      <c r="AS380" s="42" t="str">
        <f t="shared" si="251"/>
        <v>0,0695139737847003-0,0209913769317925i</v>
      </c>
      <c r="AT380" s="20">
        <f t="shared" si="252"/>
        <v>-22.779561927963222</v>
      </c>
      <c r="AU380" s="44">
        <f t="shared" si="253"/>
        <v>-16.802923926345038</v>
      </c>
    </row>
    <row r="381" spans="14:47" x14ac:dyDescent="0.3">
      <c r="N381" s="8">
        <v>63</v>
      </c>
      <c r="O381" s="35">
        <f t="shared" si="221"/>
        <v>42657.951880159271</v>
      </c>
      <c r="P381" s="34" t="str">
        <f t="shared" si="222"/>
        <v>324,571428571429</v>
      </c>
      <c r="Q381" s="4" t="str">
        <f t="shared" si="223"/>
        <v>1+6126,35009114951i</v>
      </c>
      <c r="R381" s="4">
        <f t="shared" si="231"/>
        <v>6126.3501727641733</v>
      </c>
      <c r="S381" s="4">
        <f t="shared" si="232"/>
        <v>1.5706330974697291</v>
      </c>
      <c r="T381" s="4" t="str">
        <f t="shared" si="224"/>
        <v>1+0,0536055632975582i</v>
      </c>
      <c r="U381" s="4">
        <f t="shared" si="233"/>
        <v>1.0014357475227498</v>
      </c>
      <c r="V381" s="4">
        <f t="shared" si="234"/>
        <v>5.3554305440527063E-2</v>
      </c>
      <c r="W381" t="str">
        <f t="shared" si="225"/>
        <v>1-0,465326070291304i</v>
      </c>
      <c r="X381" s="4">
        <f t="shared" si="235"/>
        <v>1.1029634407779561</v>
      </c>
      <c r="Y381" s="4">
        <f t="shared" si="236"/>
        <v>-0.43552573973595615</v>
      </c>
      <c r="Z381" t="str">
        <f t="shared" si="226"/>
        <v>0,99272119656556+0,398970572667764i</v>
      </c>
      <c r="AA381" s="4">
        <f t="shared" si="237"/>
        <v>1.0698938694867828</v>
      </c>
      <c r="AB381" s="4">
        <f t="shared" si="238"/>
        <v>0.38213969914030887</v>
      </c>
      <c r="AC381" s="48" t="str">
        <f t="shared" si="239"/>
        <v>-0,0378371578342445-0,0394962335941765i</v>
      </c>
      <c r="AD381" s="20">
        <f t="shared" si="240"/>
        <v>-25.240960426787382</v>
      </c>
      <c r="AE381" s="44">
        <f t="shared" si="241"/>
        <v>-133.77099067340058</v>
      </c>
      <c r="AF381" t="str">
        <f t="shared" si="227"/>
        <v>-0,0000125211169631323</v>
      </c>
      <c r="AG381" t="str">
        <f t="shared" si="228"/>
        <v>0,00129537843708549i</v>
      </c>
      <c r="AH381">
        <f t="shared" si="242"/>
        <v>1.29537843708549E-3</v>
      </c>
      <c r="AI381">
        <f t="shared" si="243"/>
        <v>1.5707963267948966</v>
      </c>
      <c r="AJ381" t="str">
        <f t="shared" si="229"/>
        <v>1+2,07314774406646i</v>
      </c>
      <c r="AK381">
        <f t="shared" si="244"/>
        <v>2.3017257805237903</v>
      </c>
      <c r="AL381">
        <f t="shared" si="245"/>
        <v>1.1213614303866961</v>
      </c>
      <c r="AM381" t="str">
        <f t="shared" si="230"/>
        <v>1+303,62191051737i</v>
      </c>
      <c r="AN381">
        <f t="shared" si="246"/>
        <v>303.62355729787805</v>
      </c>
      <c r="AO381">
        <f t="shared" si="247"/>
        <v>1.5675027687560454</v>
      </c>
      <c r="AP381" s="42" t="str">
        <f t="shared" si="248"/>
        <v>-0,550169861297744+1,15024939830353i</v>
      </c>
      <c r="AQ381">
        <f t="shared" si="249"/>
        <v>2.1105658216639474</v>
      </c>
      <c r="AR381" s="44">
        <f t="shared" si="250"/>
        <v>115.56201575488174</v>
      </c>
      <c r="AS381" s="42" t="str">
        <f t="shared" si="251"/>
        <v>0,0662473828045243-0,0217925306740641i</v>
      </c>
      <c r="AT381" s="20">
        <f t="shared" si="252"/>
        <v>-23.130394605123431</v>
      </c>
      <c r="AU381" s="44">
        <f t="shared" si="253"/>
        <v>-18.208974918518891</v>
      </c>
    </row>
    <row r="382" spans="14:47" x14ac:dyDescent="0.3">
      <c r="N382" s="8">
        <v>64</v>
      </c>
      <c r="O382" s="35">
        <f t="shared" si="221"/>
        <v>43651.583224016598</v>
      </c>
      <c r="P382" s="34" t="str">
        <f t="shared" si="222"/>
        <v>324,571428571429</v>
      </c>
      <c r="Q382" s="4" t="str">
        <f t="shared" si="223"/>
        <v>1+6269,05111653184i</v>
      </c>
      <c r="R382" s="4">
        <f t="shared" si="231"/>
        <v>6269.0511962887267</v>
      </c>
      <c r="S382" s="4">
        <f t="shared" si="232"/>
        <v>1.5706368130227275</v>
      </c>
      <c r="T382" s="4" t="str">
        <f t="shared" si="224"/>
        <v>1+0,0548541972696536i</v>
      </c>
      <c r="U382" s="4">
        <f t="shared" si="233"/>
        <v>1.0015033614312525</v>
      </c>
      <c r="V382" s="4">
        <f t="shared" si="234"/>
        <v>5.479927793815427E-2</v>
      </c>
      <c r="W382" t="str">
        <f t="shared" si="225"/>
        <v>1-0,476164906854632i</v>
      </c>
      <c r="X382" s="4">
        <f t="shared" si="235"/>
        <v>1.1075798023257197</v>
      </c>
      <c r="Y382" s="4">
        <f t="shared" si="236"/>
        <v>-0.4443983666681513</v>
      </c>
      <c r="Z382" t="str">
        <f t="shared" si="226"/>
        <v>0,992378157128147+0,408263791137161i</v>
      </c>
      <c r="AA382" s="4">
        <f t="shared" si="237"/>
        <v>1.0730767586238854</v>
      </c>
      <c r="AB382" s="4">
        <f t="shared" si="238"/>
        <v>0.39029466715693428</v>
      </c>
      <c r="AC382" s="48" t="str">
        <f t="shared" si="239"/>
        <v>-0,0376284498841229-0,0380571316441809i</v>
      </c>
      <c r="AD382" s="20">
        <f t="shared" si="240"/>
        <v>-25.429897590866794</v>
      </c>
      <c r="AE382" s="44">
        <f t="shared" si="241"/>
        <v>-134.67548121500778</v>
      </c>
      <c r="AF382" t="str">
        <f t="shared" si="227"/>
        <v>-0,0000125211169631323</v>
      </c>
      <c r="AG382" t="str">
        <f t="shared" si="228"/>
        <v>0,00132555167702118i</v>
      </c>
      <c r="AH382">
        <f t="shared" si="242"/>
        <v>1.3255516770211799E-3</v>
      </c>
      <c r="AI382">
        <f t="shared" si="243"/>
        <v>1.5707963267948966</v>
      </c>
      <c r="AJ382" t="str">
        <f t="shared" si="229"/>
        <v>1+2,12143755846586i</v>
      </c>
      <c r="AK382">
        <f t="shared" si="244"/>
        <v>2.3453139053162135</v>
      </c>
      <c r="AL382">
        <f t="shared" si="245"/>
        <v>1.1303069746278804</v>
      </c>
      <c r="AM382" t="str">
        <f t="shared" si="230"/>
        <v>1+310,694173335318i</v>
      </c>
      <c r="AN382">
        <f t="shared" si="246"/>
        <v>310.69578263072162</v>
      </c>
      <c r="AO382">
        <f t="shared" si="247"/>
        <v>1.567577738766162</v>
      </c>
      <c r="AP382" s="42" t="str">
        <f t="shared" si="248"/>
        <v>-0,529909862943294+1,13361665252138i</v>
      </c>
      <c r="AQ382">
        <f t="shared" si="249"/>
        <v>1.9476157728859431</v>
      </c>
      <c r="AR382" s="44">
        <f t="shared" si="250"/>
        <v>115.05376928958404</v>
      </c>
      <c r="AS382" s="42" t="str">
        <f t="shared" si="251"/>
        <v>0,063081884899906-0,0224893879836251i</v>
      </c>
      <c r="AT382" s="20">
        <f t="shared" si="252"/>
        <v>-23.482281817980851</v>
      </c>
      <c r="AU382" s="44">
        <f t="shared" si="253"/>
        <v>-19.6217119254237</v>
      </c>
    </row>
    <row r="383" spans="14:47" x14ac:dyDescent="0.3">
      <c r="N383" s="8">
        <v>65</v>
      </c>
      <c r="O383" s="35">
        <f t="shared" si="221"/>
        <v>44668.359215096389</v>
      </c>
      <c r="P383" s="34" t="str">
        <f t="shared" si="222"/>
        <v>324,571428571429</v>
      </c>
      <c r="Q383" s="4" t="str">
        <f t="shared" si="223"/>
        <v>1+6415,07607579689i</v>
      </c>
      <c r="R383" s="4">
        <f t="shared" si="231"/>
        <v>6415.0761537382878</v>
      </c>
      <c r="S383" s="4">
        <f t="shared" si="232"/>
        <v>1.5706404439994184</v>
      </c>
      <c r="T383" s="4" t="str">
        <f t="shared" si="224"/>
        <v>1+0,0561319156632228i</v>
      </c>
      <c r="U383" s="4">
        <f t="shared" si="233"/>
        <v>1.0015741569928924</v>
      </c>
      <c r="V383" s="4">
        <f t="shared" si="234"/>
        <v>5.6073073533367226E-2</v>
      </c>
      <c r="W383" t="str">
        <f t="shared" si="225"/>
        <v>1-0,487256212354365i</v>
      </c>
      <c r="X383" s="4">
        <f t="shared" si="235"/>
        <v>1.1123931932899993</v>
      </c>
      <c r="Y383" s="4">
        <f t="shared" si="236"/>
        <v>-0.45340070194679727</v>
      </c>
      <c r="Z383" t="str">
        <f t="shared" si="226"/>
        <v>0,992018950740124+0,417773476472632i</v>
      </c>
      <c r="AA383" s="4">
        <f t="shared" si="237"/>
        <v>1.0763996824003459</v>
      </c>
      <c r="AB383" s="4">
        <f t="shared" si="238"/>
        <v>0.39859204498704826</v>
      </c>
      <c r="AC383" s="48" t="str">
        <f t="shared" si="239"/>
        <v>-0,0374125004827475-0,0366448223869884i</v>
      </c>
      <c r="AD383" s="20">
        <f t="shared" si="240"/>
        <v>-25.618473145292363</v>
      </c>
      <c r="AE383" s="44">
        <f t="shared" si="241"/>
        <v>-135.59390669099875</v>
      </c>
      <c r="AF383" t="str">
        <f t="shared" si="227"/>
        <v>-0,0000125211169631323</v>
      </c>
      <c r="AG383" t="str">
        <f t="shared" si="228"/>
        <v>0,00135642774200178i</v>
      </c>
      <c r="AH383">
        <f t="shared" si="242"/>
        <v>1.35642774200178E-3</v>
      </c>
      <c r="AI383">
        <f t="shared" si="243"/>
        <v>1.5707963267948966</v>
      </c>
      <c r="AJ383" t="str">
        <f t="shared" si="229"/>
        <v>1+2,17085218713931i</v>
      </c>
      <c r="AK383">
        <f t="shared" si="244"/>
        <v>2.390104436715585</v>
      </c>
      <c r="AL383">
        <f t="shared" si="245"/>
        <v>1.1391224006375813</v>
      </c>
      <c r="AM383" t="str">
        <f t="shared" si="230"/>
        <v>1+317,931170316494i</v>
      </c>
      <c r="AN383">
        <f t="shared" si="246"/>
        <v>317.93274298004525</v>
      </c>
      <c r="AO383">
        <f t="shared" si="247"/>
        <v>1.5676510022854639</v>
      </c>
      <c r="AP383" s="42" t="str">
        <f t="shared" si="248"/>
        <v>-0,510234950254935+1,11687560793561i</v>
      </c>
      <c r="AQ383">
        <f t="shared" si="249"/>
        <v>1.7832957565944039</v>
      </c>
      <c r="AR383" s="44">
        <f t="shared" si="250"/>
        <v>114.55288027506661</v>
      </c>
      <c r="AS383" s="42" t="str">
        <f t="shared" si="251"/>
        <v>0,0600168736038875-0,023087640093334i</v>
      </c>
      <c r="AT383" s="20">
        <f t="shared" si="252"/>
        <v>-23.835177388697957</v>
      </c>
      <c r="AU383" s="44">
        <f t="shared" si="253"/>
        <v>-21.041026415932194</v>
      </c>
    </row>
    <row r="384" spans="14:47" x14ac:dyDescent="0.3">
      <c r="N384" s="8">
        <v>66</v>
      </c>
      <c r="O384" s="35">
        <f t="shared" ref="O384:O418" si="254">10^(4+(N384/100))</f>
        <v>45708.818961487581</v>
      </c>
      <c r="P384" s="34" t="str">
        <f t="shared" si="222"/>
        <v>324,571428571429</v>
      </c>
      <c r="Q384" s="4" t="str">
        <f t="shared" si="223"/>
        <v>1+6564,50239331086i</v>
      </c>
      <c r="R384" s="4">
        <f t="shared" si="231"/>
        <v>6564.502469478095</v>
      </c>
      <c r="S384" s="4">
        <f t="shared" si="232"/>
        <v>1.5706439923249933</v>
      </c>
      <c r="T384" s="4" t="str">
        <f t="shared" si="224"/>
        <v>1+0,05743939594147i</v>
      </c>
      <c r="U384" s="4">
        <f t="shared" si="233"/>
        <v>1.0016482836835099</v>
      </c>
      <c r="V384" s="4">
        <f t="shared" si="234"/>
        <v>5.7376351065656188E-2</v>
      </c>
      <c r="W384" t="str">
        <f t="shared" si="225"/>
        <v>1-0,498605867547483i</v>
      </c>
      <c r="X384" s="4">
        <f t="shared" si="235"/>
        <v>1.1174112095163438</v>
      </c>
      <c r="Y384" s="4">
        <f t="shared" si="236"/>
        <v>-0.46253168120129012</v>
      </c>
      <c r="Z384" t="str">
        <f t="shared" si="226"/>
        <v>0,991642815476584+0,427504670835211i</v>
      </c>
      <c r="AA384" s="4">
        <f t="shared" si="237"/>
        <v>1.0798683795130999</v>
      </c>
      <c r="AB384" s="4">
        <f t="shared" si="238"/>
        <v>0.40703237397450659</v>
      </c>
      <c r="AC384" s="48" t="str">
        <f t="shared" si="239"/>
        <v>-0,0371891708695078-0,0352589001042317i</v>
      </c>
      <c r="AD384" s="20">
        <f t="shared" si="240"/>
        <v>-25.806681569953817</v>
      </c>
      <c r="AE384" s="44">
        <f t="shared" si="241"/>
        <v>-136.5261994957313</v>
      </c>
      <c r="AF384" t="str">
        <f t="shared" si="227"/>
        <v>-0,0000125211169631323</v>
      </c>
      <c r="AG384" t="str">
        <f t="shared" si="228"/>
        <v>0,00138802300292562i</v>
      </c>
      <c r="AH384">
        <f t="shared" si="242"/>
        <v>1.38802300292562E-3</v>
      </c>
      <c r="AI384">
        <f t="shared" si="243"/>
        <v>1.5707963267948966</v>
      </c>
      <c r="AJ384" t="str">
        <f t="shared" si="229"/>
        <v>1+2,221417830377i</v>
      </c>
      <c r="AK384">
        <f t="shared" si="244"/>
        <v>2.4361233911928304</v>
      </c>
      <c r="AL384">
        <f t="shared" si="245"/>
        <v>1.1478069009568859</v>
      </c>
      <c r="AM384" t="str">
        <f t="shared" si="230"/>
        <v>1+325,336738612486i</v>
      </c>
      <c r="AN384">
        <f t="shared" si="246"/>
        <v>325.33827547801542</v>
      </c>
      <c r="AO384">
        <f t="shared" si="247"/>
        <v>1.5677225981560912</v>
      </c>
      <c r="AP384" s="42" t="str">
        <f t="shared" si="248"/>
        <v>-0,491140102189102+1,1000482083556i</v>
      </c>
      <c r="AQ384">
        <f t="shared" si="249"/>
        <v>1.617645747892458</v>
      </c>
      <c r="AR384" s="44">
        <f t="shared" si="250"/>
        <v>114.05939720080794</v>
      </c>
      <c r="AS384" s="42" t="str">
        <f t="shared" si="251"/>
        <v>0,0570515830694272-0,0235928209849646i</v>
      </c>
      <c r="AT384" s="20">
        <f t="shared" si="252"/>
        <v>-24.189035822061363</v>
      </c>
      <c r="AU384" s="44">
        <f t="shared" si="253"/>
        <v>-22.46680229492333</v>
      </c>
    </row>
    <row r="385" spans="14:47" x14ac:dyDescent="0.3">
      <c r="N385" s="8">
        <v>67</v>
      </c>
      <c r="O385" s="35">
        <f t="shared" si="254"/>
        <v>46773.514128719893</v>
      </c>
      <c r="P385" s="34" t="str">
        <f t="shared" si="222"/>
        <v>324,571428571429</v>
      </c>
      <c r="Q385" s="4" t="str">
        <f t="shared" si="223"/>
        <v>1+6717,40929688526i</v>
      </c>
      <c r="R385" s="4">
        <f t="shared" si="231"/>
        <v>6717.4093713187176</v>
      </c>
      <c r="S385" s="4">
        <f t="shared" si="232"/>
        <v>1.5706474598808207</v>
      </c>
      <c r="T385" s="4" t="str">
        <f t="shared" si="224"/>
        <v>1+0,058777331347746i</v>
      </c>
      <c r="U385" s="4">
        <f t="shared" si="233"/>
        <v>1.0017258979782657</v>
      </c>
      <c r="V385" s="4">
        <f t="shared" si="234"/>
        <v>5.8709783830724768E-2</v>
      </c>
      <c r="W385" t="str">
        <f t="shared" si="225"/>
        <v>1-0,510219890171406i</v>
      </c>
      <c r="X385" s="4">
        <f t="shared" si="235"/>
        <v>1.1226416776186967</v>
      </c>
      <c r="Y385" s="4">
        <f t="shared" si="236"/>
        <v>-0.47179005449160161</v>
      </c>
      <c r="Z385" t="str">
        <f t="shared" si="226"/>
        <v>0,991248953504202+0,437462533832963i</v>
      </c>
      <c r="AA385" s="4">
        <f t="shared" si="237"/>
        <v>1.0834887892039917</v>
      </c>
      <c r="AB385" s="4">
        <f t="shared" si="238"/>
        <v>0.41561607264068728</v>
      </c>
      <c r="AC385" s="48" t="str">
        <f t="shared" si="239"/>
        <v>-0,036958328729336-0,0338989853766799i</v>
      </c>
      <c r="AD385" s="20">
        <f t="shared" si="240"/>
        <v>-25.994517755329124</v>
      </c>
      <c r="AE385" s="44">
        <f t="shared" si="241"/>
        <v>-137.47227352321823</v>
      </c>
      <c r="AF385" t="str">
        <f t="shared" si="227"/>
        <v>-0,0000125211169631323</v>
      </c>
      <c r="AG385" t="str">
        <f t="shared" si="228"/>
        <v>0,00142035421201828i</v>
      </c>
      <c r="AH385">
        <f t="shared" si="242"/>
        <v>1.4203542120182801E-3</v>
      </c>
      <c r="AI385">
        <f t="shared" si="243"/>
        <v>1.5707963267948966</v>
      </c>
      <c r="AJ385" t="str">
        <f t="shared" si="229"/>
        <v>1+2,27316129875231i</v>
      </c>
      <c r="AK385">
        <f t="shared" si="244"/>
        <v>2.4833973282874586</v>
      </c>
      <c r="AL385">
        <f t="shared" si="245"/>
        <v>1.1563598392714287</v>
      </c>
      <c r="AM385" t="str">
        <f t="shared" si="230"/>
        <v>1+332,914804753633i</v>
      </c>
      <c r="AN385">
        <f t="shared" si="246"/>
        <v>332.91630663599165</v>
      </c>
      <c r="AO385">
        <f t="shared" si="247"/>
        <v>1.5677925643361841</v>
      </c>
      <c r="AP385" s="42" t="str">
        <f t="shared" si="248"/>
        <v>-0,472619395917062+1,08315560886017i</v>
      </c>
      <c r="AQ385">
        <f t="shared" si="249"/>
        <v>1.4507053462003305</v>
      </c>
      <c r="AR385" s="44">
        <f t="shared" si="250"/>
        <v>113.5733586997769</v>
      </c>
      <c r="AS385" s="42" t="str">
        <f t="shared" si="251"/>
        <v>0,0541850991435827-0,0240103030663505i</v>
      </c>
      <c r="AT385" s="20">
        <f t="shared" si="252"/>
        <v>-24.54381240912879</v>
      </c>
      <c r="AU385" s="44">
        <f t="shared" si="253"/>
        <v>-23.898914823441348</v>
      </c>
    </row>
    <row r="386" spans="14:47" x14ac:dyDescent="0.3">
      <c r="N386" s="8">
        <v>68</v>
      </c>
      <c r="O386" s="35">
        <f t="shared" si="254"/>
        <v>47863.009232263823</v>
      </c>
      <c r="P386" s="34" t="str">
        <f t="shared" si="222"/>
        <v>324,571428571429</v>
      </c>
      <c r="Q386" s="4" t="str">
        <f t="shared" si="223"/>
        <v>1+6873,87785978425i</v>
      </c>
      <c r="R386" s="4">
        <f t="shared" si="231"/>
        <v>6873.8779325233945</v>
      </c>
      <c r="S386" s="4">
        <f t="shared" si="232"/>
        <v>1.5706508485054442</v>
      </c>
      <c r="T386" s="4" t="str">
        <f t="shared" si="224"/>
        <v>1+0,0601464312731122i</v>
      </c>
      <c r="U386" s="4">
        <f t="shared" si="233"/>
        <v>1.0018071636771675</v>
      </c>
      <c r="V386" s="4">
        <f t="shared" si="234"/>
        <v>6.0074059854340771E-2</v>
      </c>
      <c r="W386" t="str">
        <f t="shared" si="225"/>
        <v>1-0,522104438134655i</v>
      </c>
      <c r="X386" s="4">
        <f t="shared" si="235"/>
        <v>1.1280926576837134</v>
      </c>
      <c r="Y386" s="4">
        <f t="shared" si="236"/>
        <v>-0.48117438096949455</v>
      </c>
      <c r="Z386" t="str">
        <f t="shared" si="226"/>
        <v>0,990836529388929+0,447652345256652i</v>
      </c>
      <c r="AA386" s="4">
        <f t="shared" si="237"/>
        <v>1.0872670555964061</v>
      </c>
      <c r="AB386" s="4">
        <f t="shared" si="238"/>
        <v>0.42434342993409185</v>
      </c>
      <c r="AC386" s="48" t="str">
        <f t="shared" si="239"/>
        <v>-0,036719849070442-0,0325647247704562i</v>
      </c>
      <c r="AD386" s="20">
        <f t="shared" si="240"/>
        <v>-26.181977042333301</v>
      </c>
      <c r="AE386" s="44">
        <f t="shared" si="241"/>
        <v>-138.43202345883452</v>
      </c>
      <c r="AF386" t="str">
        <f t="shared" si="227"/>
        <v>-0,0000125211169631323</v>
      </c>
      <c r="AG386" t="str">
        <f t="shared" si="228"/>
        <v>0,00145343851171476i</v>
      </c>
      <c r="AH386">
        <f t="shared" si="242"/>
        <v>1.45343851171476E-3</v>
      </c>
      <c r="AI386">
        <f t="shared" si="243"/>
        <v>1.5707963267948966</v>
      </c>
      <c r="AJ386" t="str">
        <f t="shared" si="229"/>
        <v>1+2,32611002733705i</v>
      </c>
      <c r="AK386">
        <f t="shared" si="244"/>
        <v>2.53195336830637</v>
      </c>
      <c r="AL386">
        <f t="shared" si="245"/>
        <v>1.1647807440505207</v>
      </c>
      <c r="AM386" t="str">
        <f t="shared" si="230"/>
        <v>1+340,669386730907i</v>
      </c>
      <c r="AN386">
        <f t="shared" si="246"/>
        <v>340.67085442639831</v>
      </c>
      <c r="AO386">
        <f t="shared" si="247"/>
        <v>1.5678609379199961</v>
      </c>
      <c r="AP386" s="42" t="str">
        <f t="shared" si="248"/>
        <v>-0,4546660788053+1,06621814899207i</v>
      </c>
      <c r="AQ386">
        <f t="shared" si="249"/>
        <v>1.282513715843151</v>
      </c>
      <c r="AR386" s="44">
        <f t="shared" si="250"/>
        <v>113.09479391403592</v>
      </c>
      <c r="AS386" s="42" t="str">
        <f t="shared" si="251"/>
        <v>0,0514163703583723-0,0243452937883977i</v>
      </c>
      <c r="AT386" s="20">
        <f t="shared" si="252"/>
        <v>-24.899463326490153</v>
      </c>
      <c r="AU386" s="44">
        <f t="shared" si="253"/>
        <v>-25.337229544798632</v>
      </c>
    </row>
    <row r="387" spans="14:47" x14ac:dyDescent="0.3">
      <c r="N387" s="8">
        <v>69</v>
      </c>
      <c r="O387" s="35">
        <f t="shared" si="254"/>
        <v>48977.881936844598</v>
      </c>
      <c r="P387" s="34" t="str">
        <f t="shared" si="222"/>
        <v>324,571428571429</v>
      </c>
      <c r="Q387" s="4" t="str">
        <f t="shared" si="223"/>
        <v>1+7033,99104371104i</v>
      </c>
      <c r="R387" s="4">
        <f t="shared" si="231"/>
        <v>7033.9911147944395</v>
      </c>
      <c r="S387" s="4">
        <f t="shared" si="232"/>
        <v>1.5706541599955577</v>
      </c>
      <c r="T387" s="4" t="str">
        <f t="shared" si="224"/>
        <v>1+0,0615474216324716i</v>
      </c>
      <c r="U387" s="4">
        <f t="shared" si="233"/>
        <v>1.0018922522455223</v>
      </c>
      <c r="V387" s="4">
        <f t="shared" si="234"/>
        <v>6.1469882168169544E-2</v>
      </c>
      <c r="W387" t="str">
        <f t="shared" si="225"/>
        <v>1-0,534265812781872i</v>
      </c>
      <c r="X387" s="4">
        <f t="shared" si="235"/>
        <v>1.133772445734802</v>
      </c>
      <c r="Y387" s="4">
        <f t="shared" si="236"/>
        <v>-0.49068302395375391</v>
      </c>
      <c r="Z387" t="str">
        <f t="shared" si="226"/>
        <v>0,990404668323922+0,458079507879176i</v>
      </c>
      <c r="AA387" s="4">
        <f t="shared" si="237"/>
        <v>1.0912095319308046</v>
      </c>
      <c r="AB387" s="4">
        <f t="shared" si="238"/>
        <v>0.43321459849370214</v>
      </c>
      <c r="AC387" s="48" t="str">
        <f t="shared" si="239"/>
        <v>-0,0364736151343272-0,0312557904705556i</v>
      </c>
      <c r="AD387" s="20">
        <f t="shared" si="240"/>
        <v>-26.369055262480817</v>
      </c>
      <c r="AE387" s="44">
        <f t="shared" si="241"/>
        <v>-139.40532409541879</v>
      </c>
      <c r="AF387" t="str">
        <f t="shared" si="227"/>
        <v>-0,0000125211169631323</v>
      </c>
      <c r="AG387" t="str">
        <f t="shared" si="228"/>
        <v>0,00148729344374868i</v>
      </c>
      <c r="AH387">
        <f t="shared" si="242"/>
        <v>1.4872934437486799E-3</v>
      </c>
      <c r="AI387">
        <f t="shared" si="243"/>
        <v>1.5707963267948966</v>
      </c>
      <c r="AJ387" t="str">
        <f t="shared" si="229"/>
        <v>1+2,38029209024799i</v>
      </c>
      <c r="AK387">
        <f t="shared" si="244"/>
        <v>2.5818192103431925</v>
      </c>
      <c r="AL387">
        <f t="shared" si="245"/>
        <v>1.1730693019983802</v>
      </c>
      <c r="AM387" t="str">
        <f t="shared" si="230"/>
        <v>1+348,604596126319i</v>
      </c>
      <c r="AN387">
        <f t="shared" si="246"/>
        <v>348.60603041312118</v>
      </c>
      <c r="AO387">
        <f t="shared" si="247"/>
        <v>1.5679277551575477</v>
      </c>
      <c r="AP387" s="42" t="str">
        <f t="shared" si="248"/>
        <v>-0,437272639531385+1,0492553318164i</v>
      </c>
      <c r="AQ387">
        <f t="shared" si="249"/>
        <v>1.1131095315500792</v>
      </c>
      <c r="AR387" s="44">
        <f t="shared" si="250"/>
        <v>112.62372287108441</v>
      </c>
      <c r="AS387" s="42" t="str">
        <f t="shared" si="251"/>
        <v>0,0487442187644058-0,0246028331506124i</v>
      </c>
      <c r="AT387" s="20">
        <f t="shared" si="252"/>
        <v>-25.25594573093074</v>
      </c>
      <c r="AU387" s="44">
        <f t="shared" si="253"/>
        <v>-26.781601224334377</v>
      </c>
    </row>
    <row r="388" spans="14:47" x14ac:dyDescent="0.3">
      <c r="N388" s="8">
        <v>70</v>
      </c>
      <c r="O388" s="35">
        <f t="shared" si="254"/>
        <v>50118.723362727294</v>
      </c>
      <c r="P388" s="34" t="str">
        <f t="shared" si="222"/>
        <v>324,571428571429</v>
      </c>
      <c r="Q388" s="4" t="str">
        <f t="shared" si="223"/>
        <v>1+7197,83374279511i</v>
      </c>
      <c r="R388" s="4">
        <f t="shared" si="231"/>
        <v>7197.8338122604546</v>
      </c>
      <c r="S388" s="4">
        <f t="shared" si="232"/>
        <v>1.5706573961069563</v>
      </c>
      <c r="T388" s="4" t="str">
        <f t="shared" si="224"/>
        <v>1+0,0629810452494572i</v>
      </c>
      <c r="U388" s="4">
        <f t="shared" si="233"/>
        <v>1.0019813431699784</v>
      </c>
      <c r="V388" s="4">
        <f t="shared" si="234"/>
        <v>6.2897969087323674E-2</v>
      </c>
      <c r="W388" t="str">
        <f t="shared" si="225"/>
        <v>1-0,546710462234872i</v>
      </c>
      <c r="X388" s="4">
        <f t="shared" si="235"/>
        <v>1.1396895759447252</v>
      </c>
      <c r="Y388" s="4">
        <f t="shared" si="236"/>
        <v>-0.50031414647426065</v>
      </c>
      <c r="Z388" t="str">
        <f t="shared" si="226"/>
        <v>0,989952454273962+0,468749550320178i</v>
      </c>
      <c r="AA388" s="4">
        <f t="shared" si="237"/>
        <v>1.0953227846842273</v>
      </c>
      <c r="AB388" s="4">
        <f t="shared" si="238"/>
        <v>0.44222958796168049</v>
      </c>
      <c r="AC388" s="48" t="str">
        <f t="shared" si="239"/>
        <v>-0,0362195193345559-0,0299718798563589i</v>
      </c>
      <c r="AD388" s="20">
        <f t="shared" si="240"/>
        <v>-26.555748778074712</v>
      </c>
      <c r="AE388" s="44">
        <f t="shared" si="241"/>
        <v>-140.39202967896722</v>
      </c>
      <c r="AF388" t="str">
        <f t="shared" si="227"/>
        <v>-0,0000125211169631323</v>
      </c>
      <c r="AG388" t="str">
        <f t="shared" si="228"/>
        <v>0,00152193695845314i</v>
      </c>
      <c r="AH388">
        <f t="shared" si="242"/>
        <v>1.52193695845314E-3</v>
      </c>
      <c r="AI388">
        <f t="shared" si="243"/>
        <v>1.5707963267948966</v>
      </c>
      <c r="AJ388" t="str">
        <f t="shared" si="229"/>
        <v>1+2,43573621553208i</v>
      </c>
      <c r="AK388">
        <f t="shared" si="244"/>
        <v>2.6330231506112018</v>
      </c>
      <c r="AL388">
        <f t="shared" si="245"/>
        <v>1.1812253513624578</v>
      </c>
      <c r="AM388" t="str">
        <f t="shared" si="230"/>
        <v>1+356,724640292926i</v>
      </c>
      <c r="AN388">
        <f t="shared" si="246"/>
        <v>356.72604193150443</v>
      </c>
      <c r="AO388">
        <f t="shared" si="247"/>
        <v>1.5679930514738349</v>
      </c>
      <c r="AP388" s="42" t="str">
        <f t="shared" si="248"/>
        <v>-0,420430877918594+1,0322858085175i</v>
      </c>
      <c r="AQ388">
        <f t="shared" si="249"/>
        <v>0.9425309287929462</v>
      </c>
      <c r="AR388" s="44">
        <f t="shared" si="250"/>
        <v>112.16015686836344</v>
      </c>
      <c r="AS388" s="42" t="str">
        <f t="shared" si="251"/>
        <v>0,0461673505419276-0,0247877920395077i</v>
      </c>
      <c r="AT388" s="20">
        <f t="shared" si="252"/>
        <v>-25.613217849281771</v>
      </c>
      <c r="AU388" s="44">
        <f t="shared" si="253"/>
        <v>-28.231872810603829</v>
      </c>
    </row>
    <row r="389" spans="14:47" x14ac:dyDescent="0.3">
      <c r="N389" s="8">
        <v>71</v>
      </c>
      <c r="O389" s="35">
        <f t="shared" si="254"/>
        <v>51286.138399136544</v>
      </c>
      <c r="P389" s="34" t="str">
        <f t="shared" si="222"/>
        <v>324,571428571429</v>
      </c>
      <c r="Q389" s="4" t="str">
        <f t="shared" si="223"/>
        <v>1+7365,4928286042i</v>
      </c>
      <c r="R389" s="4">
        <f t="shared" si="231"/>
        <v>7365.4928964883211</v>
      </c>
      <c r="S389" s="4">
        <f t="shared" si="232"/>
        <v>1.5706605585554692</v>
      </c>
      <c r="T389" s="4" t="str">
        <f t="shared" si="224"/>
        <v>1+0,0644480622502868i</v>
      </c>
      <c r="U389" s="4">
        <f t="shared" si="233"/>
        <v>1.0020746243308514</v>
      </c>
      <c r="V389" s="4">
        <f t="shared" si="234"/>
        <v>6.4359054489350295E-2</v>
      </c>
      <c r="W389" t="str">
        <f t="shared" si="225"/>
        <v>1-0,559444984811517i</v>
      </c>
      <c r="X389" s="4">
        <f t="shared" si="235"/>
        <v>1.1458528225870714</v>
      </c>
      <c r="Y389" s="4">
        <f t="shared" si="236"/>
        <v>-0.51006570734030998</v>
      </c>
      <c r="Z389" t="str">
        <f t="shared" si="226"/>
        <v>0,989478928032418+0,479668129977394i</v>
      </c>
      <c r="AA389" s="4">
        <f t="shared" si="237"/>
        <v>1.099613597558794</v>
      </c>
      <c r="AB389" s="4">
        <f t="shared" si="238"/>
        <v>0.45138825838401342</v>
      </c>
      <c r="AC389" s="48" t="str">
        <f t="shared" si="239"/>
        <v>-0,0359574642201174-0,028712715013932i</v>
      </c>
      <c r="AD389" s="20">
        <f t="shared" si="240"/>
        <v>-26.742054522107431</v>
      </c>
      <c r="AE389" s="44">
        <f t="shared" si="241"/>
        <v>-141.3919732893161</v>
      </c>
      <c r="AF389" t="str">
        <f t="shared" si="227"/>
        <v>-0,0000125211169631323</v>
      </c>
      <c r="AG389" t="str">
        <f t="shared" si="228"/>
        <v>0,00155738742427818i</v>
      </c>
      <c r="AH389">
        <f t="shared" si="242"/>
        <v>1.55738742427818E-3</v>
      </c>
      <c r="AI389">
        <f t="shared" si="243"/>
        <v>1.5707963267948966</v>
      </c>
      <c r="AJ389" t="str">
        <f t="shared" si="229"/>
        <v>1+2,49247180039843i</v>
      </c>
      <c r="AK389">
        <f t="shared" si="244"/>
        <v>2.6855941010847846</v>
      </c>
      <c r="AL389">
        <f t="shared" si="245"/>
        <v>1.1892488751412684</v>
      </c>
      <c r="AM389" t="str">
        <f t="shared" si="230"/>
        <v>1+365,033824585624i</v>
      </c>
      <c r="AN389">
        <f t="shared" si="246"/>
        <v>365.03519431913429</v>
      </c>
      <c r="AO389">
        <f t="shared" si="247"/>
        <v>1.5680568614876003</v>
      </c>
      <c r="AP389" s="42" t="str">
        <f t="shared" si="248"/>
        <v>-0,404131973122133+1,01532736818841i</v>
      </c>
      <c r="AQ389">
        <f t="shared" si="249"/>
        <v>0.77081545886178837</v>
      </c>
      <c r="AR389" s="44">
        <f t="shared" si="250"/>
        <v>111.7040988634941</v>
      </c>
      <c r="AS389" s="42" t="str">
        <f t="shared" si="251"/>
        <v>0,043684366332384-0,0249048713410669i</v>
      </c>
      <c r="AT389" s="20">
        <f t="shared" si="252"/>
        <v>-25.971239063245637</v>
      </c>
      <c r="AU389" s="44">
        <f t="shared" si="253"/>
        <v>-29.687874425822013</v>
      </c>
    </row>
    <row r="390" spans="14:47" x14ac:dyDescent="0.3">
      <c r="N390" s="8">
        <v>72</v>
      </c>
      <c r="O390" s="35">
        <f t="shared" si="254"/>
        <v>52480.746024977314</v>
      </c>
      <c r="P390" s="34" t="str">
        <f t="shared" si="222"/>
        <v>324,571428571429</v>
      </c>
      <c r="Q390" s="4" t="str">
        <f t="shared" si="223"/>
        <v>1+7537,05719620482i</v>
      </c>
      <c r="R390" s="4">
        <f t="shared" si="231"/>
        <v>7537.057262543708</v>
      </c>
      <c r="S390" s="4">
        <f t="shared" si="232"/>
        <v>1.5706636490178678</v>
      </c>
      <c r="T390" s="4" t="str">
        <f t="shared" si="224"/>
        <v>1+0,0659492504667922i</v>
      </c>
      <c r="U390" s="4">
        <f t="shared" si="233"/>
        <v>1.0021722923914489</v>
      </c>
      <c r="V390" s="4">
        <f t="shared" si="234"/>
        <v>6.5853888094343491E-2</v>
      </c>
      <c r="W390" t="str">
        <f t="shared" si="225"/>
        <v>1-0,572476132524238i</v>
      </c>
      <c r="X390" s="4">
        <f t="shared" si="235"/>
        <v>1.152271201718549</v>
      </c>
      <c r="Y390" s="4">
        <f t="shared" si="236"/>
        <v>-0.51993545778853134</v>
      </c>
      <c r="Z390" t="str">
        <f t="shared" si="226"/>
        <v>0,988983085186647+0,490841036026281i</v>
      </c>
      <c r="AA390" s="4">
        <f t="shared" si="237"/>
        <v>1.1040889753242948</v>
      </c>
      <c r="AB390" s="4">
        <f t="shared" si="238"/>
        <v>0.46069031374046937</v>
      </c>
      <c r="AC390" s="48" t="str">
        <f t="shared" si="239"/>
        <v>-0,0356873634585434-0,0274780421800586i</v>
      </c>
      <c r="AD390" s="20">
        <f t="shared" si="240"/>
        <v>-26.927970037531392</v>
      </c>
      <c r="AE390" s="44">
        <f t="shared" si="241"/>
        <v>-142.40496626138022</v>
      </c>
      <c r="AF390" t="str">
        <f t="shared" si="227"/>
        <v>-0,0000125211169631323</v>
      </c>
      <c r="AG390" t="str">
        <f t="shared" si="228"/>
        <v>0,00159366363753003i</v>
      </c>
      <c r="AH390">
        <f t="shared" si="242"/>
        <v>1.59366363753003E-3</v>
      </c>
      <c r="AI390">
        <f t="shared" si="243"/>
        <v>1.5707963267948966</v>
      </c>
      <c r="AJ390" t="str">
        <f t="shared" si="229"/>
        <v>1+2,5505289268051i</v>
      </c>
      <c r="AK390">
        <f t="shared" si="244"/>
        <v>2.7395616084456971</v>
      </c>
      <c r="AL390">
        <f t="shared" si="245"/>
        <v>1.197139994231329</v>
      </c>
      <c r="AM390" t="str">
        <f t="shared" si="230"/>
        <v>1+373,536554643911i</v>
      </c>
      <c r="AN390">
        <f t="shared" si="246"/>
        <v>373.53789319859305</v>
      </c>
      <c r="AO390">
        <f t="shared" si="247"/>
        <v>1.568119219029678</v>
      </c>
      <c r="AP390" s="42" t="str">
        <f t="shared" si="248"/>
        <v>-0,388366549848691+0,998396932453379i</v>
      </c>
      <c r="AQ390">
        <f t="shared" si="249"/>
        <v>0.59800004855353328</v>
      </c>
      <c r="AR390" s="44">
        <f t="shared" si="250"/>
        <v>111.25554386798041</v>
      </c>
      <c r="AS390" s="42" t="str">
        <f t="shared" si="251"/>
        <v>0,0412937712419858-0,0249586017662924i</v>
      </c>
      <c r="AT390" s="20">
        <f t="shared" si="252"/>
        <v>-26.329969988977862</v>
      </c>
      <c r="AU390" s="44">
        <f t="shared" si="253"/>
        <v>-31.149422393399846</v>
      </c>
    </row>
    <row r="391" spans="14:47" x14ac:dyDescent="0.3">
      <c r="N391" s="8">
        <v>73</v>
      </c>
      <c r="O391" s="35">
        <f t="shared" si="254"/>
        <v>53703.179637025423</v>
      </c>
      <c r="P391" s="34" t="str">
        <f t="shared" si="222"/>
        <v>324,571428571429</v>
      </c>
      <c r="Q391" s="4" t="str">
        <f t="shared" si="223"/>
        <v>1+7712,61781129563i</v>
      </c>
      <c r="R391" s="4">
        <f t="shared" si="231"/>
        <v>7712.617876124461</v>
      </c>
      <c r="S391" s="4">
        <f t="shared" si="232"/>
        <v>1.570666669132756</v>
      </c>
      <c r="T391" s="4" t="str">
        <f t="shared" si="224"/>
        <v>1+0,0674854058488368i</v>
      </c>
      <c r="U391" s="4">
        <f t="shared" si="233"/>
        <v>1.0022745532051496</v>
      </c>
      <c r="V391" s="4">
        <f t="shared" si="234"/>
        <v>6.738323574584007E-2</v>
      </c>
      <c r="W391" t="str">
        <f t="shared" si="225"/>
        <v>1-0,585810814660042i</v>
      </c>
      <c r="X391" s="4">
        <f t="shared" si="235"/>
        <v>1.1589539725859099</v>
      </c>
      <c r="Y391" s="4">
        <f t="shared" si="236"/>
        <v>-0.52992093876511637</v>
      </c>
      <c r="Z391" t="str">
        <f t="shared" si="226"/>
        <v>0,988463873987493+0,502274192489519i</v>
      </c>
      <c r="AA391" s="4">
        <f t="shared" si="237"/>
        <v>1.108756147500144</v>
      </c>
      <c r="AB391" s="4">
        <f t="shared" si="238"/>
        <v>0.47013529564798201</v>
      </c>
      <c r="AC391" s="48" t="str">
        <f t="shared" si="239"/>
        <v>-0,035409142833252-0,0262676311132126i</v>
      </c>
      <c r="AD391" s="20">
        <f t="shared" si="240"/>
        <v>-27.113493515531353</v>
      </c>
      <c r="AE391" s="44">
        <f t="shared" si="241"/>
        <v>-143.4307976526224</v>
      </c>
      <c r="AF391" t="str">
        <f t="shared" si="227"/>
        <v>-0,0000125211169631323</v>
      </c>
      <c r="AG391" t="str">
        <f t="shared" si="228"/>
        <v>0,00163078483233714i</v>
      </c>
      <c r="AH391">
        <f t="shared" si="242"/>
        <v>1.6307848323371401E-3</v>
      </c>
      <c r="AI391">
        <f t="shared" si="243"/>
        <v>1.5707963267948966</v>
      </c>
      <c r="AJ391" t="str">
        <f t="shared" si="229"/>
        <v>1+2,60993837740902i</v>
      </c>
      <c r="AK391">
        <f t="shared" si="244"/>
        <v>2.7949558733318902</v>
      </c>
      <c r="AL391">
        <f t="shared" si="245"/>
        <v>1.2048989605499214</v>
      </c>
      <c r="AM391" t="str">
        <f t="shared" si="230"/>
        <v>1+382,237338727812i</v>
      </c>
      <c r="AN391">
        <f t="shared" si="246"/>
        <v>382.23864681337506</v>
      </c>
      <c r="AO391">
        <f t="shared" si="247"/>
        <v>1.5681801571609217</v>
      </c>
      <c r="AP391" s="42" t="str">
        <f t="shared" si="248"/>
        <v>-0,373124742338362+0,981510554555399i</v>
      </c>
      <c r="AQ391">
        <f t="shared" si="249"/>
        <v>0.42412096432958746</v>
      </c>
      <c r="AR391" s="44">
        <f t="shared" si="250"/>
        <v>110.81447934227258</v>
      </c>
      <c r="AS391" s="42" t="str">
        <f t="shared" si="251"/>
        <v>0,0389939844768654-0,0249533443276399i</v>
      </c>
      <c r="AT391" s="20">
        <f t="shared" si="252"/>
        <v>-26.689372551201764</v>
      </c>
      <c r="AU391" s="44">
        <f t="shared" si="253"/>
        <v>-32.616318310349783</v>
      </c>
    </row>
    <row r="392" spans="14:47" x14ac:dyDescent="0.3">
      <c r="N392" s="8">
        <v>74</v>
      </c>
      <c r="O392" s="35">
        <f t="shared" si="254"/>
        <v>54954.087385762505</v>
      </c>
      <c r="P392" s="34" t="str">
        <f t="shared" si="222"/>
        <v>324,571428571429</v>
      </c>
      <c r="Q392" s="4" t="str">
        <f t="shared" si="223"/>
        <v>1+7892,26775843854i</v>
      </c>
      <c r="R392" s="4">
        <f t="shared" si="231"/>
        <v>7892.2678217916864</v>
      </c>
      <c r="S392" s="4">
        <f t="shared" si="232"/>
        <v>1.5706696205014388</v>
      </c>
      <c r="T392" s="4" t="str">
        <f t="shared" si="224"/>
        <v>1+0,0690573428863372i</v>
      </c>
      <c r="U392" s="4">
        <f t="shared" si="233"/>
        <v>1.0023816222410111</v>
      </c>
      <c r="V392" s="4">
        <f t="shared" si="234"/>
        <v>6.8947879692121114E-2</v>
      </c>
      <c r="W392" t="str">
        <f t="shared" si="225"/>
        <v>1-0,599456101443899i</v>
      </c>
      <c r="X392" s="4">
        <f t="shared" si="235"/>
        <v>1.1659106387533815</v>
      </c>
      <c r="Y392" s="4">
        <f t="shared" si="236"/>
        <v>-0.54001947889579094</v>
      </c>
      <c r="Z392" t="str">
        <f t="shared" si="226"/>
        <v>0,987920193118392+0,513973661377999i</v>
      </c>
      <c r="AA392" s="4">
        <f t="shared" si="237"/>
        <v>1.1136225718623824</v>
      </c>
      <c r="AB392" s="4">
        <f t="shared" si="238"/>
        <v>0.47972257728408324</v>
      </c>
      <c r="AC392" s="48" t="str">
        <f t="shared" si="239"/>
        <v>-0,0351227412488998-0,0250812743870083i</v>
      </c>
      <c r="AD392" s="20">
        <f t="shared" si="240"/>
        <v>-27.298623832406591</v>
      </c>
      <c r="AE392" s="44">
        <f t="shared" si="241"/>
        <v>-144.46923376251203</v>
      </c>
      <c r="AF392" t="str">
        <f t="shared" si="227"/>
        <v>-0,0000125211169631323</v>
      </c>
      <c r="AG392" t="str">
        <f t="shared" si="228"/>
        <v>0,00166877069084834i</v>
      </c>
      <c r="AH392">
        <f t="shared" si="242"/>
        <v>1.6687706908483401E-3</v>
      </c>
      <c r="AI392">
        <f t="shared" si="243"/>
        <v>1.5707963267948966</v>
      </c>
      <c r="AJ392" t="str">
        <f t="shared" si="229"/>
        <v>1+2,67073165188725i</v>
      </c>
      <c r="AK392">
        <f t="shared" si="244"/>
        <v>2.8518077698877948</v>
      </c>
      <c r="AL392">
        <f t="shared" si="245"/>
        <v>1.2125261501674502</v>
      </c>
      <c r="AM392" t="str">
        <f t="shared" si="230"/>
        <v>1+391,140790108214i</v>
      </c>
      <c r="AN392">
        <f t="shared" si="246"/>
        <v>391.14206841821289</v>
      </c>
      <c r="AO392">
        <f t="shared" si="247"/>
        <v>1.5682397081897235</v>
      </c>
      <c r="AP392" s="42" t="str">
        <f t="shared" si="248"/>
        <v>-0,358396255883313+0,964683422537264i</v>
      </c>
      <c r="AQ392">
        <f t="shared" si="249"/>
        <v>0.24921378078095308</v>
      </c>
      <c r="AR392" s="44">
        <f t="shared" si="250"/>
        <v>110.3808855902582</v>
      </c>
      <c r="AS392" s="42" t="str">
        <f t="shared" si="251"/>
        <v>0,0367833485772195-0,0248932914037936i</v>
      </c>
      <c r="AT392" s="20">
        <f t="shared" si="252"/>
        <v>-27.049410051625632</v>
      </c>
      <c r="AU392" s="44">
        <f t="shared" si="253"/>
        <v>-34.088348172253809</v>
      </c>
    </row>
    <row r="393" spans="14:47" x14ac:dyDescent="0.3">
      <c r="N393" s="8">
        <v>75</v>
      </c>
      <c r="O393" s="35">
        <f t="shared" si="254"/>
        <v>56234.132519034953</v>
      </c>
      <c r="P393" s="34" t="str">
        <f t="shared" si="222"/>
        <v>324,571428571429</v>
      </c>
      <c r="Q393" s="4" t="str">
        <f t="shared" si="223"/>
        <v>1+8076,10229041349i</v>
      </c>
      <c r="R393" s="4">
        <f t="shared" si="231"/>
        <v>8076.1023523245422</v>
      </c>
      <c r="S393" s="4">
        <f t="shared" si="232"/>
        <v>1.5706725046887704</v>
      </c>
      <c r="T393" s="4" t="str">
        <f t="shared" si="224"/>
        <v>1+0,070665895041118i</v>
      </c>
      <c r="U393" s="4">
        <f t="shared" si="233"/>
        <v>1.0024937250287218</v>
      </c>
      <c r="V393" s="4">
        <f t="shared" si="234"/>
        <v>7.0548618867516039E-2</v>
      </c>
      <c r="W393" t="str">
        <f t="shared" si="225"/>
        <v>1-0,613419227787483i</v>
      </c>
      <c r="X393" s="4">
        <f t="shared" si="235"/>
        <v>1.1731509489487668</v>
      </c>
      <c r="Y393" s="4">
        <f t="shared" si="236"/>
        <v>-0.55022819319503524</v>
      </c>
      <c r="Z393" t="str">
        <f t="shared" si="226"/>
        <v>0,987350889359326+0,525945645904987i</v>
      </c>
      <c r="AA393" s="4">
        <f t="shared" si="237"/>
        <v>1.1186959377619399</v>
      </c>
      <c r="AB393" s="4">
        <f t="shared" si="238"/>
        <v>0.48945135757939645</v>
      </c>
      <c r="AC393" s="48" t="str">
        <f t="shared" si="239"/>
        <v>-0,0348281117378284-0,0239187866020904i</v>
      </c>
      <c r="AD393" s="20">
        <f t="shared" si="240"/>
        <v>-27.483360584651347</v>
      </c>
      <c r="AE393" s="44">
        <f t="shared" si="241"/>
        <v>-145.52001770975514</v>
      </c>
      <c r="AF393" t="str">
        <f t="shared" si="227"/>
        <v>-0,0000125211169631323</v>
      </c>
      <c r="AG393" t="str">
        <f t="shared" si="228"/>
        <v>0,00170764135366862i</v>
      </c>
      <c r="AH393">
        <f t="shared" si="242"/>
        <v>1.70764135366862E-3</v>
      </c>
      <c r="AI393">
        <f t="shared" si="243"/>
        <v>1.5707963267948966</v>
      </c>
      <c r="AJ393" t="str">
        <f t="shared" si="229"/>
        <v>1+2,73294098363862i</v>
      </c>
      <c r="AK393">
        <f t="shared" si="244"/>
        <v>2.910148865616951</v>
      </c>
      <c r="AL393">
        <f t="shared" si="245"/>
        <v>1.2200220564803064</v>
      </c>
      <c r="AM393" t="str">
        <f t="shared" si="230"/>
        <v>1+400,251629512892i</v>
      </c>
      <c r="AN393">
        <f t="shared" si="246"/>
        <v>400.25287872509466</v>
      </c>
      <c r="AO393">
        <f t="shared" si="247"/>
        <v>1.5682979036891365</v>
      </c>
      <c r="AP393" s="42" t="str">
        <f t="shared" si="248"/>
        <v>-0,34417042570028+0,94792986614554i</v>
      </c>
      <c r="AQ393">
        <f t="shared" si="249"/>
        <v>7.3313353224096892E-2</v>
      </c>
      <c r="AR393" s="44">
        <f t="shared" si="250"/>
        <v>109.95473615140914</v>
      </c>
      <c r="AS393" s="42" t="str">
        <f t="shared" si="251"/>
        <v>0,0346601382252286-0,024782468330666i</v>
      </c>
      <c r="AT393" s="20">
        <f t="shared" si="252"/>
        <v>-27.410047231427249</v>
      </c>
      <c r="AU393" s="44">
        <f t="shared" si="253"/>
        <v>-35.565281558346058</v>
      </c>
    </row>
    <row r="394" spans="14:47" x14ac:dyDescent="0.3">
      <c r="N394" s="8">
        <v>76</v>
      </c>
      <c r="O394" s="35">
        <f t="shared" si="254"/>
        <v>57543.993733715732</v>
      </c>
      <c r="P394" s="34" t="str">
        <f t="shared" si="222"/>
        <v>324,571428571429</v>
      </c>
      <c r="Q394" s="4" t="str">
        <f t="shared" si="223"/>
        <v>1+8264,21887872267i</v>
      </c>
      <c r="R394" s="4">
        <f t="shared" si="231"/>
        <v>8264.2189392244545</v>
      </c>
      <c r="S394" s="4">
        <f t="shared" si="232"/>
        <v>1.5706753232239852</v>
      </c>
      <c r="T394" s="4" t="str">
        <f t="shared" si="224"/>
        <v>1+0,0723119151888234i</v>
      </c>
      <c r="U394" s="4">
        <f t="shared" si="233"/>
        <v>1.0026110976237375</v>
      </c>
      <c r="V394" s="4">
        <f t="shared" si="234"/>
        <v>7.218626917325742E-2</v>
      </c>
      <c r="W394" t="str">
        <f t="shared" si="225"/>
        <v>1-0,627707597125203i</v>
      </c>
      <c r="X394" s="4">
        <f t="shared" si="235"/>
        <v>1.1806848976287856</v>
      </c>
      <c r="Y394" s="4">
        <f t="shared" si="236"/>
        <v>-0.5605439825633084</v>
      </c>
      <c r="Z394" t="str">
        <f t="shared" si="226"/>
        <v>0,986754755140696+0,538196493775149i</v>
      </c>
      <c r="AA394" s="4">
        <f t="shared" si="237"/>
        <v>1.1239841692411148</v>
      </c>
      <c r="AB394" s="4">
        <f t="shared" si="238"/>
        <v>0.49932065573021067</v>
      </c>
      <c r="AC394" s="48" t="str">
        <f t="shared" si="239"/>
        <v>-0,0345252224600135-0,0227800035129614i</v>
      </c>
      <c r="AD394" s="20">
        <f t="shared" si="240"/>
        <v>-27.667704121803567</v>
      </c>
      <c r="AE394" s="44">
        <f t="shared" si="241"/>
        <v>-146.58286907303605</v>
      </c>
      <c r="AF394" t="str">
        <f t="shared" si="227"/>
        <v>-0,0000125211169631323</v>
      </c>
      <c r="AG394" t="str">
        <f t="shared" si="228"/>
        <v>0,00174741743053792i</v>
      </c>
      <c r="AH394">
        <f t="shared" si="242"/>
        <v>1.74741743053792E-3</v>
      </c>
      <c r="AI394">
        <f t="shared" si="243"/>
        <v>1.5707963267948966</v>
      </c>
      <c r="AJ394" t="str">
        <f t="shared" si="229"/>
        <v>1+2,79659935687427i</v>
      </c>
      <c r="AK394">
        <f t="shared" si="244"/>
        <v>2.9700114415384973</v>
      </c>
      <c r="AL394">
        <f t="shared" si="245"/>
        <v>1.2273872834521442</v>
      </c>
      <c r="AM394" t="str">
        <f t="shared" si="230"/>
        <v>1+409,574687629496i</v>
      </c>
      <c r="AN394">
        <f t="shared" si="246"/>
        <v>409.57590840624312</v>
      </c>
      <c r="AO394">
        <f t="shared" si="247"/>
        <v>1.5683547745136077</v>
      </c>
      <c r="AP394" s="42" t="str">
        <f t="shared" si="248"/>
        <v>-0,330436273014456+0,931263367091996i</v>
      </c>
      <c r="AQ394">
        <f t="shared" si="249"/>
        <v>-0.10354620575749993</v>
      </c>
      <c r="AR394" s="44">
        <f t="shared" si="250"/>
        <v>109.5359981889865</v>
      </c>
      <c r="AS394" s="42" t="str">
        <f t="shared" si="251"/>
        <v>0,0326225686085298-0,0246247354576332i</v>
      </c>
      <c r="AT394" s="20">
        <f t="shared" si="252"/>
        <v>-27.771250327561066</v>
      </c>
      <c r="AU394" s="44">
        <f t="shared" si="253"/>
        <v>-37.046870884049547</v>
      </c>
    </row>
    <row r="395" spans="14:47" x14ac:dyDescent="0.3">
      <c r="N395" s="8">
        <v>77</v>
      </c>
      <c r="O395" s="35">
        <f t="shared" si="254"/>
        <v>58884.365535558936</v>
      </c>
      <c r="P395" s="34" t="str">
        <f t="shared" si="222"/>
        <v>324,571428571429</v>
      </c>
      <c r="Q395" s="4" t="str">
        <f t="shared" si="223"/>
        <v>1+8456,71726527122i</v>
      </c>
      <c r="R395" s="4">
        <f t="shared" si="231"/>
        <v>8456.7173243958168</v>
      </c>
      <c r="S395" s="4">
        <f t="shared" si="232"/>
        <v>1.5706780776015075</v>
      </c>
      <c r="T395" s="4" t="str">
        <f t="shared" si="224"/>
        <v>1+0,0739962760711232i</v>
      </c>
      <c r="U395" s="4">
        <f t="shared" si="233"/>
        <v>1.0027339870934833</v>
      </c>
      <c r="V395" s="4">
        <f t="shared" si="234"/>
        <v>7.3861663757404342E-2</v>
      </c>
      <c r="W395" t="str">
        <f t="shared" si="225"/>
        <v>1-0,642328785339611i</v>
      </c>
      <c r="X395" s="4">
        <f t="shared" si="235"/>
        <v>1.1885227252669004</v>
      </c>
      <c r="Y395" s="4">
        <f t="shared" si="236"/>
        <v>-0.57096353411768808</v>
      </c>
      <c r="Z395" t="str">
        <f t="shared" si="226"/>
        <v>0,986130525981899+0,550732700550182i</v>
      </c>
      <c r="AA395" s="4">
        <f t="shared" si="237"/>
        <v>1.1294954279361353</v>
      </c>
      <c r="AB395" s="4">
        <f t="shared" si="238"/>
        <v>0.50932930608392801</v>
      </c>
      <c r="AC395" s="48" t="str">
        <f t="shared" si="239"/>
        <v>-0,0342140576882784-0,0216647810668615i</v>
      </c>
      <c r="AD395" s="20">
        <f t="shared" si="240"/>
        <v>-27.85165557661934</v>
      </c>
      <c r="AE395" s="44">
        <f t="shared" si="241"/>
        <v>-147.65748360092758</v>
      </c>
      <c r="AF395" t="str">
        <f t="shared" si="227"/>
        <v>-0,0000125211169631323</v>
      </c>
      <c r="AG395" t="str">
        <f t="shared" si="228"/>
        <v>0,00178812001125869i</v>
      </c>
      <c r="AH395">
        <f t="shared" si="242"/>
        <v>1.78812001125869E-3</v>
      </c>
      <c r="AI395">
        <f t="shared" si="243"/>
        <v>1.5707963267948966</v>
      </c>
      <c r="AJ395" t="str">
        <f t="shared" si="229"/>
        <v>1+2,86174052410631i</v>
      </c>
      <c r="AK395">
        <f t="shared" si="244"/>
        <v>3.0314285126508027</v>
      </c>
      <c r="AL395">
        <f t="shared" si="245"/>
        <v>1.2346225389486933</v>
      </c>
      <c r="AM395" t="str">
        <f t="shared" si="230"/>
        <v>1+419,114907666842i</v>
      </c>
      <c r="AN395">
        <f t="shared" si="246"/>
        <v>419.1161006553977</v>
      </c>
      <c r="AO395">
        <f t="shared" si="247"/>
        <v>1.5684103508153282</v>
      </c>
      <c r="AP395" s="42" t="str">
        <f t="shared" si="248"/>
        <v>-0,317182558249432+0,914696572315037i</v>
      </c>
      <c r="AQ395">
        <f t="shared" si="249"/>
        <v>-0.28133154602246918</v>
      </c>
      <c r="AR395" s="44">
        <f t="shared" si="250"/>
        <v>109.12463287286491</v>
      </c>
      <c r="AS395" s="42" t="str">
        <f t="shared" si="251"/>
        <v>0,0306688033274757-0,0244237906097562i</v>
      </c>
      <c r="AT395" s="20">
        <f t="shared" si="252"/>
        <v>-28.132987122641811</v>
      </c>
      <c r="AU395" s="44">
        <f t="shared" si="253"/>
        <v>-38.532850728062691</v>
      </c>
    </row>
    <row r="396" spans="14:47" x14ac:dyDescent="0.3">
      <c r="N396" s="8">
        <v>78</v>
      </c>
      <c r="O396" s="35">
        <f t="shared" si="254"/>
        <v>60255.95860743591</v>
      </c>
      <c r="P396" s="34" t="str">
        <f t="shared" si="222"/>
        <v>324,571428571429</v>
      </c>
      <c r="Q396" s="4" t="str">
        <f t="shared" si="223"/>
        <v>1+8653,69951525173i</v>
      </c>
      <c r="R396" s="4">
        <f t="shared" si="231"/>
        <v>8653.6995730304861</v>
      </c>
      <c r="S396" s="4">
        <f t="shared" si="232"/>
        <v>1.5706807692817444</v>
      </c>
      <c r="T396" s="4" t="str">
        <f t="shared" si="224"/>
        <v>1+0,0757198707584526i</v>
      </c>
      <c r="U396" s="4">
        <f t="shared" si="233"/>
        <v>1.0028626520255288</v>
      </c>
      <c r="V396" s="4">
        <f t="shared" si="234"/>
        <v>7.5575653293306053E-2</v>
      </c>
      <c r="W396" t="str">
        <f t="shared" si="225"/>
        <v>1-0,657290544778234i</v>
      </c>
      <c r="X396" s="4">
        <f t="shared" si="235"/>
        <v>1.1966749183695913</v>
      </c>
      <c r="Y396" s="4">
        <f t="shared" si="236"/>
        <v>-0.58148332239708778</v>
      </c>
      <c r="Z396" t="str">
        <f t="shared" si="226"/>
        <v>0,985476877809196+0,563560913092858i</v>
      </c>
      <c r="AA396" s="4">
        <f t="shared" si="237"/>
        <v>1.1352381157548477</v>
      </c>
      <c r="AB396" s="4">
        <f t="shared" si="238"/>
        <v>0.51947595345153519</v>
      </c>
      <c r="AC396" s="48" t="str">
        <f t="shared" si="239"/>
        <v>-0,0338946187699198-0,0205729943525489i</v>
      </c>
      <c r="AD396" s="20">
        <f t="shared" si="240"/>
        <v>-28.035216892122683</v>
      </c>
      <c r="AE396" s="44">
        <f t="shared" si="241"/>
        <v>-148.74353299646035</v>
      </c>
      <c r="AF396" t="str">
        <f t="shared" si="227"/>
        <v>-0,0000125211169631323</v>
      </c>
      <c r="AG396" t="str">
        <f t="shared" si="228"/>
        <v>0,00182977067687801i</v>
      </c>
      <c r="AH396">
        <f t="shared" si="242"/>
        <v>1.8297706768780099E-3</v>
      </c>
      <c r="AI396">
        <f t="shared" si="243"/>
        <v>1.5707963267948966</v>
      </c>
      <c r="AJ396" t="str">
        <f t="shared" si="229"/>
        <v>1+2,92839902404384i</v>
      </c>
      <c r="AK396">
        <f t="shared" si="244"/>
        <v>3.0944338487065637</v>
      </c>
      <c r="AL396">
        <f t="shared" si="245"/>
        <v>1.2417286281884092</v>
      </c>
      <c r="AM396" t="str">
        <f t="shared" si="230"/>
        <v>1+428,877347975876i</v>
      </c>
      <c r="AN396">
        <f t="shared" si="246"/>
        <v>428.87851380877152</v>
      </c>
      <c r="AO396">
        <f t="shared" si="247"/>
        <v>1.5684646620602147</v>
      </c>
      <c r="AP396" s="42" t="str">
        <f t="shared" si="248"/>
        <v>-0,304397831252236+0,898241309894962i</v>
      </c>
      <c r="AQ396">
        <f t="shared" si="249"/>
        <v>-0.46001009603202148</v>
      </c>
      <c r="AR396" s="44">
        <f t="shared" si="250"/>
        <v>108.720595755698</v>
      </c>
      <c r="AS396" s="42" t="str">
        <f t="shared" si="251"/>
        <v>0,0287969618403801-0,0241831718990027i</v>
      </c>
      <c r="AT396" s="20">
        <f t="shared" si="252"/>
        <v>-28.495226988154712</v>
      </c>
      <c r="AU396" s="44">
        <f t="shared" si="253"/>
        <v>-40.022937240762296</v>
      </c>
    </row>
    <row r="397" spans="14:47" x14ac:dyDescent="0.3">
      <c r="N397" s="8">
        <v>79</v>
      </c>
      <c r="O397" s="35">
        <f t="shared" si="254"/>
        <v>61659.500186148245</v>
      </c>
      <c r="P397" s="34" t="str">
        <f t="shared" si="222"/>
        <v>324,571428571429</v>
      </c>
      <c r="Q397" s="4" t="str">
        <f t="shared" si="223"/>
        <v>1+8855,27007126043i</v>
      </c>
      <c r="R397" s="4">
        <f t="shared" si="231"/>
        <v>8855.2701277239812</v>
      </c>
      <c r="S397" s="4">
        <f t="shared" si="232"/>
        <v>1.5706833996918605</v>
      </c>
      <c r="T397" s="4" t="str">
        <f t="shared" si="224"/>
        <v>1+0,0774836131235288i</v>
      </c>
      <c r="U397" s="4">
        <f t="shared" si="233"/>
        <v>1.0029973630586855</v>
      </c>
      <c r="V397" s="4">
        <f t="shared" si="234"/>
        <v>7.7329106256030303E-2</v>
      </c>
      <c r="W397" t="str">
        <f t="shared" si="225"/>
        <v>1-0,672600808363965i</v>
      </c>
      <c r="X397" s="4">
        <f t="shared" si="235"/>
        <v>1.2051522092299625</v>
      </c>
      <c r="Y397" s="4">
        <f t="shared" si="236"/>
        <v>-0.59209961147830836</v>
      </c>
      <c r="Z397" t="str">
        <f t="shared" si="226"/>
        <v>0,984792424147177+0,576687933091263i</v>
      </c>
      <c r="AA397" s="4">
        <f t="shared" si="237"/>
        <v>1.1412208773198755</v>
      </c>
      <c r="AB397" s="4">
        <f t="shared" si="238"/>
        <v>0.52975904890211556</v>
      </c>
      <c r="AC397" s="48" t="str">
        <f t="shared" si="239"/>
        <v>-0,0335669250553466-0,0195045364576612i</v>
      </c>
      <c r="AD397" s="20">
        <f t="shared" si="240"/>
        <v>-28.218390845076375</v>
      </c>
      <c r="AE397" s="44">
        <f t="shared" si="241"/>
        <v>-149.8406647816127</v>
      </c>
      <c r="AF397" t="str">
        <f t="shared" si="227"/>
        <v>-0,0000125211169631323</v>
      </c>
      <c r="AG397" t="str">
        <f t="shared" si="228"/>
        <v>0,00187239151113007i</v>
      </c>
      <c r="AH397">
        <f t="shared" si="242"/>
        <v>1.8723915111300701E-3</v>
      </c>
      <c r="AI397">
        <f t="shared" si="243"/>
        <v>1.5707963267948966</v>
      </c>
      <c r="AJ397" t="str">
        <f t="shared" si="229"/>
        <v>1+2,99661019990586i</v>
      </c>
      <c r="AK397">
        <f t="shared" si="244"/>
        <v>3.1590619953049099</v>
      </c>
      <c r="AL397">
        <f t="shared" si="245"/>
        <v>1.2487064473286047</v>
      </c>
      <c r="AM397" t="str">
        <f t="shared" si="230"/>
        <v>1+438,867184731667i</v>
      </c>
      <c r="AN397">
        <f t="shared" si="246"/>
        <v>438.86832402703567</v>
      </c>
      <c r="AO397">
        <f t="shared" si="247"/>
        <v>1.5685177370435264</v>
      </c>
      <c r="AP397" s="42" t="str">
        <f t="shared" si="248"/>
        <v>-0,292070478513662+0,881908607290288i</v>
      </c>
      <c r="AQ397">
        <f t="shared" si="249"/>
        <v>-0.63955007566664523</v>
      </c>
      <c r="AR397" s="44">
        <f t="shared" si="250"/>
        <v>108.32383714130063</v>
      </c>
      <c r="AS397" s="42" t="str">
        <f t="shared" si="251"/>
        <v>0,0270051264463659-0,0239062608302019i</v>
      </c>
      <c r="AT397" s="20">
        <f t="shared" si="252"/>
        <v>-28.857940920743033</v>
      </c>
      <c r="AU397" s="44">
        <f t="shared" si="253"/>
        <v>-41.516827640312108</v>
      </c>
    </row>
    <row r="398" spans="14:47" x14ac:dyDescent="0.3">
      <c r="N398" s="8">
        <v>80</v>
      </c>
      <c r="O398" s="35">
        <f t="shared" si="254"/>
        <v>63095.734448019342</v>
      </c>
      <c r="P398" s="34" t="str">
        <f t="shared" si="222"/>
        <v>324,571428571429</v>
      </c>
      <c r="Q398" s="4" t="str">
        <f t="shared" si="223"/>
        <v>1+9061,53580867429i</v>
      </c>
      <c r="R398" s="4">
        <f t="shared" si="231"/>
        <v>9061.5358638525759</v>
      </c>
      <c r="S398" s="4">
        <f t="shared" si="232"/>
        <v>1.5706859702265339</v>
      </c>
      <c r="T398" s="4" t="str">
        <f t="shared" si="224"/>
        <v>1+0,0792884383259i</v>
      </c>
      <c r="U398" s="4">
        <f t="shared" si="233"/>
        <v>1.0031384034380102</v>
      </c>
      <c r="V398" s="4">
        <f t="shared" si="234"/>
        <v>7.9122909196139846E-2</v>
      </c>
      <c r="W398" t="str">
        <f t="shared" si="225"/>
        <v>1-0,688267693801215i</v>
      </c>
      <c r="X398" s="4">
        <f t="shared" si="235"/>
        <v>1.2139655754305569</v>
      </c>
      <c r="Y398" s="4">
        <f t="shared" si="236"/>
        <v>-0.60280845803350913</v>
      </c>
      <c r="Z398" t="str">
        <f t="shared" si="226"/>
        <v>0,98407571317786+0,590120720665162i</v>
      </c>
      <c r="AA398" s="4">
        <f t="shared" si="237"/>
        <v>1.1474526021692069</v>
      </c>
      <c r="AB398" s="4">
        <f t="shared" si="238"/>
        <v>0.54017684609492034</v>
      </c>
      <c r="AC398" s="48" t="str">
        <f t="shared" si="239"/>
        <v>-0,0332310147838499-0,0184593172342617i</v>
      </c>
      <c r="AD398" s="20">
        <f t="shared" si="240"/>
        <v>-28.401181065424133</v>
      </c>
      <c r="AE398" s="44">
        <f t="shared" si="241"/>
        <v>-150.94850224669142</v>
      </c>
      <c r="AF398" t="str">
        <f t="shared" si="227"/>
        <v>-0,0000125211169631323</v>
      </c>
      <c r="AG398" t="str">
        <f t="shared" si="228"/>
        <v>0,00191600511214537i</v>
      </c>
      <c r="AH398">
        <f t="shared" si="242"/>
        <v>1.91600511214537E-3</v>
      </c>
      <c r="AI398">
        <f t="shared" si="243"/>
        <v>1.5707963267948966</v>
      </c>
      <c r="AJ398" t="str">
        <f t="shared" si="229"/>
        <v>1+3,06641021816069i</v>
      </c>
      <c r="AK398">
        <f t="shared" si="244"/>
        <v>3.2253482953070804</v>
      </c>
      <c r="AL398">
        <f t="shared" si="245"/>
        <v>1.2555569772041133</v>
      </c>
      <c r="AM398" t="str">
        <f t="shared" si="230"/>
        <v>1+449,089714677898i</v>
      </c>
      <c r="AN398">
        <f t="shared" si="246"/>
        <v>449.09082803980289</v>
      </c>
      <c r="AO398">
        <f t="shared" si="247"/>
        <v>1.5685696039051245</v>
      </c>
      <c r="AP398" s="42" t="str">
        <f t="shared" si="248"/>
        <v>-0,280188767372113+0,86570871157764i</v>
      </c>
      <c r="AQ398">
        <f t="shared" si="249"/>
        <v>-0.81992050590650156</v>
      </c>
      <c r="AR398" s="44">
        <f t="shared" si="250"/>
        <v>107.93430244427191</v>
      </c>
      <c r="AS398" s="42" t="str">
        <f t="shared" si="251"/>
        <v>0,025291348810287-0,0235962856505456i</v>
      </c>
      <c r="AT398" s="20">
        <f t="shared" si="252"/>
        <v>-29.221101571330635</v>
      </c>
      <c r="AU398" s="44">
        <f t="shared" si="253"/>
        <v>-43.014199802419476</v>
      </c>
    </row>
    <row r="399" spans="14:47" x14ac:dyDescent="0.3">
      <c r="N399" s="8">
        <v>81</v>
      </c>
      <c r="O399" s="35">
        <f t="shared" si="254"/>
        <v>64565.422903465682</v>
      </c>
      <c r="P399" s="34" t="str">
        <f t="shared" si="222"/>
        <v>324,571428571429</v>
      </c>
      <c r="Q399" s="4" t="str">
        <f t="shared" si="223"/>
        <v>1+9272,60609231753i</v>
      </c>
      <c r="R399" s="4">
        <f t="shared" si="231"/>
        <v>9272.6061462398011</v>
      </c>
      <c r="S399" s="4">
        <f t="shared" si="232"/>
        <v>1.5706884822486959</v>
      </c>
      <c r="T399" s="4" t="str">
        <f t="shared" si="224"/>
        <v>1+0,0811353033077784i</v>
      </c>
      <c r="U399" s="4">
        <f t="shared" si="233"/>
        <v>1.0032860695947319</v>
      </c>
      <c r="V399" s="4">
        <f t="shared" si="234"/>
        <v>8.095796701013927E-2</v>
      </c>
      <c r="W399" t="str">
        <f t="shared" si="225"/>
        <v>1-0,704299507880021i</v>
      </c>
      <c r="X399" s="4">
        <f t="shared" si="235"/>
        <v>1.2231262391102726</v>
      </c>
      <c r="Y399" s="4">
        <f t="shared" si="236"/>
        <v>-0.61360571535324693</v>
      </c>
      <c r="Z399" t="str">
        <f t="shared" si="226"/>
        <v>0,983325224661187+0,603866398056329i</v>
      </c>
      <c r="AA399" s="4">
        <f t="shared" si="237"/>
        <v>1.1539424267078919</v>
      </c>
      <c r="AB399" s="4">
        <f t="shared" si="238"/>
        <v>0.55072739820426586</v>
      </c>
      <c r="AC399" s="48" t="str">
        <f t="shared" si="239"/>
        <v>-0,0328869459162359-0,0174372619732088i</v>
      </c>
      <c r="AD399" s="20">
        <f t="shared" si="240"/>
        <v>-28.583592051262393</v>
      </c>
      <c r="AE399" s="44">
        <f t="shared" si="241"/>
        <v>-152.06664448919076</v>
      </c>
      <c r="AF399" t="str">
        <f t="shared" si="227"/>
        <v>-0,0000125211169631323</v>
      </c>
      <c r="AG399" t="str">
        <f t="shared" si="228"/>
        <v>0,00196063460443246i</v>
      </c>
      <c r="AH399">
        <f t="shared" si="242"/>
        <v>1.96063460443246E-3</v>
      </c>
      <c r="AI399">
        <f t="shared" si="243"/>
        <v>1.5707963267948966</v>
      </c>
      <c r="AJ399" t="str">
        <f t="shared" si="229"/>
        <v>1+3,13783608770194i</v>
      </c>
      <c r="AK399">
        <f t="shared" si="244"/>
        <v>3.2933289105834263</v>
      </c>
      <c r="AL399">
        <f t="shared" si="245"/>
        <v>1.2622812772331145</v>
      </c>
      <c r="AM399" t="str">
        <f t="shared" si="230"/>
        <v>1+459,550357935257i</v>
      </c>
      <c r="AN399">
        <f t="shared" si="246"/>
        <v>459.55144595401157</v>
      </c>
      <c r="AO399">
        <f t="shared" si="247"/>
        <v>1.5686202901443891</v>
      </c>
      <c r="AP399" s="42" t="str">
        <f t="shared" si="248"/>
        <v>-0,268740887214168+0,849651111394698i</v>
      </c>
      <c r="AQ399">
        <f t="shared" si="249"/>
        <v>-1.0010912155812237</v>
      </c>
      <c r="AR399" s="44">
        <f t="shared" si="250"/>
        <v>107.55193254001972</v>
      </c>
      <c r="AS399" s="42" t="str">
        <f t="shared" si="251"/>
        <v>0,023653656038511-0,0232563248948411i</v>
      </c>
      <c r="AT399" s="20">
        <f t="shared" si="252"/>
        <v>-29.584683266843616</v>
      </c>
      <c r="AU399" s="44">
        <f t="shared" si="253"/>
        <v>-44.514711949170952</v>
      </c>
    </row>
    <row r="400" spans="14:47" x14ac:dyDescent="0.3">
      <c r="N400" s="8">
        <v>82</v>
      </c>
      <c r="O400" s="35">
        <f t="shared" si="254"/>
        <v>66069.344800759733</v>
      </c>
      <c r="P400" s="34" t="str">
        <f t="shared" si="222"/>
        <v>324,571428571429</v>
      </c>
      <c r="Q400" s="4" t="str">
        <f t="shared" si="223"/>
        <v>1+9488,59283444837i</v>
      </c>
      <c r="R400" s="4">
        <f t="shared" si="231"/>
        <v>9488.5928871432225</v>
      </c>
      <c r="S400" s="4">
        <f t="shared" si="232"/>
        <v>1.570690937090254</v>
      </c>
      <c r="T400" s="4" t="str">
        <f t="shared" si="224"/>
        <v>1+0,0830251873014232i</v>
      </c>
      <c r="U400" s="4">
        <f t="shared" si="233"/>
        <v>1.0034406717521651</v>
      </c>
      <c r="V400" s="4">
        <f t="shared" si="234"/>
        <v>8.2835203206868033E-2</v>
      </c>
      <c r="W400" t="str">
        <f t="shared" si="225"/>
        <v>1-0,72070475088041i</v>
      </c>
      <c r="X400" s="4">
        <f t="shared" si="235"/>
        <v>1.23264566601339</v>
      </c>
      <c r="Y400" s="4">
        <f t="shared" si="236"/>
        <v>-0.62448703835220676</v>
      </c>
      <c r="Z400" t="str">
        <f t="shared" si="226"/>
        <v>0,982539366710393+0,617932253404863i</v>
      </c>
      <c r="AA400" s="4">
        <f t="shared" si="237"/>
        <v>1.1606997359066091</v>
      </c>
      <c r="AB400" s="4">
        <f t="shared" si="238"/>
        <v>0.56140855549188384</v>
      </c>
      <c r="AC400" s="48" t="str">
        <f t="shared" si="239"/>
        <v>-0,0325347969037665-0,0164383099890888i</v>
      </c>
      <c r="AD400" s="20">
        <f t="shared" si="240"/>
        <v>-28.765629178917958</v>
      </c>
      <c r="AE400" s="44">
        <f t="shared" si="241"/>
        <v>-153.19466654628465</v>
      </c>
      <c r="AF400" t="str">
        <f t="shared" si="227"/>
        <v>-0,0000125211169631323</v>
      </c>
      <c r="AG400" t="str">
        <f t="shared" si="228"/>
        <v>0,00200630365113889i</v>
      </c>
      <c r="AH400">
        <f t="shared" si="242"/>
        <v>2.0063036511388898E-3</v>
      </c>
      <c r="AI400">
        <f t="shared" si="243"/>
        <v>1.5707963267948966</v>
      </c>
      <c r="AJ400" t="str">
        <f t="shared" si="229"/>
        <v>1+3,21092567947106i</v>
      </c>
      <c r="AK400">
        <f t="shared" si="244"/>
        <v>3.3630408441002744</v>
      </c>
      <c r="AL400">
        <f t="shared" si="245"/>
        <v>1.2688804795024271</v>
      </c>
      <c r="AM400" t="str">
        <f t="shared" si="230"/>
        <v>1+470,254660875261i</v>
      </c>
      <c r="AN400">
        <f t="shared" si="246"/>
        <v>470.2557241277417</v>
      </c>
      <c r="AO400">
        <f t="shared" si="247"/>
        <v>1.5686698226347926</v>
      </c>
      <c r="AP400" s="42" t="str">
        <f t="shared" si="248"/>
        <v>-0,257714987707043+0,833744560303391i</v>
      </c>
      <c r="AQ400">
        <f t="shared" si="249"/>
        <v>-1.1830328453946215</v>
      </c>
      <c r="AR400" s="44">
        <f t="shared" si="250"/>
        <v>107.17666410448376</v>
      </c>
      <c r="AS400" s="42" t="str">
        <f t="shared" si="251"/>
        <v>0,022090056318089-0,0228893110823283i</v>
      </c>
      <c r="AT400" s="20">
        <f t="shared" si="252"/>
        <v>-29.948662024312583</v>
      </c>
      <c r="AU400" s="44">
        <f t="shared" si="253"/>
        <v>-46.018002441800853</v>
      </c>
    </row>
    <row r="401" spans="14:47" x14ac:dyDescent="0.3">
      <c r="N401" s="8">
        <v>83</v>
      </c>
      <c r="O401" s="35">
        <f t="shared" si="254"/>
        <v>67608.297539198305</v>
      </c>
      <c r="P401" s="34" t="str">
        <f t="shared" si="222"/>
        <v>324,571428571429</v>
      </c>
      <c r="Q401" s="4" t="str">
        <f t="shared" si="223"/>
        <v>1+9709,61055409639i</v>
      </c>
      <c r="R401" s="4">
        <f t="shared" si="231"/>
        <v>9709.6106055917626</v>
      </c>
      <c r="S401" s="4">
        <f t="shared" si="232"/>
        <v>1.570693336052797</v>
      </c>
      <c r="T401" s="4" t="str">
        <f t="shared" si="224"/>
        <v>1+0,0849590923483434i</v>
      </c>
      <c r="U401" s="4">
        <f t="shared" si="233"/>
        <v>1.0036025345587039</v>
      </c>
      <c r="V401" s="4">
        <f t="shared" si="234"/>
        <v>8.4755560169055374E-2</v>
      </c>
      <c r="W401" t="str">
        <f t="shared" si="225"/>
        <v>1-0,73749212107937i</v>
      </c>
      <c r="X401" s="4">
        <f t="shared" si="235"/>
        <v>1.242535564341781</v>
      </c>
      <c r="Y401" s="4">
        <f t="shared" si="236"/>
        <v>-0.63544788956706399</v>
      </c>
      <c r="Z401" t="str">
        <f t="shared" si="226"/>
        <v>0,981716472415405+0,632325744613451i</v>
      </c>
      <c r="AA401" s="4">
        <f t="shared" si="237"/>
        <v>1.1677341647449995</v>
      </c>
      <c r="AB401" s="4">
        <f t="shared" si="238"/>
        <v>0.57221796357987442</v>
      </c>
      <c r="AC401" s="48" t="str">
        <f t="shared" si="239"/>
        <v>-0,0321746673826872-0,0154624131186459i</v>
      </c>
      <c r="AD401" s="20">
        <f t="shared" si="240"/>
        <v>-28.947298707731409</v>
      </c>
      <c r="AE401" s="44">
        <f t="shared" si="241"/>
        <v>-154.33211962458026</v>
      </c>
      <c r="AF401" t="str">
        <f t="shared" si="227"/>
        <v>-0,0000125211169631323</v>
      </c>
      <c r="AG401" t="str">
        <f t="shared" si="228"/>
        <v>0,00205303646659772i</v>
      </c>
      <c r="AH401">
        <f t="shared" si="242"/>
        <v>2.0530364665977199E-3</v>
      </c>
      <c r="AI401">
        <f t="shared" si="243"/>
        <v>1.5707963267948966</v>
      </c>
      <c r="AJ401" t="str">
        <f t="shared" si="229"/>
        <v>1+3,28571774653705i</v>
      </c>
      <c r="AK401">
        <f t="shared" si="244"/>
        <v>3.4345219623564076</v>
      </c>
      <c r="AL401">
        <f t="shared" si="245"/>
        <v>1.2753557830424429</v>
      </c>
      <c r="AM401" t="str">
        <f t="shared" si="230"/>
        <v>1+481,208299061017i</v>
      </c>
      <c r="AN401">
        <f t="shared" si="246"/>
        <v>481.20933811096927</v>
      </c>
      <c r="AO401">
        <f t="shared" si="247"/>
        <v>1.5687182276381444</v>
      </c>
      <c r="AP401" s="42" t="str">
        <f t="shared" si="248"/>
        <v>-0,247099214117147+0,817997101309154i</v>
      </c>
      <c r="AQ401">
        <f t="shared" si="249"/>
        <v>-1.3657168494263701</v>
      </c>
      <c r="AR401" s="44">
        <f t="shared" si="250"/>
        <v>106.80842994297413</v>
      </c>
      <c r="AS401" s="42" t="str">
        <f t="shared" si="251"/>
        <v>0,0205985441350396-0,0224980345246522i</v>
      </c>
      <c r="AT401" s="20">
        <f t="shared" si="252"/>
        <v>-30.313015557157787</v>
      </c>
      <c r="AU401" s="44">
        <f t="shared" si="253"/>
        <v>-47.523689681606037</v>
      </c>
    </row>
    <row r="402" spans="14:47" x14ac:dyDescent="0.3">
      <c r="N402" s="8">
        <v>84</v>
      </c>
      <c r="O402" s="35">
        <f t="shared" si="254"/>
        <v>69183.097091893651</v>
      </c>
      <c r="P402" s="34" t="str">
        <f t="shared" si="222"/>
        <v>324,571428571429</v>
      </c>
      <c r="Q402" s="4" t="str">
        <f t="shared" si="223"/>
        <v>1+9935,77643778206i</v>
      </c>
      <c r="R402" s="4">
        <f t="shared" si="231"/>
        <v>9935.7764881052535</v>
      </c>
      <c r="S402" s="4">
        <f t="shared" si="232"/>
        <v>1.570695680408287</v>
      </c>
      <c r="T402" s="4" t="str">
        <f t="shared" si="224"/>
        <v>1+0,086938043830593i</v>
      </c>
      <c r="U402" s="4">
        <f t="shared" si="233"/>
        <v>1.0037719977490358</v>
      </c>
      <c r="V402" s="4">
        <f t="shared" si="234"/>
        <v>8.6719999409187204E-2</v>
      </c>
      <c r="W402" t="str">
        <f t="shared" si="225"/>
        <v>1-0,754670519362787i</v>
      </c>
      <c r="X402" s="4">
        <f t="shared" si="235"/>
        <v>1.252807883434367</v>
      </c>
      <c r="Y402" s="4">
        <f t="shared" si="236"/>
        <v>-0.64648354614767467</v>
      </c>
      <c r="Z402" t="str">
        <f t="shared" si="226"/>
        <v>0,980854796307094+0,647054503301652i</v>
      </c>
      <c r="AA402" s="4">
        <f t="shared" si="237"/>
        <v>1.1750555994001213</v>
      </c>
      <c r="AB402" s="4">
        <f t="shared" si="238"/>
        <v>0.58315306247537657</v>
      </c>
      <c r="AC402" s="48" t="str">
        <f t="shared" si="239"/>
        <v>-0,0318066787836003-0,0145095341368943i</v>
      </c>
      <c r="AD402" s="20">
        <f t="shared" si="240"/>
        <v>-29.128607779176754</v>
      </c>
      <c r="AE402" s="44">
        <f t="shared" si="241"/>
        <v>-155.47853143018116</v>
      </c>
      <c r="AF402" t="str">
        <f t="shared" si="227"/>
        <v>-0,0000125211169631323</v>
      </c>
      <c r="AG402" t="str">
        <f t="shared" si="228"/>
        <v>0,00210085782916628i</v>
      </c>
      <c r="AH402">
        <f t="shared" si="242"/>
        <v>2.1008578291662802E-3</v>
      </c>
      <c r="AI402">
        <f t="shared" si="243"/>
        <v>1.5707963267948966</v>
      </c>
      <c r="AJ402" t="str">
        <f t="shared" si="229"/>
        <v>1+3,36225194464387i</v>
      </c>
      <c r="AK402">
        <f t="shared" si="244"/>
        <v>3.5078110181794977</v>
      </c>
      <c r="AL402">
        <f t="shared" si="245"/>
        <v>1.2817084482998318</v>
      </c>
      <c r="AM402" t="str">
        <f t="shared" si="230"/>
        <v>1+492,417080256479i</v>
      </c>
      <c r="AN402">
        <f t="shared" si="246"/>
        <v>492.41809565481617</v>
      </c>
      <c r="AO402">
        <f t="shared" si="247"/>
        <v>1.56876553081851</v>
      </c>
      <c r="AP402" s="42" t="str">
        <f t="shared" si="248"/>
        <v>-0,23688173978528+0,802416092291083i</v>
      </c>
      <c r="AQ402">
        <f t="shared" si="249"/>
        <v>-1.5491154943078849</v>
      </c>
      <c r="AR402" s="44">
        <f t="shared" si="250"/>
        <v>106.44715930765886</v>
      </c>
      <c r="AS402" s="42" t="str">
        <f t="shared" si="251"/>
        <v>0,0191771050901416-0,0220851472084728i</v>
      </c>
      <c r="AT402" s="20">
        <f t="shared" si="252"/>
        <v>-30.677723273484641</v>
      </c>
      <c r="AU402" s="44">
        <f t="shared" si="253"/>
        <v>-49.031372122522264</v>
      </c>
    </row>
    <row r="403" spans="14:47" x14ac:dyDescent="0.3">
      <c r="N403" s="8">
        <v>85</v>
      </c>
      <c r="O403" s="35">
        <f t="shared" si="254"/>
        <v>70794.578438413781</v>
      </c>
      <c r="P403" s="34" t="str">
        <f t="shared" ref="P403:P466" si="255">COMPLEX(Adc,0)</f>
        <v>324,571428571429</v>
      </c>
      <c r="Q403" s="4" t="str">
        <f t="shared" ref="Q403:Q466" si="256">IMSUM(COMPLEX(1,0),IMDIV(COMPLEX(0,2*PI()*O403),COMPLEX(wp_lf,0)))</f>
        <v>1+10167,2104016506i</v>
      </c>
      <c r="R403" s="4">
        <f t="shared" si="231"/>
        <v>10167.210450828296</v>
      </c>
      <c r="S403" s="4">
        <f t="shared" si="232"/>
        <v>1.570697971399732</v>
      </c>
      <c r="T403" s="4" t="str">
        <f t="shared" ref="T403:T466" si="257">IMSUM(COMPLEX(1,0),IMDIV(COMPLEX(0,2*PI()*O403),COMPLEX(wz_esr,0)))</f>
        <v>1+0,0889630910144428i</v>
      </c>
      <c r="U403" s="4">
        <f t="shared" si="233"/>
        <v>1.0039494168347547</v>
      </c>
      <c r="V403" s="4">
        <f t="shared" si="234"/>
        <v>8.8729501818774537E-2</v>
      </c>
      <c r="W403" t="str">
        <f t="shared" ref="W403:W466" si="258">IMSUB(COMPLEX(1,0),IMDIV(COMPLEX(0,2*PI()*O403),COMPLEX(wz_rhp,0)))</f>
        <v>1-0,772249053944816i</v>
      </c>
      <c r="X403" s="4">
        <f t="shared" si="235"/>
        <v>1.2634748123008481</v>
      </c>
      <c r="Y403" s="4">
        <f t="shared" si="236"/>
        <v>-0.65758910783417035</v>
      </c>
      <c r="Z403" t="str">
        <f t="shared" ref="Z403:Z466" si="259">IMSUM(COMPLEX(1,0),IMDIV(COMPLEX(0,2*PI()*O403),COMPLEX(Q*(wsl/2),0)),IMDIV(IMPOWER(COMPLEX(0,2*PI()*O403),2),IMPOWER(COMPLEX(wsl/2,0),2)))</f>
        <v>0,979952510654909+0,662126338852285i</v>
      </c>
      <c r="AA403" s="4">
        <f t="shared" si="237"/>
        <v>1.1826741781829813</v>
      </c>
      <c r="AB403" s="4">
        <f t="shared" si="238"/>
        <v>0.59421108639520304</v>
      </c>
      <c r="AC403" s="48" t="str">
        <f t="shared" si="239"/>
        <v>-0,0314309748450609-0,0135796450963964i</v>
      </c>
      <c r="AD403" s="20">
        <f t="shared" si="240"/>
        <v>-29.30956440998736</v>
      </c>
      <c r="AE403" s="44">
        <f t="shared" si="241"/>
        <v>-156.63340660145039</v>
      </c>
      <c r="AF403" t="str">
        <f t="shared" ref="AF403:AF466" si="260">COMPLEX(Adc_ea,0)</f>
        <v>-0,0000125211169631323</v>
      </c>
      <c r="AG403" t="str">
        <f t="shared" ref="AG403:AG466" si="261">COMPLEX(0,2*PI()*O403*wp0_ea)</f>
        <v>0,00214979309436401i</v>
      </c>
      <c r="AH403">
        <f t="shared" si="242"/>
        <v>2.1497930943640102E-3</v>
      </c>
      <c r="AI403">
        <f t="shared" si="243"/>
        <v>1.5707963267948966</v>
      </c>
      <c r="AJ403" t="str">
        <f t="shared" ref="AJ403:AJ466" si="262">IMSUM(COMPLEX(1,0),IMDIV(COMPLEX(0,2*PI()*O403),COMPLEX(wp1_ea,0)))</f>
        <v>1+3,4405688532364i</v>
      </c>
      <c r="AK403">
        <f t="shared" si="244"/>
        <v>3.5829476738937225</v>
      </c>
      <c r="AL403">
        <f t="shared" si="245"/>
        <v>1.2879397918142999</v>
      </c>
      <c r="AM403" t="str">
        <f t="shared" ref="AM403:AM466" si="263">IMSUM(COMPLEX(1,0),IMDIV(COMPLEX(0,2*PI()*O403),COMPLEX(wz_ea,0)))</f>
        <v>1+503,886947505804i</v>
      </c>
      <c r="AN403">
        <f t="shared" si="246"/>
        <v>503.88793979089934</v>
      </c>
      <c r="AO403">
        <f t="shared" si="247"/>
        <v>1.5688117572558149</v>
      </c>
      <c r="AP403" s="42" t="str">
        <f t="shared" si="248"/>
        <v>-0,227050795842755+0,787008232116813i</v>
      </c>
      <c r="AQ403">
        <f t="shared" si="249"/>
        <v>-1.7332018562650893</v>
      </c>
      <c r="AR403" s="44">
        <f t="shared" si="250"/>
        <v>106.09277820334313</v>
      </c>
      <c r="AS403" s="42" t="str">
        <f t="shared" si="251"/>
        <v>0,0178237203327734-0,0216531667201204i</v>
      </c>
      <c r="AT403" s="20">
        <f t="shared" si="252"/>
        <v>-31.04276626625245</v>
      </c>
      <c r="AU403" s="44">
        <f t="shared" si="253"/>
        <v>-50.54062839810716</v>
      </c>
    </row>
    <row r="404" spans="14:47" x14ac:dyDescent="0.3">
      <c r="N404" s="8">
        <v>86</v>
      </c>
      <c r="O404" s="35">
        <f t="shared" si="254"/>
        <v>72443.596007499116</v>
      </c>
      <c r="P404" s="34" t="str">
        <f t="shared" si="255"/>
        <v>324,571428571429</v>
      </c>
      <c r="Q404" s="4" t="str">
        <f t="shared" si="256"/>
        <v>1+10404,0351550531i</v>
      </c>
      <c r="R404" s="4">
        <f t="shared" ref="R404:R467" si="264">IMABS(Q404)</f>
        <v>10404.035203111376</v>
      </c>
      <c r="S404" s="4">
        <f t="shared" ref="S404:S467" si="265">IMARGUMENT(Q404)</f>
        <v>1.5707002102418461</v>
      </c>
      <c r="T404" s="4" t="str">
        <f t="shared" si="257"/>
        <v>1+0,0910353076067144i</v>
      </c>
      <c r="U404" s="4">
        <f t="shared" ref="U404:U467" si="266">IMABS(T404)</f>
        <v>1.0041351638255924</v>
      </c>
      <c r="V404" s="4">
        <f t="shared" ref="V404:V467" si="267">IMARGUMENT(T404)</f>
        <v>9.078506791003868E-2</v>
      </c>
      <c r="W404" t="str">
        <f t="shared" si="258"/>
        <v>1-0,790237045197174i</v>
      </c>
      <c r="X404" s="4">
        <f t="shared" ref="X404:X467" si="268">IMABS(W404)</f>
        <v>1.2745487780394913</v>
      </c>
      <c r="Y404" s="4">
        <f t="shared" ref="Y404:Y467" si="269">IMARGUMENT(W404)</f>
        <v>-0.66875950590350786</v>
      </c>
      <c r="Z404" t="str">
        <f t="shared" si="259"/>
        <v>0,979007701590009+0,677549242552056i</v>
      </c>
      <c r="AA404" s="4">
        <f t="shared" ref="AA404:AA467" si="270">IMABS(Z404)</f>
        <v>1.1906002922288474</v>
      </c>
      <c r="AB404" s="4">
        <f t="shared" ref="AB404:AB467" si="271">IMARGUMENT(Z404)</f>
        <v>0.60538906443515839</v>
      </c>
      <c r="AC404" s="48" t="str">
        <f t="shared" ref="AC404:AC467" si="272">(IMDIV(IMPRODUCT(P404,T404,W404),IMPRODUCT(Q404,Z404)))</f>
        <v>-0,0310477220210635-0,012672725596521i</v>
      </c>
      <c r="AD404" s="20">
        <f t="shared" ref="AD404:AD467" si="273">20*LOG(IMABS(AC404))</f>
        <v>-29.490177479003719</v>
      </c>
      <c r="AE404" s="44">
        <f t="shared" ref="AE404:AE467" si="274">(180/PI())*IMARGUMENT(AC404)</f>
        <v>-157.79622724614853</v>
      </c>
      <c r="AF404" t="str">
        <f t="shared" si="260"/>
        <v>-0,0000125211169631323</v>
      </c>
      <c r="AG404" t="str">
        <f t="shared" si="261"/>
        <v>0,00219986820831625i</v>
      </c>
      <c r="AH404">
        <f t="shared" ref="AH404:AH467" si="275">IMABS(AG404)</f>
        <v>2.1998682083162499E-3</v>
      </c>
      <c r="AI404">
        <f t="shared" ref="AI404:AI467" si="276">IMARGUMENT(AG404)</f>
        <v>1.5707963267948966</v>
      </c>
      <c r="AJ404" t="str">
        <f t="shared" si="262"/>
        <v>1+3,52070999697625i</v>
      </c>
      <c r="AK404">
        <f t="shared" ref="AK404:AK467" si="277">IMABS(AJ404)</f>
        <v>3.6599725248707138</v>
      </c>
      <c r="AL404">
        <f t="shared" ref="AL404:AL467" si="278">IMARGUMENT(AJ404)</f>
        <v>1.2940511811039843</v>
      </c>
      <c r="AM404" t="str">
        <f t="shared" si="263"/>
        <v>1+515,62398228443i</v>
      </c>
      <c r="AN404">
        <f t="shared" ref="AN404:AN467" si="279">IMABS(AM404)</f>
        <v>515.62495198240174</v>
      </c>
      <c r="AO404">
        <f t="shared" ref="AO404:AO467" si="280">IMARGUMENT(AM404)</f>
        <v>1.568856931459137</v>
      </c>
      <c r="AP404" s="42" t="str">
        <f t="shared" ref="AP404:AP467" si="281">IMPRODUCT(AF404,IMDIV(AM404,IMPRODUCT(AG404,AJ404)))</f>
        <v>-0,217594698263994+0,771779587235014i</v>
      </c>
      <c r="AQ404">
        <f t="shared" ref="AQ404:AQ467" si="282">20*LOG(IMABS(AP404))</f>
        <v>-1.9179498162135677</v>
      </c>
      <c r="AR404" s="44">
        <f t="shared" ref="AR404:AR467" si="283">(180/PI())*IMARGUMENT(AP404)</f>
        <v>105.74520968127601</v>
      </c>
      <c r="AS404" s="42" t="str">
        <f t="shared" ref="AS404:AS467" si="284">IMPRODUCT(AC404,AP404)</f>
        <v>0,0165363706349832-0,0212044801836465i</v>
      </c>
      <c r="AT404" s="20">
        <f t="shared" ref="AT404:AT467" si="285">20*LOG(IMABS(AS404))</f>
        <v>-31.408127295217291</v>
      </c>
      <c r="AU404" s="44">
        <f t="shared" ref="AU404:AU467" si="286">(180/PI())*IMARGUMENT(AS404)</f>
        <v>-52.051017564872623</v>
      </c>
    </row>
    <row r="405" spans="14:47" x14ac:dyDescent="0.3">
      <c r="N405" s="8">
        <v>87</v>
      </c>
      <c r="O405" s="35">
        <f t="shared" si="254"/>
        <v>74131.024130091857</v>
      </c>
      <c r="P405" s="34" t="str">
        <f t="shared" si="255"/>
        <v>324,571428571429</v>
      </c>
      <c r="Q405" s="4" t="str">
        <f t="shared" si="256"/>
        <v>1+10646,3762656084i</v>
      </c>
      <c r="R405" s="4">
        <f t="shared" si="264"/>
        <v>10646.376312572736</v>
      </c>
      <c r="S405" s="4">
        <f t="shared" si="265"/>
        <v>1.5707023981216925</v>
      </c>
      <c r="T405" s="4" t="str">
        <f t="shared" si="257"/>
        <v>1+0,0931557923240738i</v>
      </c>
      <c r="U405" s="4">
        <f t="shared" si="266"/>
        <v>1.0043296279825293</v>
      </c>
      <c r="V405" s="4">
        <f t="shared" si="267"/>
        <v>9.2887718048958595E-2</v>
      </c>
      <c r="W405" t="str">
        <f t="shared" si="258"/>
        <v>1-0,808644030590918i</v>
      </c>
      <c r="X405" s="4">
        <f t="shared" si="268"/>
        <v>1.2860424441713911</v>
      </c>
      <c r="Y405" s="4">
        <f t="shared" si="269"/>
        <v>-0.67998951305982069</v>
      </c>
      <c r="Z405" t="str">
        <f t="shared" si="259"/>
        <v>0,978018365045695+0,693331391828653i</v>
      </c>
      <c r="AA405" s="4">
        <f t="shared" si="270"/>
        <v>1.1988445859500352</v>
      </c>
      <c r="AB405" s="4">
        <f t="shared" si="271"/>
        <v>0.61668382212443706</v>
      </c>
      <c r="AC405" s="48" t="str">
        <f t="shared" si="272"/>
        <v>-0,0306571097725446-0,011788760990829i</v>
      </c>
      <c r="AD405" s="20">
        <f t="shared" si="273"/>
        <v>-29.670456707512621</v>
      </c>
      <c r="AE405" s="44">
        <f t="shared" si="274"/>
        <v>-158.96645358385405</v>
      </c>
      <c r="AF405" t="str">
        <f t="shared" si="260"/>
        <v>-0,0000125211169631323</v>
      </c>
      <c r="AG405" t="str">
        <f t="shared" si="261"/>
        <v>0,00225110972151124i</v>
      </c>
      <c r="AH405">
        <f t="shared" si="275"/>
        <v>2.2511097215112399E-3</v>
      </c>
      <c r="AI405">
        <f t="shared" si="276"/>
        <v>1.5707963267948966</v>
      </c>
      <c r="AJ405" t="str">
        <f t="shared" si="262"/>
        <v>1+3,60271786775859i</v>
      </c>
      <c r="AK405">
        <f t="shared" si="277"/>
        <v>3.7389271234763326</v>
      </c>
      <c r="AL405">
        <f t="shared" si="278"/>
        <v>1.300044029762474</v>
      </c>
      <c r="AM405" t="str">
        <f t="shared" si="263"/>
        <v>1+527,634407723554i</v>
      </c>
      <c r="AN405">
        <f t="shared" si="279"/>
        <v>527.6353553485452</v>
      </c>
      <c r="AO405">
        <f t="shared" si="280"/>
        <v>1.568901077379699</v>
      </c>
      <c r="AP405" s="42" t="str">
        <f t="shared" si="281"/>
        <v>-0,20850187236025+0,75673561855689i</v>
      </c>
      <c r="AQ405">
        <f t="shared" si="282"/>
        <v>-2.1033340530860341</v>
      </c>
      <c r="AR405" s="44">
        <f t="shared" si="283"/>
        <v>105.40437412081481</v>
      </c>
      <c r="AS405" s="42" t="str">
        <f t="shared" si="284"/>
        <v>0,0153130401291436-0,0207413481874977i</v>
      </c>
      <c r="AT405" s="20">
        <f t="shared" si="285"/>
        <v>-31.773790760598651</v>
      </c>
      <c r="AU405" s="44">
        <f t="shared" si="286"/>
        <v>-53.562079463039225</v>
      </c>
    </row>
    <row r="406" spans="14:47" x14ac:dyDescent="0.3">
      <c r="N406" s="8">
        <v>88</v>
      </c>
      <c r="O406" s="35">
        <f t="shared" si="254"/>
        <v>75857.757502918481</v>
      </c>
      <c r="P406" s="34" t="str">
        <f t="shared" si="255"/>
        <v>324,571428571429</v>
      </c>
      <c r="Q406" s="4" t="str">
        <f t="shared" si="256"/>
        <v>1+10894,3622257812i</v>
      </c>
      <c r="R406" s="4">
        <f t="shared" si="264"/>
        <v>10894.362271676497</v>
      </c>
      <c r="S406" s="4">
        <f t="shared" si="265"/>
        <v>1.5707045361993146</v>
      </c>
      <c r="T406" s="4" t="str">
        <f t="shared" si="257"/>
        <v>1+0,0953256694755858i</v>
      </c>
      <c r="U406" s="4">
        <f t="shared" si="266"/>
        <v>1.0045332166040946</v>
      </c>
      <c r="V406" s="4">
        <f t="shared" si="267"/>
        <v>9.503849267854507E-2</v>
      </c>
      <c r="W406" t="str">
        <f t="shared" si="258"/>
        <v>1-0,827479769753349i</v>
      </c>
      <c r="X406" s="4">
        <f t="shared" si="268"/>
        <v>1.2979687089260108</v>
      </c>
      <c r="Y406" s="4">
        <f t="shared" si="269"/>
        <v>-0.6912737542336117</v>
      </c>
      <c r="Z406" t="str">
        <f t="shared" si="259"/>
        <v>0,976982402506514+0,709481154586521i</v>
      </c>
      <c r="AA406" s="4">
        <f t="shared" si="270"/>
        <v>1.2074179572628623</v>
      </c>
      <c r="AB406" s="4">
        <f t="shared" si="271"/>
        <v>0.62809198390039833</v>
      </c>
      <c r="AC406" s="48" t="str">
        <f t="shared" si="272"/>
        <v>-0,0302593507336677-0,0109277405420572i</v>
      </c>
      <c r="AD406" s="20">
        <f t="shared" si="273"/>
        <v>-29.850412632906504</v>
      </c>
      <c r="AE406" s="44">
        <f t="shared" si="274"/>
        <v>-160.14352469374992</v>
      </c>
      <c r="AF406" t="str">
        <f t="shared" si="260"/>
        <v>-0,0000125211169631323</v>
      </c>
      <c r="AG406" t="str">
        <f t="shared" si="261"/>
        <v>0,00230354480287753i</v>
      </c>
      <c r="AH406">
        <f t="shared" si="275"/>
        <v>2.3035448028775299E-3</v>
      </c>
      <c r="AI406">
        <f t="shared" si="276"/>
        <v>1.5707963267948966</v>
      </c>
      <c r="AJ406" t="str">
        <f t="shared" si="262"/>
        <v>1+3,68663594724202i</v>
      </c>
      <c r="AK406">
        <f t="shared" si="277"/>
        <v>3.8198540034269719</v>
      </c>
      <c r="AL406">
        <f t="shared" si="278"/>
        <v>1.3059197927690755</v>
      </c>
      <c r="AM406" t="str">
        <f t="shared" si="263"/>
        <v>1+539,924591909718i</v>
      </c>
      <c r="AN406">
        <f t="shared" si="279"/>
        <v>539.92551796416831</v>
      </c>
      <c r="AO406">
        <f t="shared" si="280"/>
        <v>1.5689442184235636</v>
      </c>
      <c r="AP406" s="42" t="str">
        <f t="shared" si="281"/>
        <v>-0,199760874826122+0,741881208456311i</v>
      </c>
      <c r="AQ406">
        <f t="shared" si="282"/>
        <v>-2.2893300355634558</v>
      </c>
      <c r="AR406" s="44">
        <f t="shared" si="283"/>
        <v>105.07018949885462</v>
      </c>
      <c r="AS406" s="42" t="str">
        <f t="shared" si="284"/>
        <v>0,0141517197332663-0,0202659086788425i</v>
      </c>
      <c r="AT406" s="20">
        <f t="shared" si="285"/>
        <v>-32.139742668469971</v>
      </c>
      <c r="AU406" s="44">
        <f t="shared" si="286"/>
        <v>-55.073335194895336</v>
      </c>
    </row>
    <row r="407" spans="14:47" x14ac:dyDescent="0.3">
      <c r="N407" s="8">
        <v>89</v>
      </c>
      <c r="O407" s="35">
        <f t="shared" si="254"/>
        <v>77624.711662869129</v>
      </c>
      <c r="P407" s="34" t="str">
        <f t="shared" si="255"/>
        <v>324,571428571429</v>
      </c>
      <c r="Q407" s="4" t="str">
        <f t="shared" si="256"/>
        <v>1+11148,1245210101i</v>
      </c>
      <c r="R407" s="4">
        <f t="shared" si="264"/>
        <v>11148.124565860693</v>
      </c>
      <c r="S407" s="4">
        <f t="shared" si="265"/>
        <v>1.5707066256083488</v>
      </c>
      <c r="T407" s="4" t="str">
        <f t="shared" si="257"/>
        <v>1+0,0975460895588382i</v>
      </c>
      <c r="U407" s="4">
        <f t="shared" si="266"/>
        <v>1.0047463558471963</v>
      </c>
      <c r="V407" s="4">
        <f t="shared" si="267"/>
        <v>9.7238452531123773E-2</v>
      </c>
      <c r="W407" t="str">
        <f t="shared" si="258"/>
        <v>1-0,846754249642693i</v>
      </c>
      <c r="X407" s="4">
        <f t="shared" si="268"/>
        <v>1.3103407035149142</v>
      </c>
      <c r="Y407" s="4">
        <f t="shared" si="269"/>
        <v>-0.70260671824553322</v>
      </c>
      <c r="Z407" t="str">
        <f t="shared" si="259"/>
        <v>0,975897616557026+0,726007093643644i</v>
      </c>
      <c r="AA407" s="4">
        <f t="shared" si="270"/>
        <v>1.2163315576036722</v>
      </c>
      <c r="AB407" s="4">
        <f t="shared" si="271"/>
        <v>0.63960997653323215</v>
      </c>
      <c r="AC407" s="48" t="str">
        <f t="shared" si="272"/>
        <v>-0,0298546807444822-0,0100896555354518i</v>
      </c>
      <c r="AD407" s="20">
        <f t="shared" si="273"/>
        <v>-30.030056575557062</v>
      </c>
      <c r="AE407" s="44">
        <f t="shared" si="274"/>
        <v>-161.32685936699923</v>
      </c>
      <c r="AF407" t="str">
        <f t="shared" si="260"/>
        <v>-0,0000125211169631323</v>
      </c>
      <c r="AG407" t="str">
        <f t="shared" si="261"/>
        <v>0,00235720125418933i</v>
      </c>
      <c r="AH407">
        <f t="shared" si="275"/>
        <v>2.3572012541893299E-3</v>
      </c>
      <c r="AI407">
        <f t="shared" si="276"/>
        <v>1.5707963267948966</v>
      </c>
      <c r="AJ407" t="str">
        <f t="shared" si="262"/>
        <v>1+3,77250872990308i</v>
      </c>
      <c r="AK407">
        <f t="shared" si="277"/>
        <v>3.9027967045690386</v>
      </c>
      <c r="AL407">
        <f t="shared" si="278"/>
        <v>1.3116799620126103</v>
      </c>
      <c r="AM407" t="str">
        <f t="shared" si="263"/>
        <v>1+552,501051261259i</v>
      </c>
      <c r="AN407">
        <f t="shared" si="279"/>
        <v>552.50195623617151</v>
      </c>
      <c r="AO407">
        <f t="shared" si="280"/>
        <v>1.5689863774640407</v>
      </c>
      <c r="AP407" s="42" t="str">
        <f t="shared" si="281"/>
        <v>-0,191360413455728+0,727220687735625i</v>
      </c>
      <c r="AQ407">
        <f t="shared" si="282"/>
        <v>-2.4759140123741137</v>
      </c>
      <c r="AR407" s="44">
        <f t="shared" si="283"/>
        <v>104.74257164700667</v>
      </c>
      <c r="AS407" s="42" t="str">
        <f t="shared" si="284"/>
        <v>0,0130504102883597-0,0197801808082399i</v>
      </c>
      <c r="AT407" s="20">
        <f t="shared" si="285"/>
        <v>-32.505970587931181</v>
      </c>
      <c r="AU407" s="44">
        <f t="shared" si="286"/>
        <v>-56.584287719992503</v>
      </c>
    </row>
    <row r="408" spans="14:47" x14ac:dyDescent="0.3">
      <c r="N408" s="8">
        <v>90</v>
      </c>
      <c r="O408" s="35">
        <f t="shared" si="254"/>
        <v>79432.823472428237</v>
      </c>
      <c r="P408" s="34" t="str">
        <f t="shared" si="255"/>
        <v>324,571428571429</v>
      </c>
      <c r="Q408" s="4" t="str">
        <f t="shared" si="256"/>
        <v>1+11407,7976994229i</v>
      </c>
      <c r="R408" s="4">
        <f t="shared" si="264"/>
        <v>11407.797743252568</v>
      </c>
      <c r="S408" s="4">
        <f t="shared" si="265"/>
        <v>1.5707086674566275</v>
      </c>
      <c r="T408" s="4" t="str">
        <f t="shared" si="257"/>
        <v>1+0,0998182298699502i</v>
      </c>
      <c r="U408" s="4">
        <f t="shared" si="266"/>
        <v>1.004969491583884</v>
      </c>
      <c r="V408" s="4">
        <f t="shared" si="267"/>
        <v>9.9488678828319591E-2</v>
      </c>
      <c r="W408" t="str">
        <f t="shared" si="258"/>
        <v>1-0,866477689843318i</v>
      </c>
      <c r="X408" s="4">
        <f t="shared" si="268"/>
        <v>1.3231717904324491</v>
      </c>
      <c r="Y408" s="4">
        <f t="shared" si="269"/>
        <v>-0.7139827702814493</v>
      </c>
      <c r="Z408" t="str">
        <f t="shared" si="259"/>
        <v>0,974761706220792+0,74291797127166i</v>
      </c>
      <c r="AA408" s="4">
        <f t="shared" si="270"/>
        <v>1.2255967917520298</v>
      </c>
      <c r="AB408" s="4">
        <f t="shared" si="271"/>
        <v>0.65123403352346643</v>
      </c>
      <c r="AC408" s="48" t="str">
        <f t="shared" si="272"/>
        <v>-0,0294433587425503-0,00927449736241001i</v>
      </c>
      <c r="AD408" s="20">
        <f t="shared" si="273"/>
        <v>-30.209400598869482</v>
      </c>
      <c r="AE408" s="44">
        <f t="shared" si="274"/>
        <v>-162.51585706204835</v>
      </c>
      <c r="AF408" t="str">
        <f t="shared" si="260"/>
        <v>-0,0000125211169631323</v>
      </c>
      <c r="AG408" t="str">
        <f t="shared" si="261"/>
        <v>0,00241210752480735i</v>
      </c>
      <c r="AH408">
        <f t="shared" si="275"/>
        <v>2.4121075248073501E-3</v>
      </c>
      <c r="AI408">
        <f t="shared" si="276"/>
        <v>1.5707963267948966</v>
      </c>
      <c r="AJ408" t="str">
        <f t="shared" si="262"/>
        <v>1+3,8603817466278i</v>
      </c>
      <c r="AK408">
        <f t="shared" si="277"/>
        <v>3.9877997980963267</v>
      </c>
      <c r="AL408">
        <f t="shared" si="278"/>
        <v>1.3173260620279341</v>
      </c>
      <c r="AM408" t="str">
        <f t="shared" si="263"/>
        <v>1+565,370453983398i</v>
      </c>
      <c r="AN408">
        <f t="shared" si="279"/>
        <v>565.37133835859902</v>
      </c>
      <c r="AO408">
        <f t="shared" si="280"/>
        <v>1.5690275768538116</v>
      </c>
      <c r="AP408" s="42" t="str">
        <f t="shared" si="281"/>
        <v>-0,183289364648915+0,712757862421028i</v>
      </c>
      <c r="AQ408">
        <f t="shared" si="282"/>
        <v>-2.6630630013156753</v>
      </c>
      <c r="AR408" s="44">
        <f t="shared" si="283"/>
        <v>104.42143449657232</v>
      </c>
      <c r="AS408" s="42" t="str">
        <f t="shared" si="284"/>
        <v>0,0120071254321129-0,0192860687108415i</v>
      </c>
      <c r="AT408" s="20">
        <f t="shared" si="285"/>
        <v>-32.872463600185156</v>
      </c>
      <c r="AU408" s="44">
        <f t="shared" si="286"/>
        <v>-58.094422565476151</v>
      </c>
    </row>
    <row r="409" spans="14:47" x14ac:dyDescent="0.3">
      <c r="N409" s="8">
        <v>91</v>
      </c>
      <c r="O409" s="35">
        <f t="shared" si="254"/>
        <v>81283.051616410012</v>
      </c>
      <c r="P409" s="34" t="str">
        <f t="shared" si="255"/>
        <v>324,571428571429</v>
      </c>
      <c r="Q409" s="4" t="str">
        <f t="shared" si="256"/>
        <v>1+11673,5194431759i</v>
      </c>
      <c r="R409" s="4">
        <f t="shared" si="264"/>
        <v>11673.519486007883</v>
      </c>
      <c r="S409" s="4">
        <f t="shared" si="265"/>
        <v>1.570710662826766</v>
      </c>
      <c r="T409" s="4" t="str">
        <f t="shared" si="257"/>
        <v>1+0,102143295127789i</v>
      </c>
      <c r="U409" s="4">
        <f t="shared" si="266"/>
        <v>1.0052030902954698</v>
      </c>
      <c r="V409" s="4">
        <f t="shared" si="267"/>
        <v>0.10179027346734411</v>
      </c>
      <c r="W409" t="str">
        <f t="shared" si="258"/>
        <v>1-0,886660547984283i</v>
      </c>
      <c r="X409" s="4">
        <f t="shared" si="268"/>
        <v>1.3364755618236306</v>
      </c>
      <c r="Y409" s="4">
        <f t="shared" si="269"/>
        <v>-0.72539616511671678</v>
      </c>
      <c r="Z409" t="str">
        <f t="shared" si="259"/>
        <v>0,973572262079696+0,760222753841724i</v>
      </c>
      <c r="AA409" s="4">
        <f t="shared" si="270"/>
        <v>1.2352253174824708</v>
      </c>
      <c r="AB409" s="4">
        <f t="shared" si="271"/>
        <v>0.66296020048811599</v>
      </c>
      <c r="AC409" s="48" t="str">
        <f t="shared" si="272"/>
        <v>-0,0290256665073277-0,00848225558750648i</v>
      </c>
      <c r="AD409" s="20">
        <f t="shared" si="273"/>
        <v>-30.38845746255689</v>
      </c>
      <c r="AE409" s="44">
        <f t="shared" si="274"/>
        <v>-163.70989896028726</v>
      </c>
      <c r="AF409" t="str">
        <f t="shared" si="260"/>
        <v>-0,0000125211169631323</v>
      </c>
      <c r="AG409" t="str">
        <f t="shared" si="261"/>
        <v>0,00246829272676303i</v>
      </c>
      <c r="AH409">
        <f t="shared" si="275"/>
        <v>2.4682927267630299E-3</v>
      </c>
      <c r="AI409">
        <f t="shared" si="276"/>
        <v>1.5707963267948966</v>
      </c>
      <c r="AJ409" t="str">
        <f t="shared" si="262"/>
        <v>1+3,95030158885276i</v>
      </c>
      <c r="AK409">
        <f t="shared" si="277"/>
        <v>4.0749089122203257</v>
      </c>
      <c r="AL409">
        <f t="shared" si="278"/>
        <v>1.3228596459433337</v>
      </c>
      <c r="AM409" t="str">
        <f t="shared" si="263"/>
        <v>1+578,539623603799i</v>
      </c>
      <c r="AN409">
        <f t="shared" si="279"/>
        <v>578.54048784819315</v>
      </c>
      <c r="AO409">
        <f t="shared" si="280"/>
        <v>1.5690678384367787</v>
      </c>
      <c r="AP409" s="42" t="str">
        <f t="shared" si="281"/>
        <v>-0,17553678882989+0,698496040267132i</v>
      </c>
      <c r="AQ409">
        <f t="shared" si="282"/>
        <v>-2.8507547771488806</v>
      </c>
      <c r="AR409" s="44">
        <f t="shared" si="283"/>
        <v>104.10669031141899</v>
      </c>
      <c r="AS409" s="42" t="str">
        <f t="shared" si="284"/>
        <v>0,0110198942327506-0,0187853652136174i</v>
      </c>
      <c r="AT409" s="20">
        <f t="shared" si="285"/>
        <v>-33.239212239705786</v>
      </c>
      <c r="AU409" s="44">
        <f t="shared" si="286"/>
        <v>-59.603208648868289</v>
      </c>
    </row>
    <row r="410" spans="14:47" x14ac:dyDescent="0.3">
      <c r="N410" s="8">
        <v>92</v>
      </c>
      <c r="O410" s="35">
        <f t="shared" si="254"/>
        <v>83176.377110267174</v>
      </c>
      <c r="P410" s="34" t="str">
        <f t="shared" si="255"/>
        <v>324,571428571429</v>
      </c>
      <c r="Q410" s="4" t="str">
        <f t="shared" si="256"/>
        <v>1+11945,4306414551i</v>
      </c>
      <c r="R410" s="4">
        <f t="shared" si="264"/>
        <v>11945.430683312108</v>
      </c>
      <c r="S410" s="4">
        <f t="shared" si="265"/>
        <v>1.5707126127767352</v>
      </c>
      <c r="T410" s="4" t="str">
        <f t="shared" si="257"/>
        <v>1+0,104522518112732i</v>
      </c>
      <c r="U410" s="4">
        <f t="shared" si="266"/>
        <v>1.0054476400054984</v>
      </c>
      <c r="V410" s="4">
        <f t="shared" si="267"/>
        <v>0.10414435919209586</v>
      </c>
      <c r="W410" t="str">
        <f t="shared" si="258"/>
        <v>1-0,90731352528413i</v>
      </c>
      <c r="X410" s="4">
        <f t="shared" si="268"/>
        <v>1.3502658379606276</v>
      </c>
      <c r="Y410" s="4">
        <f t="shared" si="269"/>
        <v>-0.73684106101939162</v>
      </c>
      <c r="Z410" t="str">
        <f t="shared" si="259"/>
        <v>0,972326761163242+0,777930616578613i</v>
      </c>
      <c r="AA410" s="4">
        <f t="shared" si="270"/>
        <v>1.2452290450694525</v>
      </c>
      <c r="AB410" s="4">
        <f t="shared" si="271"/>
        <v>0.67478434154349631</v>
      </c>
      <c r="AC410" s="48" t="str">
        <f t="shared" si="272"/>
        <v>-0,028601908252433-0,00771291601297131i</v>
      </c>
      <c r="AD410" s="20">
        <f t="shared" si="273"/>
        <v>-30.567240569254658</v>
      </c>
      <c r="AE410" s="44">
        <f t="shared" si="274"/>
        <v>-164.90834911858093</v>
      </c>
      <c r="AF410" t="str">
        <f t="shared" si="260"/>
        <v>-0,0000125211169631323</v>
      </c>
      <c r="AG410" t="str">
        <f t="shared" si="261"/>
        <v>0,00252578665019416i</v>
      </c>
      <c r="AH410">
        <f t="shared" si="275"/>
        <v>2.5257866501941601E-3</v>
      </c>
      <c r="AI410">
        <f t="shared" si="276"/>
        <v>1.5707963267948966</v>
      </c>
      <c r="AJ410" t="str">
        <f t="shared" si="262"/>
        <v>1+4,04231593326856i</v>
      </c>
      <c r="AK410">
        <f t="shared" si="277"/>
        <v>4.1641707583091332</v>
      </c>
      <c r="AL410">
        <f t="shared" si="278"/>
        <v>1.3282822916360817</v>
      </c>
      <c r="AM410" t="str">
        <f t="shared" si="263"/>
        <v>1+592,015542590513i</v>
      </c>
      <c r="AN410">
        <f t="shared" si="279"/>
        <v>592.0163871623314</v>
      </c>
      <c r="AO410">
        <f t="shared" si="280"/>
        <v>1.5691071835596433</v>
      </c>
      <c r="AP410" s="42" t="str">
        <f t="shared" si="281"/>
        <v>-0,168091943901432+0,684438056865571i</v>
      </c>
      <c r="AQ410">
        <f t="shared" si="282"/>
        <v>-3.038967858500853</v>
      </c>
      <c r="AR410" s="44">
        <f t="shared" si="283"/>
        <v>103.79824990891426</v>
      </c>
      <c r="AS410" s="42" t="str">
        <f t="shared" si="284"/>
        <v>0,0100867636061273-0,0182797554611738i</v>
      </c>
      <c r="AT410" s="20">
        <f t="shared" si="285"/>
        <v>-33.60620842775549</v>
      </c>
      <c r="AU410" s="44">
        <f t="shared" si="286"/>
        <v>-61.110099209666757</v>
      </c>
    </row>
    <row r="411" spans="14:47" x14ac:dyDescent="0.3">
      <c r="N411" s="8">
        <v>93</v>
      </c>
      <c r="O411" s="35">
        <f t="shared" si="254"/>
        <v>85113.803820237721</v>
      </c>
      <c r="P411" s="34" t="str">
        <f t="shared" si="255"/>
        <v>324,571428571429</v>
      </c>
      <c r="Q411" s="4" t="str">
        <f t="shared" si="256"/>
        <v>1+12223,6754651768i</v>
      </c>
      <c r="R411" s="4">
        <f t="shared" si="264"/>
        <v>12223.675506081028</v>
      </c>
      <c r="S411" s="4">
        <f t="shared" si="265"/>
        <v>1.570714518340425</v>
      </c>
      <c r="T411" s="4" t="str">
        <f t="shared" si="257"/>
        <v>1+0,106957160320297i</v>
      </c>
      <c r="U411" s="4">
        <f t="shared" si="266"/>
        <v>1.0057036512530826</v>
      </c>
      <c r="V411" s="4">
        <f t="shared" si="267"/>
        <v>0.10655207974745674</v>
      </c>
      <c r="W411" t="str">
        <f t="shared" si="258"/>
        <v>1-0,928447572224797i</v>
      </c>
      <c r="X411" s="4">
        <f t="shared" si="268"/>
        <v>1.3645566658699519</v>
      </c>
      <c r="Y411" s="4">
        <f t="shared" si="269"/>
        <v>-0.74831153425437724</v>
      </c>
      <c r="Z411" t="str">
        <f t="shared" si="259"/>
        <v>0,971022561597+0,79605094842554i</v>
      </c>
      <c r="AA411" s="4">
        <f t="shared" si="270"/>
        <v>1.2556201366733497</v>
      </c>
      <c r="AB411" s="4">
        <f t="shared" si="271"/>
        <v>0.68670214668436014</v>
      </c>
      <c r="AC411" s="48" t="str">
        <f t="shared" si="272"/>
        <v>-0,028172410062468-0,00696645875552796i</v>
      </c>
      <c r="AD411" s="20">
        <f t="shared" si="273"/>
        <v>-30.745763904669854</v>
      </c>
      <c r="AE411" s="44">
        <f t="shared" si="274"/>
        <v>-166.11055571428216</v>
      </c>
      <c r="AF411" t="str">
        <f t="shared" si="260"/>
        <v>-0,0000125211169631323</v>
      </c>
      <c r="AG411" t="str">
        <f t="shared" si="261"/>
        <v>0,00258461977913997i</v>
      </c>
      <c r="AH411">
        <f t="shared" si="275"/>
        <v>2.5846197791399698E-3</v>
      </c>
      <c r="AI411">
        <f t="shared" si="276"/>
        <v>1.5707963267948966</v>
      </c>
      <c r="AJ411" t="str">
        <f t="shared" si="262"/>
        <v>1+4,13647356709855i</v>
      </c>
      <c r="AK411">
        <f t="shared" si="277"/>
        <v>4.2556331575107595</v>
      </c>
      <c r="AL411">
        <f t="shared" si="278"/>
        <v>1.3335955980926288</v>
      </c>
      <c r="AM411" t="str">
        <f t="shared" si="263"/>
        <v>1+605,80535605416i</v>
      </c>
      <c r="AN411">
        <f t="shared" si="279"/>
        <v>605.80618140120328</v>
      </c>
      <c r="AO411">
        <f t="shared" si="280"/>
        <v>1.5691456330832234</v>
      </c>
      <c r="AP411" s="42" t="str">
        <f t="shared" si="281"/>
        <v>-0,160944296857407+0,670586301266457i</v>
      </c>
      <c r="AQ411">
        <f t="shared" si="282"/>
        <v>-3.2276814939089511</v>
      </c>
      <c r="AR411" s="44">
        <f t="shared" si="283"/>
        <v>103.4960228691199</v>
      </c>
      <c r="AS411" s="42" t="str">
        <f t="shared" si="284"/>
        <v>0,00920580053807727-0,0177708204555578i</v>
      </c>
      <c r="AT411" s="20">
        <f t="shared" si="285"/>
        <v>-33.973445398578782</v>
      </c>
      <c r="AU411" s="44">
        <f t="shared" si="286"/>
        <v>-62.614532845162316</v>
      </c>
    </row>
    <row r="412" spans="14:47" x14ac:dyDescent="0.3">
      <c r="N412" s="8">
        <v>94</v>
      </c>
      <c r="O412" s="35">
        <f t="shared" si="254"/>
        <v>87096.358995608127</v>
      </c>
      <c r="P412" s="34" t="str">
        <f t="shared" si="255"/>
        <v>324,571428571429</v>
      </c>
      <c r="Q412" s="4" t="str">
        <f t="shared" si="256"/>
        <v>1+12508,4014434296i</v>
      </c>
      <c r="R412" s="4">
        <f t="shared" si="264"/>
        <v>12508.401483402735</v>
      </c>
      <c r="S412" s="4">
        <f t="shared" si="265"/>
        <v>1.5707163805281901</v>
      </c>
      <c r="T412" s="4" t="str">
        <f t="shared" si="257"/>
        <v>1+0,109448512630009i</v>
      </c>
      <c r="U412" s="4">
        <f t="shared" si="266"/>
        <v>1.0059716581081801</v>
      </c>
      <c r="V412" s="4">
        <f t="shared" si="267"/>
        <v>0.1090146000150978</v>
      </c>
      <c r="W412" t="str">
        <f t="shared" si="258"/>
        <v>1-0,950073894357715i</v>
      </c>
      <c r="X412" s="4">
        <f t="shared" si="268"/>
        <v>1.3793623181528611</v>
      </c>
      <c r="Y412" s="4">
        <f t="shared" si="269"/>
        <v>-0.7598015941037225</v>
      </c>
      <c r="Z412" t="str">
        <f t="shared" si="259"/>
        <v>0,969656896998833+0,814593357022304i</v>
      </c>
      <c r="AA412" s="4">
        <f t="shared" si="270"/>
        <v>1.2664110056384823</v>
      </c>
      <c r="AB412" s="4">
        <f t="shared" si="271"/>
        <v>0.69870914015036389</v>
      </c>
      <c r="AC412" s="48" t="str">
        <f t="shared" si="272"/>
        <v>-0,0277375191726822-0,00624285635115862i</v>
      </c>
      <c r="AD412" s="20">
        <f t="shared" si="273"/>
        <v>-30.924041971547254</v>
      </c>
      <c r="AE412" s="44">
        <f t="shared" si="274"/>
        <v>-167.31585237744395</v>
      </c>
      <c r="AF412" t="str">
        <f t="shared" si="260"/>
        <v>-0,0000125211169631323</v>
      </c>
      <c r="AG412" t="str">
        <f t="shared" si="261"/>
        <v>0,00264482330770416i</v>
      </c>
      <c r="AH412">
        <f t="shared" si="275"/>
        <v>2.64482330770416E-3</v>
      </c>
      <c r="AI412">
        <f t="shared" si="276"/>
        <v>1.5707963267948966</v>
      </c>
      <c r="AJ412" t="str">
        <f t="shared" si="262"/>
        <v>1+4,23282441396652i</v>
      </c>
      <c r="AK412">
        <f t="shared" si="277"/>
        <v>4.3493450678775778</v>
      </c>
      <c r="AL412">
        <f t="shared" si="278"/>
        <v>1.33880118196928</v>
      </c>
      <c r="AM412" t="str">
        <f t="shared" si="263"/>
        <v>1+619,91637553637i</v>
      </c>
      <c r="AN412">
        <f t="shared" si="279"/>
        <v>619.9171820962456</v>
      </c>
      <c r="AO412">
        <f t="shared" si="280"/>
        <v>1.5691832073935097</v>
      </c>
      <c r="AP412" s="42" t="str">
        <f t="shared" si="281"/>
        <v>-0,15408353367491+0,656942741034658i</v>
      </c>
      <c r="AQ412">
        <f t="shared" si="282"/>
        <v>-3.4168756471275241</v>
      </c>
      <c r="AR412" s="44">
        <f t="shared" si="283"/>
        <v>103.199917732484</v>
      </c>
      <c r="AS412" s="42" t="str">
        <f t="shared" si="284"/>
        <v>0,00837509413271821-0,0172600405079919i</v>
      </c>
      <c r="AT412" s="20">
        <f t="shared" si="285"/>
        <v>-34.340917618674759</v>
      </c>
      <c r="AU412" s="44">
        <f t="shared" si="286"/>
        <v>-64.115934644960021</v>
      </c>
    </row>
    <row r="413" spans="14:47" x14ac:dyDescent="0.3">
      <c r="N413" s="8">
        <v>95</v>
      </c>
      <c r="O413" s="35">
        <f t="shared" si="254"/>
        <v>89125.093813374609</v>
      </c>
      <c r="P413" s="34" t="str">
        <f t="shared" si="255"/>
        <v>324,571428571429</v>
      </c>
      <c r="Q413" s="4" t="str">
        <f t="shared" si="256"/>
        <v>1+12799,759541696i</v>
      </c>
      <c r="R413" s="4">
        <f t="shared" si="264"/>
        <v>12799.759580759232</v>
      </c>
      <c r="S413" s="4">
        <f t="shared" si="265"/>
        <v>1.570718200327387</v>
      </c>
      <c r="T413" s="4" t="str">
        <f t="shared" si="257"/>
        <v>1+0,11199789598984i</v>
      </c>
      <c r="U413" s="4">
        <f t="shared" si="266"/>
        <v>1.0062522192304229</v>
      </c>
      <c r="V413" s="4">
        <f t="shared" si="267"/>
        <v>0.11153310612895212</v>
      </c>
      <c r="W413" t="str">
        <f t="shared" si="258"/>
        <v>1-0,972203958245135i</v>
      </c>
      <c r="X413" s="4">
        <f t="shared" si="268"/>
        <v>1.3946972920413621</v>
      </c>
      <c r="Y413" s="4">
        <f t="shared" si="269"/>
        <v>-0.77130519831224154</v>
      </c>
      <c r="Z413" t="str">
        <f t="shared" si="259"/>
        <v>0,968226870611029+0,833567673799378i</v>
      </c>
      <c r="AA413" s="4">
        <f t="shared" si="270"/>
        <v>1.2776143157371604</v>
      </c>
      <c r="AB413" s="4">
        <f t="shared" si="271"/>
        <v>0.71080068976175093</v>
      </c>
      <c r="AC413" s="48" t="str">
        <f t="shared" si="272"/>
        <v>-0,0272976030915706-0,00554207190383142i</v>
      </c>
      <c r="AD413" s="20">
        <f t="shared" si="273"/>
        <v>-31.102089717804276</v>
      </c>
      <c r="AE413" s="44">
        <f t="shared" si="274"/>
        <v>-168.52355960409821</v>
      </c>
      <c r="AF413" t="str">
        <f t="shared" si="260"/>
        <v>-0,0000125211169631323</v>
      </c>
      <c r="AG413" t="str">
        <f t="shared" si="261"/>
        <v>0,00270642915659447i</v>
      </c>
      <c r="AH413">
        <f t="shared" si="275"/>
        <v>2.7064291565944698E-3</v>
      </c>
      <c r="AI413">
        <f t="shared" si="276"/>
        <v>1.5707963267948966</v>
      </c>
      <c r="AJ413" t="str">
        <f t="shared" si="262"/>
        <v>1+4,33141956036683i</v>
      </c>
      <c r="AK413">
        <f t="shared" si="277"/>
        <v>4.4453566120085783</v>
      </c>
      <c r="AL413">
        <f t="shared" si="278"/>
        <v>1.3439006743486048</v>
      </c>
      <c r="AM413" t="str">
        <f t="shared" si="263"/>
        <v>1+634,356082886451i</v>
      </c>
      <c r="AN413">
        <f t="shared" si="279"/>
        <v>634.35687108680543</v>
      </c>
      <c r="AO413">
        <f t="shared" si="280"/>
        <v>1.5692199264124749</v>
      </c>
      <c r="AP413" s="42" t="str">
        <f t="shared" si="281"/>
        <v>-0,147499567605162+0,643508946675044i</v>
      </c>
      <c r="AQ413">
        <f t="shared" si="282"/>
        <v>-3.6065309818115123</v>
      </c>
      <c r="AR413" s="44">
        <f t="shared" si="283"/>
        <v>102.90984218630415</v>
      </c>
      <c r="AS413" s="42" t="str">
        <f t="shared" si="284"/>
        <v>0,00759275750589591-0,0167487986027582i</v>
      </c>
      <c r="AT413" s="20">
        <f t="shared" si="285"/>
        <v>-34.708620699615771</v>
      </c>
      <c r="AU413" s="44">
        <f t="shared" si="286"/>
        <v>-65.61371741779412</v>
      </c>
    </row>
    <row r="414" spans="14:47" x14ac:dyDescent="0.3">
      <c r="N414" s="8">
        <v>96</v>
      </c>
      <c r="O414" s="35">
        <f t="shared" si="254"/>
        <v>91201.083935591028</v>
      </c>
      <c r="P414" s="34" t="str">
        <f t="shared" si="255"/>
        <v>324,571428571429</v>
      </c>
      <c r="Q414" s="4" t="str">
        <f t="shared" si="256"/>
        <v>1+13097,9042418962i</v>
      </c>
      <c r="R414" s="4">
        <f t="shared" si="264"/>
        <v>13097.904280070245</v>
      </c>
      <c r="S414" s="4">
        <f t="shared" si="265"/>
        <v>1.5707199787028974</v>
      </c>
      <c r="T414" s="4" t="str">
        <f t="shared" si="257"/>
        <v>1+0,114606662116592i</v>
      </c>
      <c r="U414" s="4">
        <f t="shared" si="266"/>
        <v>1.0065459189731518</v>
      </c>
      <c r="V414" s="4">
        <f t="shared" si="267"/>
        <v>0.11410880556841804</v>
      </c>
      <c r="W414" t="str">
        <f t="shared" si="258"/>
        <v>1-0,994849497539858i</v>
      </c>
      <c r="X414" s="4">
        <f t="shared" si="268"/>
        <v>1.4105763087317567</v>
      </c>
      <c r="Y414" s="4">
        <f t="shared" si="269"/>
        <v>-0.78281626886266542</v>
      </c>
      <c r="Z414" t="str">
        <f t="shared" si="259"/>
        <v>0,966729449155893+0,852983959190673i</v>
      </c>
      <c r="AA414" s="4">
        <f t="shared" si="270"/>
        <v>1.2892429803965781</v>
      </c>
      <c r="AB414" s="4">
        <f t="shared" si="271"/>
        <v>0.72297201719693438</v>
      </c>
      <c r="AC414" s="48" t="str">
        <f t="shared" si="272"/>
        <v>-0,0268530485683305-0,00486405729445772i</v>
      </c>
      <c r="AD414" s="20">
        <f t="shared" si="273"/>
        <v>-31.279922459269827</v>
      </c>
      <c r="AE414" s="44">
        <f t="shared" si="274"/>
        <v>-169.73298624365844</v>
      </c>
      <c r="AF414" t="str">
        <f t="shared" si="260"/>
        <v>-0,0000125211169631323</v>
      </c>
      <c r="AG414" t="str">
        <f t="shared" si="261"/>
        <v>0,00276946999004743i</v>
      </c>
      <c r="AH414">
        <f t="shared" si="275"/>
        <v>2.76946999004743E-3</v>
      </c>
      <c r="AI414">
        <f t="shared" si="276"/>
        <v>1.5707963267948966</v>
      </c>
      <c r="AJ414" t="str">
        <f t="shared" si="262"/>
        <v>1+4,43231128275117i</v>
      </c>
      <c r="AK414">
        <f t="shared" si="277"/>
        <v>4.543719105226832</v>
      </c>
      <c r="AL414">
        <f t="shared" si="278"/>
        <v>1.348895717686375</v>
      </c>
      <c r="AM414" t="str">
        <f t="shared" si="263"/>
        <v>1+649,132134228375i</v>
      </c>
      <c r="AN414">
        <f t="shared" si="279"/>
        <v>649.13290448712041</v>
      </c>
      <c r="AO414">
        <f t="shared" si="280"/>
        <v>1.569255809608632</v>
      </c>
      <c r="AP414" s="42" t="str">
        <f t="shared" si="281"/>
        <v>-0,141182545979351+0,630286115372099i</v>
      </c>
      <c r="AQ414">
        <f t="shared" si="282"/>
        <v>-3.7966288456824193</v>
      </c>
      <c r="AR414" s="44">
        <f t="shared" si="283"/>
        <v>102.62570324026022</v>
      </c>
      <c r="AS414" s="42" t="str">
        <f t="shared" si="284"/>
        <v>0,00685692954125515-0,0162383836754104i</v>
      </c>
      <c r="AT414" s="20">
        <f t="shared" si="285"/>
        <v>-35.076551304952226</v>
      </c>
      <c r="AU414" s="44">
        <f t="shared" si="286"/>
        <v>-67.107283003398265</v>
      </c>
    </row>
    <row r="415" spans="14:47" x14ac:dyDescent="0.3">
      <c r="N415" s="8">
        <v>97</v>
      </c>
      <c r="O415" s="35">
        <f t="shared" si="254"/>
        <v>93325.430079699145</v>
      </c>
      <c r="P415" s="34" t="str">
        <f t="shared" si="255"/>
        <v>324,571428571429</v>
      </c>
      <c r="Q415" s="4" t="str">
        <f t="shared" si="256"/>
        <v>1+13402,9936242967i</v>
      </c>
      <c r="R415" s="4">
        <f t="shared" si="264"/>
        <v>13402.993661601797</v>
      </c>
      <c r="S415" s="4">
        <f t="shared" si="265"/>
        <v>1.5707217165976395</v>
      </c>
      <c r="T415" s="4" t="str">
        <f t="shared" si="257"/>
        <v>1+0,117276194212596i</v>
      </c>
      <c r="U415" s="4">
        <f t="shared" si="266"/>
        <v>1.0068533685343612</v>
      </c>
      <c r="V415" s="4">
        <f t="shared" si="267"/>
        <v>0.11674292722722361</v>
      </c>
      <c r="W415" t="str">
        <f t="shared" si="258"/>
        <v>1-1,01802251920657i</v>
      </c>
      <c r="X415" s="4">
        <f t="shared" si="268"/>
        <v>1.4270143130367301</v>
      </c>
      <c r="Y415" s="4">
        <f t="shared" si="269"/>
        <v>-0.79432870798060717</v>
      </c>
      <c r="Z415" t="str">
        <f t="shared" si="259"/>
        <v>0,965161456401757+0,872852507967709i</v>
      </c>
      <c r="AA415" s="4">
        <f t="shared" si="270"/>
        <v>1.3013101619479808</v>
      </c>
      <c r="AB415" s="4">
        <f t="shared" si="271"/>
        <v>0.73521820917530889</v>
      </c>
      <c r="AC415" s="48" t="str">
        <f t="shared" si="272"/>
        <v>-0,0264042604090365-0,00420875146635739i</v>
      </c>
      <c r="AD415" s="20">
        <f t="shared" si="273"/>
        <v>-31.457555797529224</v>
      </c>
      <c r="AE415" s="44">
        <f t="shared" si="274"/>
        <v>-170.94343105274601</v>
      </c>
      <c r="AF415" t="str">
        <f t="shared" si="260"/>
        <v>-0,0000125211169631323</v>
      </c>
      <c r="AG415" t="str">
        <f t="shared" si="261"/>
        <v>0,00283397923314739i</v>
      </c>
      <c r="AH415">
        <f t="shared" si="275"/>
        <v>2.8339792331473902E-3</v>
      </c>
      <c r="AI415">
        <f t="shared" si="276"/>
        <v>1.5707963267948966</v>
      </c>
      <c r="AJ415" t="str">
        <f t="shared" si="262"/>
        <v>1+4,53555307524619i</v>
      </c>
      <c r="AK415">
        <f t="shared" si="277"/>
        <v>4.6444850843096885</v>
      </c>
      <c r="AL415">
        <f t="shared" si="278"/>
        <v>1.3537879629434209</v>
      </c>
      <c r="AM415" t="str">
        <f t="shared" si="263"/>
        <v>1+664,252364020146i</v>
      </c>
      <c r="AN415">
        <f t="shared" si="279"/>
        <v>664.25311674568184</v>
      </c>
      <c r="AO415">
        <f t="shared" si="280"/>
        <v>1.5692908760073569</v>
      </c>
      <c r="AP415" s="42" t="str">
        <f t="shared" si="281"/>
        <v>-0,135122855642107+0,617275093999518i</v>
      </c>
      <c r="AQ415">
        <f t="shared" si="282"/>
        <v>-3.9871512542750196</v>
      </c>
      <c r="AR415" s="44">
        <f t="shared" si="283"/>
        <v>102.34740739133824</v>
      </c>
      <c r="AS415" s="42" t="str">
        <f t="shared" si="284"/>
        <v>0,00616577652460321-0,0157299938091536i</v>
      </c>
      <c r="AT415" s="20">
        <f t="shared" si="285"/>
        <v>-35.444707051804265</v>
      </c>
      <c r="AU415" s="44">
        <f t="shared" si="286"/>
        <v>-68.596023661407671</v>
      </c>
    </row>
    <row r="416" spans="14:47" x14ac:dyDescent="0.3">
      <c r="N416" s="8">
        <v>98</v>
      </c>
      <c r="O416" s="35">
        <f t="shared" si="254"/>
        <v>95499.258602143804</v>
      </c>
      <c r="P416" s="34" t="str">
        <f t="shared" si="255"/>
        <v>324,571428571429</v>
      </c>
      <c r="Q416" s="4" t="str">
        <f t="shared" si="256"/>
        <v>1+13715,1894513265i</v>
      </c>
      <c r="R416" s="4">
        <f t="shared" si="264"/>
        <v>13715.189487782431</v>
      </c>
      <c r="S416" s="4">
        <f t="shared" si="265"/>
        <v>1.570723414933068</v>
      </c>
      <c r="T416" s="4" t="str">
        <f t="shared" si="257"/>
        <v>1+0,120007907699107i</v>
      </c>
      <c r="U416" s="4">
        <f t="shared" si="266"/>
        <v>1.0071752071562907</v>
      </c>
      <c r="V416" s="4">
        <f t="shared" si="267"/>
        <v>0.11943672145574931</v>
      </c>
      <c r="W416" t="str">
        <f t="shared" si="258"/>
        <v>1-1,04173530988808i</v>
      </c>
      <c r="X416" s="4">
        <f t="shared" si="268"/>
        <v>1.4440264733956973</v>
      </c>
      <c r="Y416" s="4">
        <f t="shared" si="269"/>
        <v>-0.80583641426689345</v>
      </c>
      <c r="Z416" t="str">
        <f t="shared" si="259"/>
        <v>0,963519566425763+0,893183854698039i</v>
      </c>
      <c r="AA416" s="4">
        <f t="shared" si="270"/>
        <v>1.313829270939926</v>
      </c>
      <c r="AB416" s="4">
        <f t="shared" si="271"/>
        <v>0.7475342294993923</v>
      </c>
      <c r="AC416" s="48" t="str">
        <f t="shared" si="272"/>
        <v>-0,0259516601473327-0,00357607880325251i</v>
      </c>
      <c r="AD416" s="20">
        <f t="shared" si="273"/>
        <v>-31.635005533445074</v>
      </c>
      <c r="AE416" s="44">
        <f t="shared" si="274"/>
        <v>-172.15418430707467</v>
      </c>
      <c r="AF416" t="str">
        <f t="shared" si="260"/>
        <v>-0,0000125211169631323</v>
      </c>
      <c r="AG416" t="str">
        <f t="shared" si="261"/>
        <v>0,00289999108954891i</v>
      </c>
      <c r="AH416">
        <f t="shared" si="275"/>
        <v>2.8999910895489102E-3</v>
      </c>
      <c r="AI416">
        <f t="shared" si="276"/>
        <v>1.5707963267948966</v>
      </c>
      <c r="AJ416" t="str">
        <f t="shared" si="262"/>
        <v>1+4,64119967801685i</v>
      </c>
      <c r="AK416">
        <f t="shared" si="277"/>
        <v>4.7477083367898363</v>
      </c>
      <c r="AL416">
        <f t="shared" si="278"/>
        <v>1.3585790668964952</v>
      </c>
      <c r="AM416" t="str">
        <f t="shared" si="263"/>
        <v>1+679,724789207741i</v>
      </c>
      <c r="AN416">
        <f t="shared" si="279"/>
        <v>679.72552479917056</v>
      </c>
      <c r="AO416">
        <f t="shared" si="280"/>
        <v>1.5693251442009735</v>
      </c>
      <c r="AP416" s="42" t="str">
        <f t="shared" si="281"/>
        <v>-0,129311127121341+0,604476401364818i</v>
      </c>
      <c r="AQ416">
        <f t="shared" si="282"/>
        <v>-4.1780808743549507</v>
      </c>
      <c r="AR416" s="44">
        <f t="shared" si="283"/>
        <v>102.07486077848448</v>
      </c>
      <c r="AS416" s="42" t="str">
        <f t="shared" si="284"/>
        <v>0,00551749367030866-0,0152247393545791i</v>
      </c>
      <c r="AT416" s="20">
        <f t="shared" si="285"/>
        <v>-35.813086407800029</v>
      </c>
      <c r="AU416" s="44">
        <f t="shared" si="286"/>
        <v>-70.079323528590166</v>
      </c>
    </row>
    <row r="417" spans="14:47" x14ac:dyDescent="0.3">
      <c r="N417" s="8">
        <v>99</v>
      </c>
      <c r="O417" s="35">
        <f t="shared" si="254"/>
        <v>97723.722095581266</v>
      </c>
      <c r="P417" s="34" t="str">
        <f t="shared" si="255"/>
        <v>324,571428571429</v>
      </c>
      <c r="Q417" s="4" t="str">
        <f t="shared" si="256"/>
        <v>1+14034,6572533453i</v>
      </c>
      <c r="R417" s="4">
        <f t="shared" si="264"/>
        <v>14034.65728897139</v>
      </c>
      <c r="S417" s="4">
        <f t="shared" si="265"/>
        <v>1.5707250746096628</v>
      </c>
      <c r="T417" s="4" t="str">
        <f t="shared" si="257"/>
        <v>1+0,122803250966771i</v>
      </c>
      <c r="U417" s="4">
        <f t="shared" si="266"/>
        <v>1.0075121033754422</v>
      </c>
      <c r="V417" s="4">
        <f t="shared" si="267"/>
        <v>0.12219146007445465</v>
      </c>
      <c r="W417" t="str">
        <f t="shared" si="258"/>
        <v>1-1,06600044241989i</v>
      </c>
      <c r="X417" s="4">
        <f t="shared" si="268"/>
        <v>1.4616281822814587</v>
      </c>
      <c r="Y417" s="4">
        <f t="shared" si="269"/>
        <v>-0.81733329885331796</v>
      </c>
      <c r="Z417" t="str">
        <f t="shared" si="259"/>
        <v>0,961800296559142+0,913988779330813i</v>
      </c>
      <c r="AA417" s="4">
        <f t="shared" si="270"/>
        <v>1.3268139655595592</v>
      </c>
      <c r="AB417" s="4">
        <f t="shared" si="271"/>
        <v>0.75991493190134352</v>
      </c>
      <c r="AC417" s="48" t="str">
        <f t="shared" si="272"/>
        <v>-0,0254956845773757-0,00296594761531142i</v>
      </c>
      <c r="AD417" s="20">
        <f t="shared" si="273"/>
        <v>-31.812287576982389</v>
      </c>
      <c r="AE417" s="44">
        <f t="shared" si="274"/>
        <v>-173.3645294624157</v>
      </c>
      <c r="AF417" t="str">
        <f t="shared" si="260"/>
        <v>-0,0000125211169631323</v>
      </c>
      <c r="AG417" t="str">
        <f t="shared" si="261"/>
        <v>0,00296754055961203i</v>
      </c>
      <c r="AH417">
        <f t="shared" si="275"/>
        <v>2.9675405596120302E-3</v>
      </c>
      <c r="AI417">
        <f t="shared" si="276"/>
        <v>1.5707963267948966</v>
      </c>
      <c r="AJ417" t="str">
        <f t="shared" si="262"/>
        <v>1+4,74930710629033i</v>
      </c>
      <c r="AK417">
        <f t="shared" si="277"/>
        <v>4.8534439308453772</v>
      </c>
      <c r="AL417">
        <f t="shared" si="278"/>
        <v>1.3632706896219786</v>
      </c>
      <c r="AM417" t="str">
        <f t="shared" si="263"/>
        <v>1+695,557613475793i</v>
      </c>
      <c r="AN417">
        <f t="shared" si="279"/>
        <v>695.55833232313489</v>
      </c>
      <c r="AO417">
        <f t="shared" si="280"/>
        <v>1.5693586323586093</v>
      </c>
      <c r="AP417" s="42" t="str">
        <f t="shared" si="281"/>
        <v>-0,12373823763885+0,591890249662413i</v>
      </c>
      <c r="AQ417">
        <f t="shared" si="282"/>
        <v>-4.3694010070909615</v>
      </c>
      <c r="AR417" s="44">
        <f t="shared" si="283"/>
        <v>101.80796932734269</v>
      </c>
      <c r="AS417" s="42" t="str">
        <f t="shared" si="284"/>
        <v>0,00491030655151279-0,0147236459789693i</v>
      </c>
      <c r="AT417" s="20">
        <f t="shared" si="285"/>
        <v>-36.181688584073314</v>
      </c>
      <c r="AU417" s="44">
        <f t="shared" si="286"/>
        <v>-71.556560135073084</v>
      </c>
    </row>
    <row r="418" spans="14:47" x14ac:dyDescent="0.3">
      <c r="N418" s="8">
        <v>100</v>
      </c>
      <c r="O418" s="35">
        <f t="shared" si="254"/>
        <v>100000</v>
      </c>
      <c r="P418" s="34" t="str">
        <f t="shared" si="255"/>
        <v>324,571428571429</v>
      </c>
      <c r="Q418" s="4" t="str">
        <f t="shared" si="256"/>
        <v>1+14361,5664164105i</v>
      </c>
      <c r="R418" s="4">
        <f t="shared" si="264"/>
        <v>14361.566451225643</v>
      </c>
      <c r="S418" s="4">
        <f t="shared" si="265"/>
        <v>1.5707266965074065</v>
      </c>
      <c r="T418" s="4" t="str">
        <f t="shared" si="257"/>
        <v>1+0,125663706143592i</v>
      </c>
      <c r="U418" s="4">
        <f t="shared" si="266"/>
        <v>1.0078647563248468</v>
      </c>
      <c r="V418" s="4">
        <f t="shared" si="267"/>
        <v>0.12500843635595246</v>
      </c>
      <c r="W418" t="str">
        <f t="shared" si="258"/>
        <v>1-1,09083078249646i</v>
      </c>
      <c r="X418" s="4">
        <f t="shared" si="268"/>
        <v>1.4798350570390741</v>
      </c>
      <c r="Y418" s="4">
        <f t="shared" si="269"/>
        <v>-0.82881330147751775</v>
      </c>
      <c r="Z418" t="str">
        <f t="shared" si="259"/>
        <v>0,96+0,935278312912461i</v>
      </c>
      <c r="AA418" s="4">
        <f t="shared" si="270"/>
        <v>1.340278151207569</v>
      </c>
      <c r="AB418" s="4">
        <f t="shared" si="271"/>
        <v>0.77235507363026257</v>
      </c>
      <c r="AC418" s="48" t="str">
        <f t="shared" si="272"/>
        <v>-0,0250367841586476-0,00237824874799479i</v>
      </c>
      <c r="AD418" s="20">
        <f t="shared" si="273"/>
        <v>-31.989417854017361</v>
      </c>
      <c r="AE418" s="44">
        <f t="shared" si="274"/>
        <v>-174.57374485517039</v>
      </c>
      <c r="AF418" t="str">
        <f t="shared" si="260"/>
        <v>-0,0000125211169631323</v>
      </c>
      <c r="AG418" t="str">
        <f t="shared" si="261"/>
        <v>0,00303666345895989i</v>
      </c>
      <c r="AH418">
        <f t="shared" si="275"/>
        <v>3.0366634589598898E-3</v>
      </c>
      <c r="AI418">
        <f t="shared" si="276"/>
        <v>1.5707963267948966</v>
      </c>
      <c r="AJ418" t="str">
        <f t="shared" si="262"/>
        <v>1+4,85993268005608i</v>
      </c>
      <c r="AK418">
        <f t="shared" si="277"/>
        <v>4.9617482457977511</v>
      </c>
      <c r="AL418">
        <f t="shared" si="278"/>
        <v>1.3678644921460985</v>
      </c>
      <c r="AM418" t="str">
        <f t="shared" si="263"/>
        <v>1+711,759231597304i</v>
      </c>
      <c r="AN418">
        <f t="shared" si="279"/>
        <v>711.75993408169916</v>
      </c>
      <c r="AO418">
        <f t="shared" si="280"/>
        <v>1.5693913582358281</v>
      </c>
      <c r="AP418" s="42" t="str">
        <f t="shared" si="281"/>
        <v>-0,118395313061541+0,579516565116386i</v>
      </c>
      <c r="AQ418">
        <f t="shared" si="282"/>
        <v>-4.5610955710564722</v>
      </c>
      <c r="AR418" s="44">
        <f t="shared" si="283"/>
        <v>101.54663888543962</v>
      </c>
      <c r="AS418" s="42" t="str">
        <f t="shared" si="284"/>
        <v>0,0043424724439476-0,0142276576521227i</v>
      </c>
      <c r="AT418" s="20">
        <f t="shared" si="285"/>
        <v>-36.550513425073859</v>
      </c>
      <c r="AU418" s="44">
        <f t="shared" si="286"/>
        <v>-73.027105969730712</v>
      </c>
    </row>
    <row r="419" spans="14:47" x14ac:dyDescent="0.3">
      <c r="N419" s="8">
        <v>1</v>
      </c>
      <c r="O419" s="35">
        <f>10^(5+(N419/100))</f>
        <v>102329.29922807543</v>
      </c>
      <c r="P419" s="34" t="str">
        <f t="shared" si="255"/>
        <v>324,571428571429</v>
      </c>
      <c r="Q419" s="4" t="str">
        <f t="shared" si="256"/>
        <v>1+14696,0902720875i</v>
      </c>
      <c r="R419" s="4">
        <f t="shared" si="264"/>
        <v>14696.090306110153</v>
      </c>
      <c r="S419" s="4">
        <f t="shared" si="265"/>
        <v>1.5707282814862504</v>
      </c>
      <c r="T419" s="4" t="str">
        <f t="shared" si="257"/>
        <v>1+0,128590789880765i</v>
      </c>
      <c r="U419" s="4">
        <f t="shared" si="266"/>
        <v>1.0082338970904317</v>
      </c>
      <c r="V419" s="4">
        <f t="shared" si="267"/>
        <v>0.12788896497305269</v>
      </c>
      <c r="W419" t="str">
        <f t="shared" si="258"/>
        <v>1-1,11623949549276i</v>
      </c>
      <c r="X419" s="4">
        <f t="shared" si="268"/>
        <v>1.498662941190557</v>
      </c>
      <c r="Y419" s="4">
        <f t="shared" si="269"/>
        <v>-0.84027040637371797</v>
      </c>
      <c r="Z419" t="str">
        <f t="shared" si="259"/>
        <v>0,958114858077964+0,957063743435487i</v>
      </c>
      <c r="AA419" s="4">
        <f t="shared" si="270"/>
        <v>1.3542359802739348</v>
      </c>
      <c r="AB419" s="4">
        <f t="shared" si="271"/>
        <v>0.78484932970846077</v>
      </c>
      <c r="AC419" s="48" t="str">
        <f t="shared" si="272"/>
        <v>-0,0245754213040624-0,0018128543274394i</v>
      </c>
      <c r="AD419" s="20">
        <f t="shared" si="273"/>
        <v>-32.166412210848968</v>
      </c>
      <c r="AE419" s="44">
        <f t="shared" si="274"/>
        <v>-175.78110543266953</v>
      </c>
      <c r="AF419" t="str">
        <f t="shared" si="260"/>
        <v>-0,0000125211169631323</v>
      </c>
      <c r="AG419" t="str">
        <f t="shared" si="261"/>
        <v>0,0031073964374687i</v>
      </c>
      <c r="AH419">
        <f t="shared" si="275"/>
        <v>3.1073964374686998E-3</v>
      </c>
      <c r="AI419">
        <f t="shared" si="276"/>
        <v>1.5707963267948966</v>
      </c>
      <c r="AJ419" t="str">
        <f t="shared" si="262"/>
        <v>1+4,97313505445761i</v>
      </c>
      <c r="AK419">
        <f t="shared" si="277"/>
        <v>5.0726790032363667</v>
      </c>
      <c r="AL419">
        <f t="shared" si="278"/>
        <v>1.3723621342551933</v>
      </c>
      <c r="AM419" t="str">
        <f t="shared" si="263"/>
        <v>1+728,338233884655i</v>
      </c>
      <c r="AN419">
        <f t="shared" si="279"/>
        <v>728.33892037856822</v>
      </c>
      <c r="AO419">
        <f t="shared" si="280"/>
        <v>1.5694233391840426</v>
      </c>
      <c r="AP419" s="42" t="str">
        <f t="shared" si="281"/>
        <v>-0,113273728888244+0,567355007800805i</v>
      </c>
      <c r="AQ419">
        <f t="shared" si="282"/>
        <v>-4.753149085131847</v>
      </c>
      <c r="AR419" s="44">
        <f t="shared" si="283"/>
        <v>101.29077534818566</v>
      </c>
      <c r="AS419" s="42" t="str">
        <f t="shared" si="284"/>
        <v>0,00381228159119684-0,0137376395760741i</v>
      </c>
      <c r="AT419" s="20">
        <f t="shared" si="285"/>
        <v>-36.919561295980841</v>
      </c>
      <c r="AU419" s="44">
        <f t="shared" si="286"/>
        <v>-74.490330084483858</v>
      </c>
    </row>
    <row r="420" spans="14:47" x14ac:dyDescent="0.3">
      <c r="N420" s="8">
        <v>2</v>
      </c>
      <c r="O420" s="35">
        <f t="shared" ref="O420:O483" si="287">10^(5+(N420/100))</f>
        <v>104712.85480508996</v>
      </c>
      <c r="P420" s="34" t="str">
        <f t="shared" si="255"/>
        <v>324,571428571429</v>
      </c>
      <c r="Q420" s="4" t="str">
        <f t="shared" si="256"/>
        <v>1+15038,4061893525i</v>
      </c>
      <c r="R420" s="4">
        <f t="shared" si="264"/>
        <v>15038.406222600703</v>
      </c>
      <c r="S420" s="4">
        <f t="shared" si="265"/>
        <v>1.5707298303865715</v>
      </c>
      <c r="T420" s="4" t="str">
        <f t="shared" si="257"/>
        <v>1+0,131586054156834i</v>
      </c>
      <c r="U420" s="4">
        <f t="shared" si="266"/>
        <v>1.008620290123377</v>
      </c>
      <c r="V420" s="4">
        <f t="shared" si="267"/>
        <v>0.13083438191002375</v>
      </c>
      <c r="W420" t="str">
        <f t="shared" si="258"/>
        <v>1-1,14224005344474i</v>
      </c>
      <c r="X420" s="4">
        <f t="shared" si="268"/>
        <v>1.51812790623631</v>
      </c>
      <c r="Y420" s="4">
        <f t="shared" si="269"/>
        <v>-0.85169865787826915</v>
      </c>
      <c r="Z420" t="str">
        <f t="shared" si="259"/>
        <v>0,956140872154272+0,97935662182352i</v>
      </c>
      <c r="AA420" s="4">
        <f t="shared" si="270"/>
        <v>1.3687018521626646</v>
      </c>
      <c r="AB420" s="4">
        <f t="shared" si="271"/>
        <v>0.79739230777742987</v>
      </c>
      <c r="AC420" s="48" t="str">
        <f t="shared" si="272"/>
        <v>-0,0241120685644639-0,00126961665484996i</v>
      </c>
      <c r="AD420" s="20">
        <f t="shared" si="273"/>
        <v>-32.343286317163702</v>
      </c>
      <c r="AE420" s="44">
        <f t="shared" si="274"/>
        <v>-176.98588450302805</v>
      </c>
      <c r="AF420" t="str">
        <f t="shared" si="260"/>
        <v>-0,0000125211169631323</v>
      </c>
      <c r="AG420" t="str">
        <f t="shared" si="261"/>
        <v>0,0031797769986999i</v>
      </c>
      <c r="AH420">
        <f t="shared" si="275"/>
        <v>3.1797769986999002E-3</v>
      </c>
      <c r="AI420">
        <f t="shared" si="276"/>
        <v>1.5707963267948966</v>
      </c>
      <c r="AJ420" t="str">
        <f t="shared" si="262"/>
        <v>1+5,08897425089224i</v>
      </c>
      <c r="AK420">
        <f t="shared" si="277"/>
        <v>5.1862952987893225</v>
      </c>
      <c r="AL420">
        <f t="shared" si="278"/>
        <v>1.3767652724595025</v>
      </c>
      <c r="AM420" t="str">
        <f t="shared" si="263"/>
        <v>1+745,303410744309i</v>
      </c>
      <c r="AN420">
        <f t="shared" si="279"/>
        <v>745.30408161172716</v>
      </c>
      <c r="AO420">
        <f t="shared" si="280"/>
        <v>1.5694545921597132</v>
      </c>
      <c r="AP420" s="42" t="str">
        <f t="shared" si="281"/>
        <v>-0,108365110362322+0,555404990631782i</v>
      </c>
      <c r="AQ420">
        <f t="shared" si="282"/>
        <v>-4.9455466513683213</v>
      </c>
      <c r="AR420" s="44">
        <f t="shared" si="283"/>
        <v>101.04028477606913</v>
      </c>
      <c r="AS420" s="42" t="str">
        <f t="shared" si="284"/>
        <v>0,0033180583973449-0,0132543810662383i</v>
      </c>
      <c r="AT420" s="20">
        <f t="shared" si="285"/>
        <v>-37.28883296853202</v>
      </c>
      <c r="AU420" s="44">
        <f t="shared" si="286"/>
        <v>-75.945599726958932</v>
      </c>
    </row>
    <row r="421" spans="14:47" x14ac:dyDescent="0.3">
      <c r="N421" s="8">
        <v>3</v>
      </c>
      <c r="O421" s="35">
        <f t="shared" si="287"/>
        <v>107151.93052376082</v>
      </c>
      <c r="P421" s="34" t="str">
        <f t="shared" si="255"/>
        <v>324,571428571429</v>
      </c>
      <c r="Q421" s="4" t="str">
        <f t="shared" si="256"/>
        <v>1+15388,6956686359i</v>
      </c>
      <c r="R421" s="4">
        <f t="shared" si="264"/>
        <v>15388.695701127281</v>
      </c>
      <c r="S421" s="4">
        <f t="shared" si="265"/>
        <v>1.5707313440296171</v>
      </c>
      <c r="T421" s="4" t="str">
        <f t="shared" si="257"/>
        <v>1+0,134651087100564i</v>
      </c>
      <c r="U421" s="4">
        <f t="shared" si="266"/>
        <v>1.0090247347103853</v>
      </c>
      <c r="V421" s="4">
        <f t="shared" si="267"/>
        <v>0.13384604433407749</v>
      </c>
      <c r="W421" t="str">
        <f t="shared" si="258"/>
        <v>1-1,1688462421924i</v>
      </c>
      <c r="X421" s="4">
        <f t="shared" si="268"/>
        <v>1.5382462539812327</v>
      </c>
      <c r="Y421" s="4">
        <f t="shared" si="269"/>
        <v>-0.86309217565227103</v>
      </c>
      <c r="Z421" t="str">
        <f t="shared" si="259"/>
        <v>0,954073855140124+1,00216876805576i</v>
      </c>
      <c r="AA421" s="4">
        <f t="shared" si="270"/>
        <v>1.3836904136143815</v>
      </c>
      <c r="AB421" s="4">
        <f t="shared" si="271"/>
        <v>0.80997856344746622</v>
      </c>
      <c r="AC421" s="48" t="str">
        <f t="shared" si="272"/>
        <v>-0,0236472067241275-0,000748367260884692i</v>
      </c>
      <c r="AD421" s="20">
        <f t="shared" si="273"/>
        <v>-32.520055568224393</v>
      </c>
      <c r="AE421" s="44">
        <f t="shared" si="274"/>
        <v>-178.18735549419318</v>
      </c>
      <c r="AF421" t="str">
        <f t="shared" si="260"/>
        <v>-0,0000125211169631323</v>
      </c>
      <c r="AG421" t="str">
        <f t="shared" si="261"/>
        <v>0,00325384351978514i</v>
      </c>
      <c r="AH421">
        <f t="shared" si="275"/>
        <v>3.25384351978514E-3</v>
      </c>
      <c r="AI421">
        <f t="shared" si="276"/>
        <v>1.5707963267948966</v>
      </c>
      <c r="AJ421" t="str">
        <f t="shared" si="262"/>
        <v>1+5,20751168883524i</v>
      </c>
      <c r="AK421">
        <f t="shared" si="277"/>
        <v>5.3026576345598304</v>
      </c>
      <c r="AL421">
        <f t="shared" si="278"/>
        <v>1.3810755581039207</v>
      </c>
      <c r="AM421" t="str">
        <f t="shared" si="263"/>
        <v>1+762,663757337597i</v>
      </c>
      <c r="AN421">
        <f t="shared" si="279"/>
        <v>762.66441293422179</v>
      </c>
      <c r="AO421">
        <f t="shared" si="280"/>
        <v>1.5694851337333369</v>
      </c>
      <c r="AP421" s="42" t="str">
        <f t="shared" si="281"/>
        <v>-0,103661331795181+0,543665697530593i</v>
      </c>
      <c r="AQ421">
        <f t="shared" si="282"/>
        <v>-5.138273937872663</v>
      </c>
      <c r="AR421" s="44">
        <f t="shared" si="283"/>
        <v>100.79507350341643</v>
      </c>
      <c r="AS421" s="42" t="str">
        <f t="shared" si="284"/>
        <v>0,00285816255115695-0,0127785983913877i</v>
      </c>
      <c r="AT421" s="20">
        <f t="shared" si="285"/>
        <v>-37.658329506097047</v>
      </c>
      <c r="AU421" s="44">
        <f t="shared" si="286"/>
        <v>-77.392281990776752</v>
      </c>
    </row>
    <row r="422" spans="14:47" x14ac:dyDescent="0.3">
      <c r="N422" s="8">
        <v>4</v>
      </c>
      <c r="O422" s="35">
        <f t="shared" si="287"/>
        <v>109647.81961431868</v>
      </c>
      <c r="P422" s="34" t="str">
        <f t="shared" si="255"/>
        <v>324,571428571429</v>
      </c>
      <c r="Q422" s="4" t="str">
        <f t="shared" si="256"/>
        <v>1+15747,1444380563i</v>
      </c>
      <c r="R422" s="4">
        <f t="shared" si="264"/>
        <v>15747.14446980809</v>
      </c>
      <c r="S422" s="4">
        <f t="shared" si="265"/>
        <v>1.5707328232179409</v>
      </c>
      <c r="T422" s="4" t="str">
        <f t="shared" si="257"/>
        <v>1+0,137787513832993i</v>
      </c>
      <c r="U422" s="4">
        <f t="shared" si="266"/>
        <v>1.0094480665038086</v>
      </c>
      <c r="V422" s="4">
        <f t="shared" si="267"/>
        <v>0.13692533042398056</v>
      </c>
      <c r="W422" t="str">
        <f t="shared" si="258"/>
        <v>1-1,19607216868918i</v>
      </c>
      <c r="X422" s="4">
        <f t="shared" si="268"/>
        <v>1.5590345194102786</v>
      </c>
      <c r="Y422" s="4">
        <f t="shared" si="269"/>
        <v>-0.8744451694280797</v>
      </c>
      <c r="Z422" t="str">
        <f t="shared" si="259"/>
        <v>0,951909422615303+1,0255122774341i</v>
      </c>
      <c r="AA422" s="4">
        <f t="shared" si="270"/>
        <v>1.3992165593759507</v>
      </c>
      <c r="AB422" s="4">
        <f t="shared" si="271"/>
        <v>0.82260261605910734</v>
      </c>
      <c r="AC422" s="48" t="str">
        <f t="shared" si="272"/>
        <v>-0,0231813228232034-0,000248916129325945i</v>
      </c>
      <c r="AD422" s="20">
        <f t="shared" si="273"/>
        <v>-32.696734987061703</v>
      </c>
      <c r="AE422" s="44">
        <f t="shared" si="274"/>
        <v>-179.38479371176655</v>
      </c>
      <c r="AF422" t="str">
        <f t="shared" si="260"/>
        <v>-0,0000125211169631323</v>
      </c>
      <c r="AG422" t="str">
        <f t="shared" si="261"/>
        <v>0,00332963527177427i</v>
      </c>
      <c r="AH422">
        <f t="shared" si="275"/>
        <v>3.3296352717742698E-3</v>
      </c>
      <c r="AI422">
        <f t="shared" si="276"/>
        <v>1.5707963267948966</v>
      </c>
      <c r="AJ422" t="str">
        <f t="shared" si="262"/>
        <v>1+5,32881021840521i</v>
      </c>
      <c r="AK422">
        <f t="shared" si="277"/>
        <v>5.4218279522481891</v>
      </c>
      <c r="AL422">
        <f t="shared" si="278"/>
        <v>1.3852946356191806</v>
      </c>
      <c r="AM422" t="str">
        <f t="shared" si="263"/>
        <v>1+780,428478350072i</v>
      </c>
      <c r="AN422">
        <f t="shared" si="279"/>
        <v>780.42911902350795</v>
      </c>
      <c r="AO422">
        <f t="shared" si="280"/>
        <v>1.569514980098232</v>
      </c>
      <c r="AP422" s="42" t="str">
        <f t="shared" si="281"/>
        <v>-0,0991545151809408+0,532136100762135i</v>
      </c>
      <c r="AQ422">
        <f t="shared" si="282"/>
        <v>-5.3313171617620458</v>
      </c>
      <c r="AR422" s="44">
        <f t="shared" si="283"/>
        <v>100.55504823909585</v>
      </c>
      <c r="AS422" s="42" t="str">
        <f t="shared" si="284"/>
        <v>0,00243099008426392-0,0123109375795237i</v>
      </c>
      <c r="AT422" s="20">
        <f t="shared" si="285"/>
        <v>-38.028052148823761</v>
      </c>
      <c r="AU422" s="44">
        <f t="shared" si="286"/>
        <v>-78.829745472670709</v>
      </c>
    </row>
    <row r="423" spans="14:47" x14ac:dyDescent="0.3">
      <c r="N423" s="8">
        <v>5</v>
      </c>
      <c r="O423" s="35">
        <f t="shared" si="287"/>
        <v>112201.84543019651</v>
      </c>
      <c r="P423" s="34" t="str">
        <f t="shared" si="255"/>
        <v>324,571428571429</v>
      </c>
      <c r="Q423" s="4" t="str">
        <f t="shared" si="256"/>
        <v>1+16113,9425518959i</v>
      </c>
      <c r="R423" s="4">
        <f t="shared" si="264"/>
        <v>16113.942582924927</v>
      </c>
      <c r="S423" s="4">
        <f t="shared" si="265"/>
        <v>1.5707342687358279</v>
      </c>
      <c r="T423" s="4" t="str">
        <f t="shared" si="257"/>
        <v>1+0,140996997329089i</v>
      </c>
      <c r="U423" s="4">
        <f t="shared" si="266"/>
        <v>1.0098911591136042</v>
      </c>
      <c r="V423" s="4">
        <f t="shared" si="267"/>
        <v>0.14007363915247104</v>
      </c>
      <c r="W423" t="str">
        <f t="shared" si="258"/>
        <v>1-1,22393226848168i</v>
      </c>
      <c r="X423" s="4">
        <f t="shared" si="268"/>
        <v>1.5805094741350687</v>
      </c>
      <c r="Y423" s="4">
        <f t="shared" si="269"/>
        <v>-0.88575195319212952</v>
      </c>
      <c r="Z423" t="str">
        <f t="shared" si="259"/>
        <v>0,949642983528233+1,04939952699619i</v>
      </c>
      <c r="AA423" s="4">
        <f t="shared" si="270"/>
        <v>1.4152954332662249</v>
      </c>
      <c r="AB423" s="4">
        <f t="shared" si="271"/>
        <v>0.83525896475968298</v>
      </c>
      <c r="AC423" s="48" t="str">
        <f t="shared" si="272"/>
        <v>-0,0227149081241415+0,000228948902537629i</v>
      </c>
      <c r="AD423" s="20">
        <f t="shared" si="273"/>
        <v>-32.873339127442293</v>
      </c>
      <c r="AE423" s="44">
        <f t="shared" si="274"/>
        <v>179.42252191477007</v>
      </c>
      <c r="AF423" t="str">
        <f t="shared" si="260"/>
        <v>-0,0000125211169631323</v>
      </c>
      <c r="AG423" t="str">
        <f t="shared" si="261"/>
        <v>0,00340719244045744i</v>
      </c>
      <c r="AH423">
        <f t="shared" si="275"/>
        <v>3.4071924404574399E-3</v>
      </c>
      <c r="AI423">
        <f t="shared" si="276"/>
        <v>1.5707963267948966</v>
      </c>
      <c r="AJ423" t="str">
        <f t="shared" si="262"/>
        <v>1+5,45293415368813i</v>
      </c>
      <c r="AK423">
        <f t="shared" si="277"/>
        <v>5.5438696669797789</v>
      </c>
      <c r="AL423">
        <f t="shared" si="278"/>
        <v>1.3894241409069774</v>
      </c>
      <c r="AM423" t="str">
        <f t="shared" si="263"/>
        <v>1+798,606992871961i</v>
      </c>
      <c r="AN423">
        <f t="shared" si="279"/>
        <v>798.6076189619007</v>
      </c>
      <c r="AO423">
        <f t="shared" si="280"/>
        <v>1.5695441470791238</v>
      </c>
      <c r="AP423" s="42" t="str">
        <f t="shared" si="281"/>
        <v>-0,0948370281775011+0,520814977456892i</v>
      </c>
      <c r="AQ423">
        <f t="shared" si="282"/>
        <v>-5.5246630722367733</v>
      </c>
      <c r="AR423" s="44">
        <f t="shared" si="283"/>
        <v>100.32011615953431</v>
      </c>
      <c r="AS423" s="42" t="str">
        <f t="shared" si="284"/>
        <v>0,00203497436430464-0,0118519771961313i</v>
      </c>
      <c r="AT423" s="20">
        <f t="shared" si="285"/>
        <v>-38.398002199679063</v>
      </c>
      <c r="AU423" s="44">
        <f t="shared" si="286"/>
        <v>-80.257361925695605</v>
      </c>
    </row>
    <row r="424" spans="14:47" x14ac:dyDescent="0.3">
      <c r="N424" s="8">
        <v>6</v>
      </c>
      <c r="O424" s="35">
        <f t="shared" si="287"/>
        <v>114815.36214968823</v>
      </c>
      <c r="P424" s="34" t="str">
        <f t="shared" si="255"/>
        <v>324,571428571429</v>
      </c>
      <c r="Q424" s="4" t="str">
        <f t="shared" si="256"/>
        <v>1+16489,2844913697i</v>
      </c>
      <c r="R424" s="4">
        <f t="shared" si="264"/>
        <v>16489.284521692422</v>
      </c>
      <c r="S424" s="4">
        <f t="shared" si="265"/>
        <v>1.5707356813497109</v>
      </c>
      <c r="T424" s="4" t="str">
        <f t="shared" si="257"/>
        <v>1+0,144281239299485i</v>
      </c>
      <c r="U424" s="4">
        <f t="shared" si="266"/>
        <v>1.0103549257631179</v>
      </c>
      <c r="V424" s="4">
        <f t="shared" si="267"/>
        <v>0.14329239001901545</v>
      </c>
      <c r="W424" t="str">
        <f t="shared" si="258"/>
        <v>1-1,25244131336358i</v>
      </c>
      <c r="X424" s="4">
        <f t="shared" si="268"/>
        <v>1.6026881304295884</v>
      </c>
      <c r="Y424" s="4">
        <f t="shared" si="269"/>
        <v>-0.89700695872289515</v>
      </c>
      <c r="Z424" t="str">
        <f t="shared" si="259"/>
        <v>0,947269730457744+1,07384318207794i</v>
      </c>
      <c r="AA424" s="4">
        <f t="shared" si="270"/>
        <v>1.4319424296865997</v>
      </c>
      <c r="AB424" s="4">
        <f t="shared" si="271"/>
        <v>0.84794210479464349</v>
      </c>
      <c r="AC424" s="48" t="str">
        <f t="shared" si="272"/>
        <v>-0,0222484560399828+0,000685462561398433i</v>
      </c>
      <c r="AD424" s="20">
        <f t="shared" si="273"/>
        <v>-33.049881978375588</v>
      </c>
      <c r="AE424" s="44">
        <f t="shared" si="274"/>
        <v>178.23530710762756</v>
      </c>
      <c r="AF424" t="str">
        <f t="shared" si="260"/>
        <v>-0,0000125211169631323</v>
      </c>
      <c r="AG424" t="str">
        <f t="shared" si="261"/>
        <v>0,00348655614767205i</v>
      </c>
      <c r="AH424">
        <f t="shared" si="275"/>
        <v>3.48655614767205E-3</v>
      </c>
      <c r="AI424">
        <f t="shared" si="276"/>
        <v>1.5707963267948966</v>
      </c>
      <c r="AJ424" t="str">
        <f t="shared" si="262"/>
        <v>1+5,57994930683743i</v>
      </c>
      <c r="AK424">
        <f t="shared" si="277"/>
        <v>5.6688477018593035</v>
      </c>
      <c r="AL424">
        <f t="shared" si="278"/>
        <v>1.3934656998526171</v>
      </c>
      <c r="AM424" t="str">
        <f t="shared" si="263"/>
        <v>1+817,208939392282i</v>
      </c>
      <c r="AN424">
        <f t="shared" si="279"/>
        <v>817.20955123068541</v>
      </c>
      <c r="AO424">
        <f t="shared" si="280"/>
        <v>1.5695726501405327</v>
      </c>
      <c r="AP424" s="42" t="str">
        <f t="shared" si="281"/>
        <v>-0,0907014815244735+0,509700925328298i</v>
      </c>
      <c r="AQ424">
        <f t="shared" si="282"/>
        <v>-5.7182989338104937</v>
      </c>
      <c r="AR424" s="44">
        <f t="shared" si="283"/>
        <v>100.09018499441778</v>
      </c>
      <c r="AS424" s="42" t="str">
        <f t="shared" si="284"/>
        <v>0,00166858702263587-0,0114022311005536i</v>
      </c>
      <c r="AT424" s="20">
        <f t="shared" si="285"/>
        <v>-38.768180912186075</v>
      </c>
      <c r="AU424" s="44">
        <f t="shared" si="286"/>
        <v>-81.674507897954683</v>
      </c>
    </row>
    <row r="425" spans="14:47" x14ac:dyDescent="0.3">
      <c r="N425" s="8">
        <v>7</v>
      </c>
      <c r="O425" s="35">
        <f t="shared" si="287"/>
        <v>117489.75549395311</v>
      </c>
      <c r="P425" s="34" t="str">
        <f t="shared" si="255"/>
        <v>324,571428571429</v>
      </c>
      <c r="Q425" s="4" t="str">
        <f t="shared" si="256"/>
        <v>1+16873,3692677424i</v>
      </c>
      <c r="R425" s="4">
        <f t="shared" si="264"/>
        <v>16873.369297374891</v>
      </c>
      <c r="S425" s="4">
        <f t="shared" si="265"/>
        <v>1.5707370618085763</v>
      </c>
      <c r="T425" s="4" t="str">
        <f t="shared" si="257"/>
        <v>1+0,147641981092746i</v>
      </c>
      <c r="U425" s="4">
        <f t="shared" si="266"/>
        <v>1.010840321010688</v>
      </c>
      <c r="V425" s="4">
        <f t="shared" si="267"/>
        <v>0.14658302272922685</v>
      </c>
      <c r="W425" t="str">
        <f t="shared" si="258"/>
        <v>1-1,28161441920786i</v>
      </c>
      <c r="X425" s="4">
        <f t="shared" si="268"/>
        <v>1.6255877458696286</v>
      </c>
      <c r="Y425" s="4">
        <f t="shared" si="269"/>
        <v>-0.9082047484101865</v>
      </c>
      <c r="Z425" t="str">
        <f t="shared" si="259"/>
        <v>0,944784629415884+1,09885620302882i</v>
      </c>
      <c r="AA425" s="4">
        <f t="shared" si="270"/>
        <v>1.4491731956241203</v>
      </c>
      <c r="AB425" s="4">
        <f t="shared" si="271"/>
        <v>0.86064654391069007</v>
      </c>
      <c r="AC425" s="48" t="str">
        <f t="shared" si="272"/>
        <v>-0,0217824600429907+0,00112088236998071i</v>
      </c>
      <c r="AD425" s="20">
        <f t="shared" si="273"/>
        <v>-33.226376870893162</v>
      </c>
      <c r="AE425" s="44">
        <f t="shared" si="274"/>
        <v>177.05427054799625</v>
      </c>
      <c r="AF425" t="str">
        <f t="shared" si="260"/>
        <v>-0,0000125211169631323</v>
      </c>
      <c r="AG425" t="str">
        <f t="shared" si="261"/>
        <v>0,0035677684731062i</v>
      </c>
      <c r="AH425">
        <f t="shared" si="275"/>
        <v>3.5677684731061999E-3</v>
      </c>
      <c r="AI425">
        <f t="shared" si="276"/>
        <v>1.5707963267948966</v>
      </c>
      <c r="AJ425" t="str">
        <f t="shared" si="262"/>
        <v>1+5,70992302296861i</v>
      </c>
      <c r="AK425">
        <f t="shared" si="277"/>
        <v>5.7968285232726169</v>
      </c>
      <c r="AL425">
        <f t="shared" si="278"/>
        <v>1.3974209269588951</v>
      </c>
      <c r="AM425" t="str">
        <f t="shared" si="263"/>
        <v>1+836,244180909311i</v>
      </c>
      <c r="AN425">
        <f t="shared" si="279"/>
        <v>836.24477882058227</v>
      </c>
      <c r="AO425">
        <f t="shared" si="280"/>
        <v>1.5696005043949741</v>
      </c>
      <c r="AP425" s="42" t="str">
        <f t="shared" si="281"/>
        <v>-0,0867407259636264+0,498792377600241i</v>
      </c>
      <c r="AQ425">
        <f t="shared" si="282"/>
        <v>-5.9122125097358538</v>
      </c>
      <c r="AR425" s="44">
        <f t="shared" si="283"/>
        <v>99.865163105433254</v>
      </c>
      <c r="AS425" s="42" t="str">
        <f t="shared" si="284"/>
        <v>0,00133033881506983-0,0109621511853175i</v>
      </c>
      <c r="AT425" s="20">
        <f t="shared" si="285"/>
        <v>-39.138589380629043</v>
      </c>
      <c r="AU425" s="44">
        <f t="shared" si="286"/>
        <v>-83.080566346570464</v>
      </c>
    </row>
    <row r="426" spans="14:47" x14ac:dyDescent="0.3">
      <c r="N426" s="8">
        <v>8</v>
      </c>
      <c r="O426" s="35">
        <f t="shared" si="287"/>
        <v>120226.44346174144</v>
      </c>
      <c r="P426" s="34" t="str">
        <f t="shared" si="255"/>
        <v>324,571428571429</v>
      </c>
      <c r="Q426" s="4" t="str">
        <f t="shared" si="256"/>
        <v>1+17266,4005278462i</v>
      </c>
      <c r="R426" s="4">
        <f t="shared" si="264"/>
        <v>17266.400556804176</v>
      </c>
      <c r="S426" s="4">
        <f t="shared" si="265"/>
        <v>1.5707384108443621</v>
      </c>
      <c r="T426" s="4" t="str">
        <f t="shared" si="257"/>
        <v>1+0,151081004618654i</v>
      </c>
      <c r="U426" s="4">
        <f t="shared" si="266"/>
        <v>1.0113483425390986</v>
      </c>
      <c r="V426" s="4">
        <f t="shared" si="267"/>
        <v>0.14994699681709764</v>
      </c>
      <c r="W426" t="str">
        <f t="shared" si="258"/>
        <v>1-1,31146705398137i</v>
      </c>
      <c r="X426" s="4">
        <f t="shared" si="268"/>
        <v>1.6492258285870296</v>
      </c>
      <c r="Y426" s="4">
        <f t="shared" si="269"/>
        <v>-0.91934002728990805</v>
      </c>
      <c r="Z426" t="str">
        <f t="shared" si="259"/>
        <v>0,942182409170163+1,12445185208363i</v>
      </c>
      <c r="AA426" s="4">
        <f t="shared" si="270"/>
        <v>1.4670036331938643</v>
      </c>
      <c r="AB426" s="4">
        <f t="shared" si="271"/>
        <v>0.87336681876651434</v>
      </c>
      <c r="AC426" s="48" t="str">
        <f t="shared" si="272"/>
        <v>-0,0213174115723964+0,00153548869252555i</v>
      </c>
      <c r="AD426" s="20">
        <f t="shared" si="273"/>
        <v>-33.402836387798651</v>
      </c>
      <c r="AE426" s="44">
        <f t="shared" si="274"/>
        <v>175.88011222457143</v>
      </c>
      <c r="AF426" t="str">
        <f t="shared" si="260"/>
        <v>-0,0000125211169631323</v>
      </c>
      <c r="AG426" t="str">
        <f t="shared" si="261"/>
        <v>0,00365087247660978i</v>
      </c>
      <c r="AH426">
        <f t="shared" si="275"/>
        <v>3.6508724766097802E-3</v>
      </c>
      <c r="AI426">
        <f t="shared" si="276"/>
        <v>1.5707963267948966</v>
      </c>
      <c r="AJ426" t="str">
        <f t="shared" si="262"/>
        <v>1+5,84292421586632i</v>
      </c>
      <c r="AK426">
        <f t="shared" si="277"/>
        <v>5.9278801769567728</v>
      </c>
      <c r="AL426">
        <f t="shared" si="278"/>
        <v>1.4012914240950154</v>
      </c>
      <c r="AM426" t="str">
        <f t="shared" si="263"/>
        <v>1+855,722810160057i</v>
      </c>
      <c r="AN426">
        <f t="shared" si="279"/>
        <v>855.72339446121543</v>
      </c>
      <c r="AO426">
        <f t="shared" si="280"/>
        <v>1.5696277246109691</v>
      </c>
      <c r="AP426" s="42" t="str">
        <f t="shared" si="281"/>
        <v>-0,0829478487229802+0,488087617162203i</v>
      </c>
      <c r="AQ426">
        <f t="shared" si="282"/>
        <v>-6.1063920456554506</v>
      </c>
      <c r="AR426" s="44">
        <f t="shared" si="283"/>
        <v>99.644959558410065</v>
      </c>
      <c r="AS426" s="42" t="str">
        <f t="shared" si="284"/>
        <v>0,00101878041315834-0,0105321301022204i</v>
      </c>
      <c r="AT426" s="20">
        <f t="shared" si="285"/>
        <v>-39.509228433454091</v>
      </c>
      <c r="AU426" s="44">
        <f t="shared" si="286"/>
        <v>-84.474928217018544</v>
      </c>
    </row>
    <row r="427" spans="14:47" x14ac:dyDescent="0.3">
      <c r="N427" s="8">
        <v>9</v>
      </c>
      <c r="O427" s="35">
        <f t="shared" si="287"/>
        <v>123026.87708123829</v>
      </c>
      <c r="P427" s="34" t="str">
        <f t="shared" si="255"/>
        <v>324,571428571429</v>
      </c>
      <c r="Q427" s="4" t="str">
        <f t="shared" si="256"/>
        <v>1+17668,5866620577i</v>
      </c>
      <c r="R427" s="4">
        <f t="shared" si="264"/>
        <v>17668.586690356511</v>
      </c>
      <c r="S427" s="4">
        <f t="shared" si="265"/>
        <v>1.5707397291723444</v>
      </c>
      <c r="T427" s="4" t="str">
        <f t="shared" si="257"/>
        <v>1+0,154600133293005i</v>
      </c>
      <c r="U427" s="4">
        <f t="shared" si="266"/>
        <v>1.01188003301489</v>
      </c>
      <c r="V427" s="4">
        <f t="shared" si="267"/>
        <v>0.15338579120600168</v>
      </c>
      <c r="W427" t="str">
        <f t="shared" si="258"/>
        <v>1-1,34201504594622i</v>
      </c>
      <c r="X427" s="4">
        <f t="shared" si="268"/>
        <v>1.6736201431465969</v>
      </c>
      <c r="Y427" s="4">
        <f t="shared" si="269"/>
        <v>-0.93040765423708205</v>
      </c>
      <c r="Z427" t="str">
        <f t="shared" si="259"/>
        <v>0,939457550062551+1,15064370039429i</v>
      </c>
      <c r="AA427" s="4">
        <f t="shared" si="270"/>
        <v>1.4854499027656891</v>
      </c>
      <c r="AB427" s="4">
        <f t="shared" si="271"/>
        <v>0.88609751124681047</v>
      </c>
      <c r="AC427" s="48" t="str">
        <f t="shared" si="272"/>
        <v>-0,0208537979600423+0,00192958459478221i</v>
      </c>
      <c r="AD427" s="20">
        <f t="shared" si="273"/>
        <v>-33.579272277041255</v>
      </c>
      <c r="AE427" s="44">
        <f t="shared" si="274"/>
        <v>174.71352183234129</v>
      </c>
      <c r="AF427" t="str">
        <f t="shared" si="260"/>
        <v>-0,0000125211169631323</v>
      </c>
      <c r="AG427" t="str">
        <f t="shared" si="261"/>
        <v>0,00373591222102547i</v>
      </c>
      <c r="AH427">
        <f t="shared" si="275"/>
        <v>3.7359122210254701E-3</v>
      </c>
      <c r="AI427">
        <f t="shared" si="276"/>
        <v>1.5707963267948966</v>
      </c>
      <c r="AJ427" t="str">
        <f t="shared" si="262"/>
        <v>1+5,97902340452352i</v>
      </c>
      <c r="AK427">
        <f t="shared" si="277"/>
        <v>6.0620723248605364</v>
      </c>
      <c r="AL427">
        <f t="shared" si="278"/>
        <v>1.4050787793545356</v>
      </c>
      <c r="AM427" t="str">
        <f t="shared" si="263"/>
        <v>1+875,65515497158i</v>
      </c>
      <c r="AN427">
        <f t="shared" si="279"/>
        <v>875.6557259724292</v>
      </c>
      <c r="AO427">
        <f t="shared" si="280"/>
        <v>1.5696543252208752</v>
      </c>
      <c r="AP427" s="42" t="str">
        <f t="shared" si="281"/>
        <v>-0,0793161696211334+0,477584789971387i</v>
      </c>
      <c r="AQ427">
        <f t="shared" si="282"/>
        <v>-6.3008262535087187</v>
      </c>
      <c r="AR427" s="44">
        <f t="shared" si="283"/>
        <v>99.429484189202967</v>
      </c>
      <c r="AS427" s="42" t="str">
        <f t="shared" si="284"/>
        <v>0,000732503122812475-0,0101125039778706i</v>
      </c>
      <c r="AT427" s="20">
        <f t="shared" si="285"/>
        <v>-39.880098530549986</v>
      </c>
      <c r="AU427" s="44">
        <f t="shared" si="286"/>
        <v>-85.856993978455719</v>
      </c>
    </row>
    <row r="428" spans="14:47" x14ac:dyDescent="0.3">
      <c r="N428" s="8">
        <v>10</v>
      </c>
      <c r="O428" s="35">
        <f t="shared" si="287"/>
        <v>125892.54117941685</v>
      </c>
      <c r="P428" s="34" t="str">
        <f t="shared" si="255"/>
        <v>324,571428571429</v>
      </c>
      <c r="Q428" s="4" t="str">
        <f t="shared" si="256"/>
        <v>1+18080,1409147889i</v>
      </c>
      <c r="R428" s="4">
        <f t="shared" si="264"/>
        <v>18080.140942443548</v>
      </c>
      <c r="S428" s="4">
        <f t="shared" si="265"/>
        <v>1.5707410174915182</v>
      </c>
      <c r="T428" s="4" t="str">
        <f t="shared" si="257"/>
        <v>1+0,158201233004403i</v>
      </c>
      <c r="U428" s="4">
        <f t="shared" si="266"/>
        <v>1.0124364820195455</v>
      </c>
      <c r="V428" s="4">
        <f t="shared" si="267"/>
        <v>0.15690090370420642</v>
      </c>
      <c r="W428" t="str">
        <f t="shared" si="258"/>
        <v>1-1,37327459205211i</v>
      </c>
      <c r="X428" s="4">
        <f t="shared" si="268"/>
        <v>1.6987887170498541</v>
      </c>
      <c r="Y428" s="4">
        <f t="shared" si="269"/>
        <v>-0.94140265226870667</v>
      </c>
      <c r="Z428" t="str">
        <f t="shared" si="259"/>
        <v>0,936604272301555+1,17744563522547i</v>
      </c>
      <c r="AA428" s="4">
        <f t="shared" si="270"/>
        <v>1.5045284267188295</v>
      </c>
      <c r="AB428" s="4">
        <f t="shared" si="271"/>
        <v>0.89883326457644541</v>
      </c>
      <c r="AC428" s="48" t="str">
        <f t="shared" si="272"/>
        <v>-0,0203921003924332+0,00230349552175669i</v>
      </c>
      <c r="AD428" s="20">
        <f t="shared" si="273"/>
        <v>-33.755695369310665</v>
      </c>
      <c r="AE428" s="44">
        <f t="shared" si="274"/>
        <v>173.55517723007634</v>
      </c>
      <c r="AF428" t="str">
        <f t="shared" si="260"/>
        <v>-0,0000125211169631323</v>
      </c>
      <c r="AG428" t="str">
        <f t="shared" si="261"/>
        <v>0,00382293279555139i</v>
      </c>
      <c r="AH428">
        <f t="shared" si="275"/>
        <v>3.8229327955513902E-3</v>
      </c>
      <c r="AI428">
        <f t="shared" si="276"/>
        <v>1.5707963267948966</v>
      </c>
      <c r="AJ428" t="str">
        <f t="shared" si="262"/>
        <v>1+6,11829275053153i</v>
      </c>
      <c r="AK428">
        <f t="shared" si="277"/>
        <v>6.1994762828166925</v>
      </c>
      <c r="AL428">
        <f t="shared" si="278"/>
        <v>1.4087845660164551</v>
      </c>
      <c r="AM428" t="str">
        <f t="shared" si="263"/>
        <v>1+896,051783736936i</v>
      </c>
      <c r="AN428">
        <f t="shared" si="279"/>
        <v>896.05234174022712</v>
      </c>
      <c r="AO428">
        <f t="shared" si="280"/>
        <v>1.5696803203285374</v>
      </c>
      <c r="AP428" s="42" t="str">
        <f t="shared" si="281"/>
        <v>-0,0758392368442257+0,467281917723192i</v>
      </c>
      <c r="AQ428">
        <f t="shared" si="282"/>
        <v>-6.4955042957164446</v>
      </c>
      <c r="AR428" s="44">
        <f t="shared" si="283"/>
        <v>99.218647663656128</v>
      </c>
      <c r="AS428" s="42" t="str">
        <f t="shared" si="284"/>
        <v>0,000470139526539718-0,00970355512022416i</v>
      </c>
      <c r="AT428" s="20">
        <f t="shared" si="285"/>
        <v>-40.251199665027109</v>
      </c>
      <c r="AU428" s="44">
        <f t="shared" si="286"/>
        <v>-87.226175106267519</v>
      </c>
    </row>
    <row r="429" spans="14:47" x14ac:dyDescent="0.3">
      <c r="N429" s="8">
        <v>11</v>
      </c>
      <c r="O429" s="35">
        <f t="shared" si="287"/>
        <v>128824.95516931375</v>
      </c>
      <c r="P429" s="34" t="str">
        <f t="shared" si="255"/>
        <v>324,571428571429</v>
      </c>
      <c r="Q429" s="4" t="str">
        <f t="shared" si="256"/>
        <v>1+18501,281497552i</v>
      </c>
      <c r="R429" s="4">
        <f t="shared" si="264"/>
        <v>18501.281524577156</v>
      </c>
      <c r="S429" s="4">
        <f t="shared" si="265"/>
        <v>1.5707422764849677</v>
      </c>
      <c r="T429" s="4" t="str">
        <f t="shared" si="257"/>
        <v>1+0,16188621310358i</v>
      </c>
      <c r="U429" s="4">
        <f t="shared" si="266"/>
        <v>1.0130188280545518</v>
      </c>
      <c r="V429" s="4">
        <f t="shared" si="267"/>
        <v>0.16049385043046566</v>
      </c>
      <c r="W429" t="str">
        <f t="shared" si="258"/>
        <v>1-1,40526226652413i</v>
      </c>
      <c r="X429" s="4">
        <f t="shared" si="268"/>
        <v>1.724749847866796</v>
      </c>
      <c r="Y429" s="4">
        <f t="shared" si="269"/>
        <v>-0.95232021791734134</v>
      </c>
      <c r="Z429" t="str">
        <f t="shared" si="259"/>
        <v>0,933616523702497+1,20487186731779i</v>
      </c>
      <c r="AA429" s="4">
        <f t="shared" si="270"/>
        <v>1.5242558938656572</v>
      </c>
      <c r="AB429" s="4">
        <f t="shared" si="271"/>
        <v>0.9115687991340401</v>
      </c>
      <c r="AC429" s="48" t="str">
        <f t="shared" si="272"/>
        <v>-0,019932791927148+0,00265756879859026i</v>
      </c>
      <c r="AD429" s="20">
        <f t="shared" si="273"/>
        <v>-33.932115500388221</v>
      </c>
      <c r="AE429" s="44">
        <f t="shared" si="274"/>
        <v>172.40574296427812</v>
      </c>
      <c r="AF429" t="str">
        <f t="shared" si="260"/>
        <v>-0,0000125211169631323</v>
      </c>
      <c r="AG429" t="str">
        <f t="shared" si="261"/>
        <v>0,00391198033964802i</v>
      </c>
      <c r="AH429">
        <f t="shared" si="275"/>
        <v>3.9119803396480196E-3</v>
      </c>
      <c r="AI429">
        <f t="shared" si="276"/>
        <v>1.5707963267948966</v>
      </c>
      <c r="AJ429" t="str">
        <f t="shared" si="262"/>
        <v>1+6,26080609634107i</v>
      </c>
      <c r="AK429">
        <f t="shared" si="277"/>
        <v>6.34016505904866</v>
      </c>
      <c r="AL429">
        <f t="shared" si="278"/>
        <v>1.412410341603757</v>
      </c>
      <c r="AM429" t="str">
        <f t="shared" si="263"/>
        <v>1+916,923511018678i</v>
      </c>
      <c r="AN429">
        <f t="shared" si="279"/>
        <v>916.92405632027123</v>
      </c>
      <c r="AO429">
        <f t="shared" si="280"/>
        <v>1.5697057237167649</v>
      </c>
      <c r="AP429" s="42" t="str">
        <f t="shared" si="281"/>
        <v>-0,0725108224437693+0,457176909812542i</v>
      </c>
      <c r="AQ429">
        <f t="shared" si="282"/>
        <v>-6.6904157696654121</v>
      </c>
      <c r="AR429" s="44">
        <f t="shared" si="283"/>
        <v>99.012361531972942</v>
      </c>
      <c r="AS429" s="42" t="str">
        <f t="shared" si="284"/>
        <v>0,000230364045284302-0,00930551471647659i</v>
      </c>
      <c r="AT429" s="20">
        <f t="shared" si="285"/>
        <v>-40.622531270053628</v>
      </c>
      <c r="AU429" s="44">
        <f t="shared" si="286"/>
        <v>-88.581895503748939</v>
      </c>
    </row>
    <row r="430" spans="14:47" x14ac:dyDescent="0.3">
      <c r="N430" s="8">
        <v>12</v>
      </c>
      <c r="O430" s="35">
        <f t="shared" si="287"/>
        <v>131825.67385564081</v>
      </c>
      <c r="P430" s="34" t="str">
        <f t="shared" si="255"/>
        <v>324,571428571429</v>
      </c>
      <c r="Q430" s="4" t="str">
        <f t="shared" si="256"/>
        <v>1+18932,2317046585i</v>
      </c>
      <c r="R430" s="4">
        <f t="shared" si="264"/>
        <v>18932.231731068488</v>
      </c>
      <c r="S430" s="4">
        <f t="shared" si="265"/>
        <v>1.5707435068202276</v>
      </c>
      <c r="T430" s="4" t="str">
        <f t="shared" si="257"/>
        <v>1+0,165657027415762i</v>
      </c>
      <c r="U430" s="4">
        <f t="shared" si="266"/>
        <v>1.0136282606223184</v>
      </c>
      <c r="V430" s="4">
        <f t="shared" si="267"/>
        <v>0.16416616516504487</v>
      </c>
      <c r="W430" t="str">
        <f t="shared" si="258"/>
        <v>1-1,43799502965071i</v>
      </c>
      <c r="X430" s="4">
        <f t="shared" si="268"/>
        <v>1.7515221109937911</v>
      </c>
      <c r="Y430" s="4">
        <f t="shared" si="269"/>
        <v>-0.96315572964563023</v>
      </c>
      <c r="Z430" t="str">
        <f t="shared" si="259"/>
        <v>0,930487966850025+1,23293693842252i</v>
      </c>
      <c r="AA430" s="4">
        <f t="shared" si="270"/>
        <v>1.5446492645838374</v>
      </c>
      <c r="AB430" s="4">
        <f t="shared" si="271"/>
        <v>0.92429892786780088</v>
      </c>
      <c r="AC430" s="48" t="str">
        <f t="shared" si="272"/>
        <v>-0,0194763355807298+0,00299217296195827i</v>
      </c>
      <c r="AD430" s="20">
        <f t="shared" si="273"/>
        <v>-34.108541438724274</v>
      </c>
      <c r="AE430" s="44">
        <f t="shared" si="274"/>
        <v>171.26586886659737</v>
      </c>
      <c r="AF430" t="str">
        <f t="shared" si="260"/>
        <v>-0,0000125211169631323</v>
      </c>
      <c r="AG430" t="str">
        <f t="shared" si="261"/>
        <v>0,00400310206750189i</v>
      </c>
      <c r="AH430">
        <f t="shared" si="275"/>
        <v>4.0031020675018901E-3</v>
      </c>
      <c r="AI430">
        <f t="shared" si="276"/>
        <v>1.5707963267948966</v>
      </c>
      <c r="AJ430" t="str">
        <f t="shared" si="262"/>
        <v>1+6,40663900441443i</v>
      </c>
      <c r="AK430">
        <f t="shared" si="277"/>
        <v>6.4842133935338921</v>
      </c>
      <c r="AL430">
        <f t="shared" si="278"/>
        <v>1.415957647033887</v>
      </c>
      <c r="AM430" t="str">
        <f t="shared" si="263"/>
        <v>1+938,281403282876i</v>
      </c>
      <c r="AN430">
        <f t="shared" si="279"/>
        <v>938.28193617189652</v>
      </c>
      <c r="AO430">
        <f t="shared" si="280"/>
        <v>1.5697305488546394</v>
      </c>
      <c r="AP430" s="42" t="str">
        <f t="shared" si="281"/>
        <v>-0,0693249175997206+0,447267574609767i</v>
      </c>
      <c r="AQ430">
        <f t="shared" si="282"/>
        <v>-6.8855506925100398</v>
      </c>
      <c r="AR430" s="44">
        <f t="shared" si="283"/>
        <v>98.810538277808689</v>
      </c>
      <c r="AS430" s="42" t="str">
        <f t="shared" si="284"/>
        <v>0,0000118934157706018-0,00891856552151079i</v>
      </c>
      <c r="AT430" s="20">
        <f t="shared" si="285"/>
        <v>-40.994092131234311</v>
      </c>
      <c r="AU430" s="44">
        <f t="shared" si="286"/>
        <v>-89.923592855593952</v>
      </c>
    </row>
    <row r="431" spans="14:47" x14ac:dyDescent="0.3">
      <c r="N431" s="8">
        <v>13</v>
      </c>
      <c r="O431" s="35">
        <f t="shared" si="287"/>
        <v>134896.28825916545</v>
      </c>
      <c r="P431" s="34" t="str">
        <f t="shared" si="255"/>
        <v>324,571428571429</v>
      </c>
      <c r="Q431" s="4" t="str">
        <f t="shared" si="256"/>
        <v>1+19373,2200316126i</v>
      </c>
      <c r="R431" s="4">
        <f t="shared" si="264"/>
        <v>19373.220057421422</v>
      </c>
      <c r="S431" s="4">
        <f t="shared" si="265"/>
        <v>1.5707447091496378</v>
      </c>
      <c r="T431" s="4" t="str">
        <f t="shared" si="257"/>
        <v>1+0,16951567527661i</v>
      </c>
      <c r="U431" s="4">
        <f t="shared" si="266"/>
        <v>1.0142660223848994</v>
      </c>
      <c r="V431" s="4">
        <f t="shared" si="267"/>
        <v>0.16791939862132602</v>
      </c>
      <c r="W431" t="str">
        <f t="shared" si="258"/>
        <v>1-1,47149023677613i</v>
      </c>
      <c r="X431" s="4">
        <f t="shared" si="268"/>
        <v>1.7791243680326203</v>
      </c>
      <c r="Y431" s="4">
        <f t="shared" si="269"/>
        <v>-0.97390475528112475</v>
      </c>
      <c r="Z431" t="str">
        <f t="shared" si="259"/>
        <v>0,9272119656556+1,26165572901185i</v>
      </c>
      <c r="AA431" s="4">
        <f t="shared" si="270"/>
        <v>1.5657257766937811</v>
      </c>
      <c r="AB431" s="4">
        <f t="shared" si="271"/>
        <v>0.93701857122117582</v>
      </c>
      <c r="AC431" s="48" t="str">
        <f t="shared" si="272"/>
        <v>-0,0190231825040986+0,00330769693126078i</v>
      </c>
      <c r="AD431" s="20">
        <f t="shared" si="273"/>
        <v>-34.284980818636733</v>
      </c>
      <c r="AE431" s="44">
        <f t="shared" si="274"/>
        <v>170.13618873091707</v>
      </c>
      <c r="AF431" t="str">
        <f t="shared" si="260"/>
        <v>-0,0000125211169631323</v>
      </c>
      <c r="AG431" t="str">
        <f t="shared" si="261"/>
        <v>0,00409634629305928i</v>
      </c>
      <c r="AH431">
        <f t="shared" si="275"/>
        <v>4.0963462930592798E-3</v>
      </c>
      <c r="AI431">
        <f t="shared" si="276"/>
        <v>1.5707963267948966</v>
      </c>
      <c r="AJ431" t="str">
        <f t="shared" si="262"/>
        <v>1+6,55586879728983i</v>
      </c>
      <c r="AK431">
        <f t="shared" si="277"/>
        <v>6.6316977982473251</v>
      </c>
      <c r="AL431">
        <f t="shared" si="278"/>
        <v>1.4194280058558539</v>
      </c>
      <c r="AM431" t="str">
        <f t="shared" si="263"/>
        <v>1+960,136784766719i</v>
      </c>
      <c r="AN431">
        <f t="shared" si="279"/>
        <v>960.13730552571133</v>
      </c>
      <c r="AO431">
        <f t="shared" si="280"/>
        <v>1.5697548089046551</v>
      </c>
      <c r="AP431" s="42" t="str">
        <f t="shared" si="281"/>
        <v>-0,0662757276894354+0,437551630075469i</v>
      </c>
      <c r="AQ431">
        <f t="shared" si="282"/>
        <v>-7.080899486305908</v>
      </c>
      <c r="AR431" s="44">
        <f t="shared" si="283"/>
        <v>98.613091362390662</v>
      </c>
      <c r="AS431" s="42" t="str">
        <f t="shared" si="284"/>
        <v>-0,00018651292064071-0,00854284453498691i</v>
      </c>
      <c r="AT431" s="20">
        <f t="shared" si="285"/>
        <v>-41.365880304942635</v>
      </c>
      <c r="AU431" s="44">
        <f t="shared" si="286"/>
        <v>-91.250719906692254</v>
      </c>
    </row>
    <row r="432" spans="14:47" x14ac:dyDescent="0.3">
      <c r="N432" s="8">
        <v>14</v>
      </c>
      <c r="O432" s="35">
        <f t="shared" si="287"/>
        <v>138038.42646028858</v>
      </c>
      <c r="P432" s="34" t="str">
        <f t="shared" si="255"/>
        <v>324,571428571429</v>
      </c>
      <c r="Q432" s="4" t="str">
        <f t="shared" si="256"/>
        <v>1+19824,4802962623i</v>
      </c>
      <c r="R432" s="4">
        <f t="shared" si="264"/>
        <v>19824.480321483639</v>
      </c>
      <c r="S432" s="4">
        <f t="shared" si="265"/>
        <v>1.5707458841106896</v>
      </c>
      <c r="T432" s="4" t="str">
        <f t="shared" si="257"/>
        <v>1+0,173464202592295i</v>
      </c>
      <c r="U432" s="4">
        <f t="shared" si="266"/>
        <v>1.0149334114024333</v>
      </c>
      <c r="V432" s="4">
        <f t="shared" si="267"/>
        <v>0.17175511763295595</v>
      </c>
      <c r="W432" t="str">
        <f t="shared" si="258"/>
        <v>1-1,50576564750256i</v>
      </c>
      <c r="X432" s="4">
        <f t="shared" si="268"/>
        <v>1.8075757757833566</v>
      </c>
      <c r="Y432" s="4">
        <f t="shared" si="269"/>
        <v>-0.98456305846003356</v>
      </c>
      <c r="Z432" t="str">
        <f t="shared" si="259"/>
        <v>0,92378157128147+1,29104346616869i</v>
      </c>
      <c r="AA432" s="4">
        <f t="shared" si="270"/>
        <v>1.5875029521157205</v>
      </c>
      <c r="AB432" s="4">
        <f t="shared" si="271"/>
        <v>0.94972277148151174</v>
      </c>
      <c r="AC432" s="48" t="str">
        <f t="shared" si="272"/>
        <v>-0,0185737702602252+0,00360454903058214i</v>
      </c>
      <c r="AD432" s="20">
        <f t="shared" si="273"/>
        <v>-34.461440079451378</v>
      </c>
      <c r="AE432" s="44">
        <f t="shared" si="274"/>
        <v>169.01731907544351</v>
      </c>
      <c r="AF432" t="str">
        <f t="shared" si="260"/>
        <v>-0,0000125211169631323</v>
      </c>
      <c r="AG432" t="str">
        <f t="shared" si="261"/>
        <v>0,00419176245564281i</v>
      </c>
      <c r="AH432">
        <f t="shared" si="275"/>
        <v>4.1917624556428099E-3</v>
      </c>
      <c r="AI432">
        <f t="shared" si="276"/>
        <v>1.5707963267948966</v>
      </c>
      <c r="AJ432" t="str">
        <f t="shared" si="262"/>
        <v>1+6,70857459857874i</v>
      </c>
      <c r="AK432">
        <f t="shared" si="277"/>
        <v>6.7826965983077772</v>
      </c>
      <c r="AL432">
        <f t="shared" si="278"/>
        <v>1.4228229235688152</v>
      </c>
      <c r="AM432" t="str">
        <f t="shared" si="263"/>
        <v>1+982,501243482759i</v>
      </c>
      <c r="AN432">
        <f t="shared" si="279"/>
        <v>982.50175238783561</v>
      </c>
      <c r="AO432">
        <f t="shared" si="280"/>
        <v>1.5697785167296974</v>
      </c>
      <c r="AP432" s="42" t="str">
        <f t="shared" si="281"/>
        <v>-0,0633576671996514+0,428026713739337i</v>
      </c>
      <c r="AQ432">
        <f t="shared" si="282"/>
        <v>-7.2764529634873378</v>
      </c>
      <c r="AR432" s="44">
        <f t="shared" si="283"/>
        <v>98.419935263960141</v>
      </c>
      <c r="AS432" s="42" t="str">
        <f t="shared" si="284"/>
        <v>-0,000366052521282256-0,00817844566411807i</v>
      </c>
      <c r="AT432" s="20">
        <f t="shared" si="285"/>
        <v>-41.737893042938722</v>
      </c>
      <c r="AU432" s="44">
        <f t="shared" si="286"/>
        <v>-92.562745660596363</v>
      </c>
    </row>
    <row r="433" spans="14:47" x14ac:dyDescent="0.3">
      <c r="N433" s="8">
        <v>15</v>
      </c>
      <c r="O433" s="35">
        <f t="shared" si="287"/>
        <v>141253.75446227577</v>
      </c>
      <c r="P433" s="34" t="str">
        <f t="shared" si="255"/>
        <v>324,571428571429</v>
      </c>
      <c r="Q433" s="4" t="str">
        <f t="shared" si="256"/>
        <v>1+20286,2517627731i</v>
      </c>
      <c r="R433" s="4">
        <f t="shared" si="264"/>
        <v>20286.251787420333</v>
      </c>
      <c r="S433" s="4">
        <f t="shared" si="265"/>
        <v>1.5707470323263628</v>
      </c>
      <c r="T433" s="4" t="str">
        <f t="shared" si="257"/>
        <v>1+0,177504702924265i</v>
      </c>
      <c r="U433" s="4">
        <f t="shared" si="266"/>
        <v>1.0156317834531525</v>
      </c>
      <c r="V433" s="4">
        <f t="shared" si="267"/>
        <v>0.17567490425129303</v>
      </c>
      <c r="W433" t="str">
        <f t="shared" si="258"/>
        <v>1-1,54083943510647i</v>
      </c>
      <c r="X433" s="4">
        <f t="shared" si="268"/>
        <v>1.8368957958412409</v>
      </c>
      <c r="Y433" s="4">
        <f t="shared" si="269"/>
        <v>-0.99512660407726927</v>
      </c>
      <c r="Z433" t="str">
        <f t="shared" si="259"/>
        <v>0,920189507401244+1,32111573166028i</v>
      </c>
      <c r="AA433" s="4">
        <f t="shared" si="270"/>
        <v>1.6099986043384078</v>
      </c>
      <c r="AB433" s="4">
        <f t="shared" si="271"/>
        <v>0.96240670647163118</v>
      </c>
      <c r="AC433" s="48" t="str">
        <f t="shared" si="272"/>
        <v>-0,0181285212173018+0,00388315587390766i</v>
      </c>
      <c r="AD433" s="20">
        <f t="shared" si="273"/>
        <v>-34.637924410828212</v>
      </c>
      <c r="AE433" s="44">
        <f t="shared" si="274"/>
        <v>167.90985799424041</v>
      </c>
      <c r="AF433" t="str">
        <f t="shared" si="260"/>
        <v>-0,0000125211169631323</v>
      </c>
      <c r="AG433" t="str">
        <f t="shared" si="261"/>
        <v>0,00428940114616486i</v>
      </c>
      <c r="AH433">
        <f t="shared" si="275"/>
        <v>4.2894011461648597E-3</v>
      </c>
      <c r="AI433">
        <f t="shared" si="276"/>
        <v>1.5707963267948966</v>
      </c>
      <c r="AJ433" t="str">
        <f t="shared" si="262"/>
        <v>1+6,86483737491831i</v>
      </c>
      <c r="AK433">
        <f t="shared" si="277"/>
        <v>6.9372899740514891</v>
      </c>
      <c r="AL433">
        <f t="shared" si="278"/>
        <v>1.4261438870172234</v>
      </c>
      <c r="AM433" t="str">
        <f t="shared" si="263"/>
        <v>1+1005,38663736304i</v>
      </c>
      <c r="AN433">
        <f t="shared" si="279"/>
        <v>1005.3871346840285</v>
      </c>
      <c r="AO433">
        <f t="shared" si="280"/>
        <v>1.5698016848998622</v>
      </c>
      <c r="AP433" s="42" t="str">
        <f t="shared" si="281"/>
        <v>-0,0605653545153306+0,41869039206823i</v>
      </c>
      <c r="AQ433">
        <f t="shared" si="282"/>
        <v>-7.4722023126979664</v>
      </c>
      <c r="AR433" s="44">
        <f t="shared" si="283"/>
        <v>98.230985512818592</v>
      </c>
      <c r="AS433" s="42" t="str">
        <f t="shared" si="284"/>
        <v>-0,000527879740943872-0,00782542236823082i</v>
      </c>
      <c r="AT433" s="20">
        <f t="shared" si="285"/>
        <v>-42.110126723526179</v>
      </c>
      <c r="AU433" s="44">
        <f t="shared" si="286"/>
        <v>-93.859156492940997</v>
      </c>
    </row>
    <row r="434" spans="14:47" x14ac:dyDescent="0.3">
      <c r="N434" s="8">
        <v>16</v>
      </c>
      <c r="O434" s="35">
        <f t="shared" si="287"/>
        <v>144543.97707459307</v>
      </c>
      <c r="P434" s="34" t="str">
        <f t="shared" si="255"/>
        <v>324,571428571429</v>
      </c>
      <c r="Q434" s="4" t="str">
        <f t="shared" si="256"/>
        <v>1+20758,7792684888i</v>
      </c>
      <c r="R434" s="4">
        <f t="shared" si="264"/>
        <v>20758.779292574993</v>
      </c>
      <c r="S434" s="4">
        <f t="shared" si="265"/>
        <v>1.5707481544054562</v>
      </c>
      <c r="T434" s="4" t="str">
        <f t="shared" si="257"/>
        <v>1+0,181639318599277i</v>
      </c>
      <c r="U434" s="4">
        <f t="shared" si="266"/>
        <v>1.0163625544367569</v>
      </c>
      <c r="V434" s="4">
        <f t="shared" si="267"/>
        <v>0.17968035474771532</v>
      </c>
      <c r="W434" t="str">
        <f t="shared" si="258"/>
        <v>1-1,57673019617428i</v>
      </c>
      <c r="X434" s="4">
        <f t="shared" si="268"/>
        <v>1.8671042047855237</v>
      </c>
      <c r="Y434" s="4">
        <f t="shared" si="269"/>
        <v>-1.0055915627485623</v>
      </c>
      <c r="Z434" t="str">
        <f t="shared" si="259"/>
        <v>0,916428154765838+1,35188847019983i</v>
      </c>
      <c r="AA434" s="4">
        <f t="shared" si="270"/>
        <v>1.6332308467288865</v>
      </c>
      <c r="AB434" s="4">
        <f t="shared" si="271"/>
        <v>0.97506570251156321</v>
      </c>
      <c r="AC434" s="48" t="str">
        <f t="shared" si="272"/>
        <v>-0,0176878410689816+0,00414396112736557i</v>
      </c>
      <c r="AD434" s="20">
        <f t="shared" si="273"/>
        <v>-34.814437704441417</v>
      </c>
      <c r="AE434" s="44">
        <f t="shared" si="274"/>
        <v>166.81438410173268</v>
      </c>
      <c r="AF434" t="str">
        <f t="shared" si="260"/>
        <v>-0,0000125211169631323</v>
      </c>
      <c r="AG434" t="str">
        <f t="shared" si="261"/>
        <v>0,00438931413395153i</v>
      </c>
      <c r="AH434">
        <f t="shared" si="275"/>
        <v>4.3893141339515296E-3</v>
      </c>
      <c r="AI434">
        <f t="shared" si="276"/>
        <v>1.5707963267948966</v>
      </c>
      <c r="AJ434" t="str">
        <f t="shared" si="262"/>
        <v>1+7,02473997890091i</v>
      </c>
      <c r="AK434">
        <f t="shared" si="277"/>
        <v>7.0955600040566749</v>
      </c>
      <c r="AL434">
        <f t="shared" si="278"/>
        <v>1.4293923638578077</v>
      </c>
      <c r="AM434" t="str">
        <f t="shared" si="263"/>
        <v>1+1028,80510054631i</v>
      </c>
      <c r="AN434">
        <f t="shared" si="279"/>
        <v>1028.8055865468962</v>
      </c>
      <c r="AO434">
        <f t="shared" si="280"/>
        <v>1.5698243256991202</v>
      </c>
      <c r="AP434" s="42" t="str">
        <f t="shared" si="281"/>
        <v>-0,0578936066160727+0,409540169248879i</v>
      </c>
      <c r="AQ434">
        <f t="shared" si="282"/>
        <v>-7.6681390849828501</v>
      </c>
      <c r="AR434" s="44">
        <f t="shared" si="283"/>
        <v>98.046158722249444</v>
      </c>
      <c r="AS434" s="42" t="str">
        <f t="shared" si="284"/>
        <v>-0,000673105628726835-0,007483790280378i</v>
      </c>
      <c r="AT434" s="20">
        <f t="shared" si="285"/>
        <v>-42.482576789424257</v>
      </c>
      <c r="AU434" s="44">
        <f t="shared" si="286"/>
        <v>-95.139457176017856</v>
      </c>
    </row>
    <row r="435" spans="14:47" x14ac:dyDescent="0.3">
      <c r="N435" s="8">
        <v>17</v>
      </c>
      <c r="O435" s="35">
        <f t="shared" si="287"/>
        <v>147910.83881682079</v>
      </c>
      <c r="P435" s="34" t="str">
        <f t="shared" si="255"/>
        <v>324,571428571429</v>
      </c>
      <c r="Q435" s="4" t="str">
        <f t="shared" si="256"/>
        <v>1+21242,3133537476i</v>
      </c>
      <c r="R435" s="4">
        <f t="shared" si="264"/>
        <v>21242.313377285522</v>
      </c>
      <c r="S435" s="4">
        <f t="shared" si="265"/>
        <v>1.5707492509429115</v>
      </c>
      <c r="T435" s="4" t="str">
        <f t="shared" si="257"/>
        <v>1+0,185870241845291i</v>
      </c>
      <c r="U435" s="4">
        <f t="shared" si="266"/>
        <v>1.0171272028628606</v>
      </c>
      <c r="V435" s="4">
        <f t="shared" si="267"/>
        <v>0.18377307851517716</v>
      </c>
      <c r="W435" t="str">
        <f t="shared" si="258"/>
        <v>1-1,6134569604626i</v>
      </c>
      <c r="X435" s="4">
        <f t="shared" si="268"/>
        <v>1.8982211049467372</v>
      </c>
      <c r="Y435" s="4">
        <f t="shared" si="269"/>
        <v>-1.0159543142984517</v>
      </c>
      <c r="Z435" t="str">
        <f t="shared" si="259"/>
        <v>0,912489535042018+1,38337799790063i</v>
      </c>
      <c r="AA435" s="4">
        <f t="shared" si="270"/>
        <v>1.6572181017104399</v>
      </c>
      <c r="AB435" s="4">
        <f t="shared" si="271"/>
        <v>0.98769524658582797</v>
      </c>
      <c r="AC435" s="48" t="str">
        <f t="shared" si="272"/>
        <v>-0,0172521174914705+0,00438742416330631i</v>
      </c>
      <c r="AD435" s="20">
        <f t="shared" si="273"/>
        <v>-34.990982512104296</v>
      </c>
      <c r="AE435" s="44">
        <f t="shared" si="274"/>
        <v>165.73145557277181</v>
      </c>
      <c r="AF435" t="str">
        <f t="shared" si="260"/>
        <v>-0,0000125211169631323</v>
      </c>
      <c r="AG435" t="str">
        <f t="shared" si="261"/>
        <v>0,00449155439419146i</v>
      </c>
      <c r="AH435">
        <f t="shared" si="275"/>
        <v>4.4915543941914599E-3</v>
      </c>
      <c r="AI435">
        <f t="shared" si="276"/>
        <v>1.5707963267948966</v>
      </c>
      <c r="AJ435" t="str">
        <f t="shared" si="262"/>
        <v>1+7,18836719300374i</v>
      </c>
      <c r="AK435">
        <f t="shared" si="277"/>
        <v>7.2575907091439422</v>
      </c>
      <c r="AL435">
        <f t="shared" si="278"/>
        <v>1.4325698020938586</v>
      </c>
      <c r="AM435" t="str">
        <f t="shared" si="263"/>
        <v>1+1052,76904981173i</v>
      </c>
      <c r="AN435">
        <f t="shared" si="279"/>
        <v>1052.7695247495972</v>
      </c>
      <c r="AO435">
        <f t="shared" si="280"/>
        <v>1.5698464511318304</v>
      </c>
      <c r="AP435" s="42" t="str">
        <f t="shared" si="281"/>
        <v>-0,0553374337079039+0,40057349541063i</v>
      </c>
      <c r="AQ435">
        <f t="shared" si="282"/>
        <v>-7.8642551803462393</v>
      </c>
      <c r="AR435" s="44">
        <f t="shared" si="283"/>
        <v>97.865372615574401</v>
      </c>
      <c r="AS435" s="42" t="str">
        <f t="shared" si="284"/>
        <v>-0,000802797924939449-0,00715352980057863i</v>
      </c>
      <c r="AT435" s="20">
        <f t="shared" si="285"/>
        <v>-42.85523769245053</v>
      </c>
      <c r="AU435" s="44">
        <f t="shared" si="286"/>
        <v>-96.403171811653763</v>
      </c>
    </row>
    <row r="436" spans="14:47" x14ac:dyDescent="0.3">
      <c r="N436" s="8">
        <v>18</v>
      </c>
      <c r="O436" s="35">
        <f t="shared" si="287"/>
        <v>151356.12484362084</v>
      </c>
      <c r="P436" s="34" t="str">
        <f t="shared" si="255"/>
        <v>324,571428571429</v>
      </c>
      <c r="Q436" s="4" t="str">
        <f t="shared" si="256"/>
        <v>1+21737,1103947218i</v>
      </c>
      <c r="R436" s="4">
        <f t="shared" si="264"/>
        <v>21737.110417723936</v>
      </c>
      <c r="S436" s="4">
        <f t="shared" si="265"/>
        <v>1.5707503225201271</v>
      </c>
      <c r="T436" s="4" t="str">
        <f t="shared" si="257"/>
        <v>1+0,190199715953816i</v>
      </c>
      <c r="U436" s="4">
        <f t="shared" si="266"/>
        <v>1.0179272724261357</v>
      </c>
      <c r="V436" s="4">
        <f t="shared" si="267"/>
        <v>0.18795469686320435</v>
      </c>
      <c r="W436" t="str">
        <f t="shared" si="258"/>
        <v>1-1,65103920098798i</v>
      </c>
      <c r="X436" s="4">
        <f t="shared" si="268"/>
        <v>1.9302669357368756</v>
      </c>
      <c r="Y436" s="4">
        <f t="shared" si="269"/>
        <v>-1.0262114502951443</v>
      </c>
      <c r="Z436" t="str">
        <f t="shared" si="259"/>
        <v>0,908365293889289+1,41560101092709i</v>
      </c>
      <c r="AA436" s="4">
        <f t="shared" si="270"/>
        <v>1.6819791108335365</v>
      </c>
      <c r="AB436" s="4">
        <f t="shared" si="271"/>
        <v>1.0002909976601952</v>
      </c>
      <c r="AC436" s="48" t="str">
        <f t="shared" si="272"/>
        <v>-0,016821718945368+0,00461401862181707i</v>
      </c>
      <c r="AD436" s="20">
        <f t="shared" si="273"/>
        <v>-35.167560010360795</v>
      </c>
      <c r="AE436" s="44">
        <f t="shared" si="274"/>
        <v>164.66160927993559</v>
      </c>
      <c r="AF436" t="str">
        <f t="shared" si="260"/>
        <v>-0,0000125211169631323</v>
      </c>
      <c r="AG436" t="str">
        <f t="shared" si="261"/>
        <v>0,00459617613602395i</v>
      </c>
      <c r="AH436">
        <f t="shared" si="275"/>
        <v>4.5961761360239503E-3</v>
      </c>
      <c r="AI436">
        <f t="shared" si="276"/>
        <v>1.5707963267948966</v>
      </c>
      <c r="AJ436" t="str">
        <f t="shared" si="262"/>
        <v>1+7,35580577454161i</v>
      </c>
      <c r="AK436">
        <f t="shared" si="277"/>
        <v>7.4234680973773779</v>
      </c>
      <c r="AL436">
        <f t="shared" si="278"/>
        <v>1.4356776296724931</v>
      </c>
      <c r="AM436" t="str">
        <f t="shared" si="263"/>
        <v>1+1077,29119116241i</v>
      </c>
      <c r="AN436">
        <f t="shared" si="279"/>
        <v>1077.2916552893762</v>
      </c>
      <c r="AO436">
        <f t="shared" si="280"/>
        <v>1.5698680729291032</v>
      </c>
      <c r="AP436" s="42" t="str">
        <f t="shared" si="281"/>
        <v>-0,0528920338155141+0,391787774313356i</v>
      </c>
      <c r="AQ436">
        <f t="shared" si="282"/>
        <v>-8.0605428346794668</v>
      </c>
      <c r="AR436" s="44">
        <f t="shared" si="283"/>
        <v>97.68854604959354</v>
      </c>
      <c r="AS436" s="42" t="str">
        <f t="shared" si="284"/>
        <v>-0,00091798115918861-0,0068345886547011i</v>
      </c>
      <c r="AT436" s="20">
        <f t="shared" si="285"/>
        <v>-43.228102845040262</v>
      </c>
      <c r="AU436" s="44">
        <f t="shared" si="286"/>
        <v>-97.64984467047087</v>
      </c>
    </row>
    <row r="437" spans="14:47" x14ac:dyDescent="0.3">
      <c r="N437" s="8">
        <v>19</v>
      </c>
      <c r="O437" s="35">
        <f t="shared" si="287"/>
        <v>154881.66189124843</v>
      </c>
      <c r="P437" s="34" t="str">
        <f t="shared" si="255"/>
        <v>324,571428571429</v>
      </c>
      <c r="Q437" s="4" t="str">
        <f t="shared" si="256"/>
        <v>1+22243,432739352i</v>
      </c>
      <c r="R437" s="4">
        <f t="shared" si="264"/>
        <v>22243.432761830543</v>
      </c>
      <c r="S437" s="4">
        <f t="shared" si="265"/>
        <v>1.5707513697052673</v>
      </c>
      <c r="T437" s="4" t="str">
        <f t="shared" si="257"/>
        <v>1+0,19463003646933i</v>
      </c>
      <c r="U437" s="4">
        <f t="shared" si="266"/>
        <v>1.0187643746696546</v>
      </c>
      <c r="V437" s="4">
        <f t="shared" si="267"/>
        <v>0.19222684170036772</v>
      </c>
      <c r="W437" t="str">
        <f t="shared" si="258"/>
        <v>1-1,68949684435182i</v>
      </c>
      <c r="X437" s="4">
        <f t="shared" si="268"/>
        <v>1.9632624855262621</v>
      </c>
      <c r="Y437" s="4">
        <f t="shared" si="269"/>
        <v>-1.0363597756601219</v>
      </c>
      <c r="Z437" t="str">
        <f t="shared" si="259"/>
        <v>0,90404668323922+1,44857459434725i</v>
      </c>
      <c r="AA437" s="4">
        <f t="shared" si="270"/>
        <v>1.707532945762434</v>
      </c>
      <c r="AB437" s="4">
        <f t="shared" si="271"/>
        <v>1.0128487971008342</v>
      </c>
      <c r="AC437" s="48" t="str">
        <f t="shared" si="272"/>
        <v>-0,0163969936282305+0,00482423089580127i</v>
      </c>
      <c r="AD437" s="20">
        <f t="shared" si="273"/>
        <v>-35.344169971492995</v>
      </c>
      <c r="AE437" s="44">
        <f t="shared" si="274"/>
        <v>163.60536002882563</v>
      </c>
      <c r="AF437" t="str">
        <f t="shared" si="260"/>
        <v>-0,0000125211169631323</v>
      </c>
      <c r="AG437" t="str">
        <f t="shared" si="261"/>
        <v>0,00470323483128135i</v>
      </c>
      <c r="AH437">
        <f t="shared" si="275"/>
        <v>4.7032348312813499E-3</v>
      </c>
      <c r="AI437">
        <f t="shared" si="276"/>
        <v>1.5707963267948966</v>
      </c>
      <c r="AJ437" t="str">
        <f t="shared" si="262"/>
        <v>1+7,52714450166675i</v>
      </c>
      <c r="AK437">
        <f t="shared" si="277"/>
        <v>7.5932802100918151</v>
      </c>
      <c r="AL437">
        <f t="shared" si="278"/>
        <v>1.438717254140762</v>
      </c>
      <c r="AM437" t="str">
        <f t="shared" si="263"/>
        <v>1+1102,38452656228i</v>
      </c>
      <c r="AN437">
        <f t="shared" si="279"/>
        <v>1102.384980124431</v>
      </c>
      <c r="AO437">
        <f t="shared" si="280"/>
        <v>1.5698892025550208</v>
      </c>
      <c r="AP437" s="42" t="str">
        <f t="shared" si="281"/>
        <v>-0,0505527873574631+0,383180370525419i</v>
      </c>
      <c r="AQ437">
        <f t="shared" si="282"/>
        <v>-8.2569946070604079</v>
      </c>
      <c r="AR437" s="44">
        <f t="shared" si="283"/>
        <v>97.515599034644751</v>
      </c>
      <c r="AS437" s="42" t="str">
        <f t="shared" si="284"/>
        <v>-0,00101963684996369-0,00652688441260704i</v>
      </c>
      <c r="AT437" s="20">
        <f t="shared" si="285"/>
        <v>-43.601164578553401</v>
      </c>
      <c r="AU437" s="44">
        <f t="shared" si="286"/>
        <v>-98.87904093652962</v>
      </c>
    </row>
    <row r="438" spans="14:47" x14ac:dyDescent="0.3">
      <c r="N438" s="8">
        <v>20</v>
      </c>
      <c r="O438" s="35">
        <f t="shared" si="287"/>
        <v>158489.31924611164</v>
      </c>
      <c r="P438" s="34" t="str">
        <f t="shared" si="255"/>
        <v>324,571428571429</v>
      </c>
      <c r="Q438" s="4" t="str">
        <f t="shared" si="256"/>
        <v>1+22761,5488464472i</v>
      </c>
      <c r="R438" s="4">
        <f t="shared" si="264"/>
        <v>22761.548868414069</v>
      </c>
      <c r="S438" s="4">
        <f t="shared" si="265"/>
        <v>1.5707523930535636</v>
      </c>
      <c r="T438" s="4" t="str">
        <f t="shared" si="257"/>
        <v>1+0,199163552406413i</v>
      </c>
      <c r="U438" s="4">
        <f t="shared" si="266"/>
        <v>1.0196401917378217</v>
      </c>
      <c r="V438" s="4">
        <f t="shared" si="267"/>
        <v>0.19659115409812589</v>
      </c>
      <c r="W438" t="str">
        <f t="shared" si="258"/>
        <v>1-1,72885028130566i</v>
      </c>
      <c r="X438" s="4">
        <f t="shared" si="268"/>
        <v>1.9972289040494731</v>
      </c>
      <c r="Y438" s="4">
        <f t="shared" si="269"/>
        <v>-1.0463963093862128</v>
      </c>
      <c r="Z438" t="str">
        <f t="shared" si="259"/>
        <v>0,899524542739616+1,48231623119148i</v>
      </c>
      <c r="AA438" s="4">
        <f t="shared" si="270"/>
        <v>1.7338990201983009</v>
      </c>
      <c r="AB438" s="4">
        <f t="shared" si="271"/>
        <v>1.0253646781579764</v>
      </c>
      <c r="AC438" s="48" t="str">
        <f t="shared" si="272"/>
        <v>-0,0159782685818756+0,0050185585560221i</v>
      </c>
      <c r="AD438" s="20">
        <f t="shared" si="273"/>
        <v>-35.520810740835472</v>
      </c>
      <c r="AE438" s="44">
        <f t="shared" si="274"/>
        <v>162.56319989124751</v>
      </c>
      <c r="AF438" t="str">
        <f t="shared" si="260"/>
        <v>-0,0000125211169631323</v>
      </c>
      <c r="AG438" t="str">
        <f t="shared" si="261"/>
        <v>0,00481278724390096i</v>
      </c>
      <c r="AH438">
        <f t="shared" si="275"/>
        <v>4.81278724390096E-3</v>
      </c>
      <c r="AI438">
        <f t="shared" si="276"/>
        <v>1.5707963267948966</v>
      </c>
      <c r="AJ438" t="str">
        <f t="shared" si="262"/>
        <v>1+7,70247422044018i</v>
      </c>
      <c r="AK438">
        <f t="shared" si="277"/>
        <v>7.7671171689723835</v>
      </c>
      <c r="AL438">
        <f t="shared" si="278"/>
        <v>1.4416900623566753</v>
      </c>
      <c r="AM438" t="str">
        <f t="shared" si="263"/>
        <v>1+1128,06236082992i</v>
      </c>
      <c r="AN438">
        <f t="shared" si="279"/>
        <v>1128.06280406774</v>
      </c>
      <c r="AO438">
        <f t="shared" si="280"/>
        <v>1.5699098512127152</v>
      </c>
      <c r="AP438" s="42" t="str">
        <f t="shared" si="281"/>
        <v>-0,0483152517245255+0,374748616116111i</v>
      </c>
      <c r="AQ438">
        <f t="shared" si="282"/>
        <v>-8.4536033674252042</v>
      </c>
      <c r="AR438" s="44">
        <f t="shared" si="283"/>
        <v>97.346452751509617</v>
      </c>
      <c r="AS438" s="42" t="str">
        <f t="shared" si="284"/>
        <v>-0,00110870380511155-0,0062303069589179i</v>
      </c>
      <c r="AT438" s="20">
        <f t="shared" si="285"/>
        <v>-43.974414108260675</v>
      </c>
      <c r="AU438" s="44">
        <f t="shared" si="286"/>
        <v>-100.09034735724282</v>
      </c>
    </row>
    <row r="439" spans="14:47" x14ac:dyDescent="0.3">
      <c r="N439" s="8">
        <v>21</v>
      </c>
      <c r="O439" s="35">
        <f t="shared" si="287"/>
        <v>162181.00973589328</v>
      </c>
      <c r="P439" s="34" t="str">
        <f t="shared" si="255"/>
        <v>324,571428571429</v>
      </c>
      <c r="Q439" s="4" t="str">
        <f t="shared" si="256"/>
        <v>1+23291,7334280254i</v>
      </c>
      <c r="R439" s="4">
        <f t="shared" si="264"/>
        <v>23291.733449492243</v>
      </c>
      <c r="S439" s="4">
        <f t="shared" si="265"/>
        <v>1.570753393107609</v>
      </c>
      <c r="T439" s="4" t="str">
        <f t="shared" si="257"/>
        <v>1+0,203802667495222i</v>
      </c>
      <c r="U439" s="4">
        <f t="shared" si="266"/>
        <v>1.0205564792201205</v>
      </c>
      <c r="V439" s="4">
        <f t="shared" si="267"/>
        <v>0.20104928272976733</v>
      </c>
      <c r="W439" t="str">
        <f t="shared" si="258"/>
        <v>1-1,76912037756269i</v>
      </c>
      <c r="X439" s="4">
        <f t="shared" si="268"/>
        <v>2.0321877153224688</v>
      </c>
      <c r="Y439" s="4">
        <f t="shared" si="269"/>
        <v>-1.056318284403263</v>
      </c>
      <c r="Z439" t="str">
        <f t="shared" si="259"/>
        <v>0,894789280324185+1,51684381172225i</v>
      </c>
      <c r="AA439" s="4">
        <f t="shared" si="270"/>
        <v>1.7610971027581521</v>
      </c>
      <c r="AB439" s="4">
        <f t="shared" si="271"/>
        <v>1.0378348744855024</v>
      </c>
      <c r="AC439" s="48" t="str">
        <f t="shared" si="272"/>
        <v>-0,0155658489565302+0,00519750873253253i</v>
      </c>
      <c r="AD439" s="20">
        <f t="shared" si="273"/>
        <v>-35.697479220226413</v>
      </c>
      <c r="AE439" s="44">
        <f t="shared" si="274"/>
        <v>161.53559763531297</v>
      </c>
      <c r="AF439" t="str">
        <f t="shared" si="260"/>
        <v>-0,0000125211169631323</v>
      </c>
      <c r="AG439" t="str">
        <f t="shared" si="261"/>
        <v>0,00492489146002206i</v>
      </c>
      <c r="AH439">
        <f t="shared" si="275"/>
        <v>4.9248914600220602E-3</v>
      </c>
      <c r="AI439">
        <f t="shared" si="276"/>
        <v>1.5707963267948966</v>
      </c>
      <c r="AJ439" t="str">
        <f t="shared" si="262"/>
        <v>1+7,88188789299958i</v>
      </c>
      <c r="AK439">
        <f t="shared" si="277"/>
        <v>7.945071224212743</v>
      </c>
      <c r="AL439">
        <f t="shared" si="278"/>
        <v>1.4445974202513965</v>
      </c>
      <c r="AM439" t="str">
        <f t="shared" si="263"/>
        <v>1+1154,33830869294i</v>
      </c>
      <c r="AN439">
        <f t="shared" si="279"/>
        <v>1154.3387418414395</v>
      </c>
      <c r="AO439">
        <f t="shared" si="280"/>
        <v>1.5699300298503072</v>
      </c>
      <c r="AP439" s="42" t="str">
        <f t="shared" si="281"/>
        <v>-0,0461751558791279+0,366489816886504i</v>
      </c>
      <c r="AQ439">
        <f t="shared" si="282"/>
        <v>-8.6503622846115142</v>
      </c>
      <c r="AR439" s="44">
        <f t="shared" si="283"/>
        <v>97.18102956537841</v>
      </c>
      <c r="AS439" s="42" t="str">
        <f t="shared" si="284"/>
        <v>-0,00118607852169311-0,00594472090966955i</v>
      </c>
      <c r="AT439" s="20">
        <f t="shared" si="285"/>
        <v>-44.34784150483793</v>
      </c>
      <c r="AU439" s="44">
        <f t="shared" si="286"/>
        <v>-101.28337279930862</v>
      </c>
    </row>
    <row r="440" spans="14:47" x14ac:dyDescent="0.3">
      <c r="N440" s="8">
        <v>22</v>
      </c>
      <c r="O440" s="35">
        <f t="shared" si="287"/>
        <v>165958.69074375604</v>
      </c>
      <c r="P440" s="34" t="str">
        <f t="shared" si="255"/>
        <v>324,571428571429</v>
      </c>
      <c r="Q440" s="4" t="str">
        <f t="shared" si="256"/>
        <v>1+23834,2675949698i</v>
      </c>
      <c r="R440" s="4">
        <f t="shared" si="264"/>
        <v>23834.267615947992</v>
      </c>
      <c r="S440" s="4">
        <f t="shared" si="265"/>
        <v>1.5707543703976452</v>
      </c>
      <c r="T440" s="4" t="str">
        <f t="shared" si="257"/>
        <v>1+0,208549841455986i</v>
      </c>
      <c r="U440" s="4">
        <f t="shared" si="266"/>
        <v>1.0215150690867545</v>
      </c>
      <c r="V440" s="4">
        <f t="shared" si="267"/>
        <v>0.20560288217810041</v>
      </c>
      <c r="W440" t="str">
        <f t="shared" si="258"/>
        <v>1-1,81032848486099i</v>
      </c>
      <c r="X440" s="4">
        <f t="shared" si="268"/>
        <v>2.0681608310523356</v>
      </c>
      <c r="Y440" s="4">
        <f t="shared" si="269"/>
        <v>-1.0661231466349359</v>
      </c>
      <c r="Z440" t="str">
        <f t="shared" si="259"/>
        <v>0,889830851866473+1,55217564291981i</v>
      </c>
      <c r="AA440" s="4">
        <f t="shared" si="270"/>
        <v>1.7891473308274357</v>
      </c>
      <c r="AB440" s="4">
        <f t="shared" si="271"/>
        <v>1.0502558276770411</v>
      </c>
      <c r="AC440" s="48" t="str">
        <f t="shared" si="272"/>
        <v>-0,0151600174320537+0,00536159646869187i</v>
      </c>
      <c r="AD440" s="20">
        <f t="shared" si="273"/>
        <v>-35.874170857378246</v>
      </c>
      <c r="AE440" s="44">
        <f t="shared" si="274"/>
        <v>160.52299825071438</v>
      </c>
      <c r="AF440" t="str">
        <f t="shared" si="260"/>
        <v>-0,0000125211169631323</v>
      </c>
      <c r="AG440" t="str">
        <f t="shared" si="261"/>
        <v>0,0050396069187839i</v>
      </c>
      <c r="AH440">
        <f t="shared" si="275"/>
        <v>5.0396069187838999E-3</v>
      </c>
      <c r="AI440">
        <f t="shared" si="276"/>
        <v>1.5707963267948966</v>
      </c>
      <c r="AJ440" t="str">
        <f t="shared" si="262"/>
        <v>1+8,06548064684901i</v>
      </c>
      <c r="AK440">
        <f t="shared" si="277"/>
        <v>8.1272368037787572</v>
      </c>
      <c r="AL440">
        <f t="shared" si="278"/>
        <v>1.4474406726390454</v>
      </c>
      <c r="AM440" t="str">
        <f t="shared" si="263"/>
        <v>1+1181,2263020067i</v>
      </c>
      <c r="AN440">
        <f t="shared" si="279"/>
        <v>1181.2267252955394</v>
      </c>
      <c r="AO440">
        <f t="shared" si="280"/>
        <v>1.569949749166712</v>
      </c>
      <c r="AP440" s="42" t="str">
        <f t="shared" si="281"/>
        <v>-0,0441283949918292+0,35840125816209i</v>
      </c>
      <c r="AQ440">
        <f t="shared" si="282"/>
        <v>-8.8472648147706678</v>
      </c>
      <c r="AR440" s="44">
        <f t="shared" si="283"/>
        <v>97.019253037080517</v>
      </c>
      <c r="AS440" s="42" t="str">
        <f t="shared" si="284"/>
        <v>-0,0012526156828119-0,00566996796816449i</v>
      </c>
      <c r="AT440" s="20">
        <f t="shared" si="285"/>
        <v>-44.721435672148921</v>
      </c>
      <c r="AU440" s="44">
        <f t="shared" si="286"/>
        <v>-102.45774871220506</v>
      </c>
    </row>
    <row r="441" spans="14:47" x14ac:dyDescent="0.3">
      <c r="N441" s="8">
        <v>23</v>
      </c>
      <c r="O441" s="35">
        <f t="shared" si="287"/>
        <v>169824.36524617471</v>
      </c>
      <c r="P441" s="34" t="str">
        <f t="shared" si="255"/>
        <v>324,571428571429</v>
      </c>
      <c r="Q441" s="4" t="str">
        <f t="shared" si="256"/>
        <v>1+24389,4390060768i</v>
      </c>
      <c r="R441" s="4">
        <f t="shared" si="264"/>
        <v>24389.439026577475</v>
      </c>
      <c r="S441" s="4">
        <f t="shared" si="265"/>
        <v>1.5707553254418443</v>
      </c>
      <c r="T441" s="4" t="str">
        <f t="shared" si="257"/>
        <v>1+0,213407591303172i</v>
      </c>
      <c r="U441" s="4">
        <f t="shared" si="266"/>
        <v>1.0225178727170601</v>
      </c>
      <c r="V441" s="4">
        <f t="shared" si="267"/>
        <v>0.21025361110540758</v>
      </c>
      <c r="W441" t="str">
        <f t="shared" si="258"/>
        <v>1-1,85249645228448i</v>
      </c>
      <c r="X441" s="4">
        <f t="shared" si="268"/>
        <v>2.1051705645212184</v>
      </c>
      <c r="Y441" s="4">
        <f t="shared" si="269"/>
        <v>-1.0758085532940245</v>
      </c>
      <c r="Z441" t="str">
        <f t="shared" si="259"/>
        <v>0,884638739874936+1,58833045818871i</v>
      </c>
      <c r="AA441" s="4">
        <f t="shared" si="270"/>
        <v>1.8180702254031531</v>
      </c>
      <c r="AB441" s="4">
        <f t="shared" si="271"/>
        <v>1.062624193808176</v>
      </c>
      <c r="AC441" s="48" t="str">
        <f t="shared" si="272"/>
        <v>-0,0147610337946955+0,00551134306352837i</v>
      </c>
      <c r="AD441" s="20">
        <f t="shared" si="273"/>
        <v>-36.050879640903801</v>
      </c>
      <c r="AE441" s="44">
        <f t="shared" si="274"/>
        <v>159.52582256668649</v>
      </c>
      <c r="AF441" t="str">
        <f t="shared" si="260"/>
        <v>-0,0000125211169631323</v>
      </c>
      <c r="AG441" t="str">
        <f t="shared" si="261"/>
        <v>0,00515699444384117i</v>
      </c>
      <c r="AH441">
        <f t="shared" si="275"/>
        <v>5.1569944438411702E-3</v>
      </c>
      <c r="AI441">
        <f t="shared" si="276"/>
        <v>1.5707963267948966</v>
      </c>
      <c r="AJ441" t="str">
        <f t="shared" si="262"/>
        <v>1+8,25334982529661i</v>
      </c>
      <c r="AK441">
        <f t="shared" si="277"/>
        <v>8.3137105638050439</v>
      </c>
      <c r="AL441">
        <f t="shared" si="278"/>
        <v>1.4502211430707383</v>
      </c>
      <c r="AM441" t="str">
        <f t="shared" si="263"/>
        <v>1+1208,74059714117i</v>
      </c>
      <c r="AN441">
        <f t="shared" si="279"/>
        <v>1208.7410107947824</v>
      </c>
      <c r="AO441">
        <f t="shared" si="280"/>
        <v>1.5699690196173108</v>
      </c>
      <c r="AP441" s="42" t="str">
        <f t="shared" si="281"/>
        <v>-0,0421710251288908+0,350480210169894i</v>
      </c>
      <c r="AQ441">
        <f t="shared" si="282"/>
        <v>-9.0443046901464541</v>
      </c>
      <c r="AR441" s="44">
        <f t="shared" si="283"/>
        <v>96.861047931772205</v>
      </c>
      <c r="AS441" s="42" t="str">
        <f t="shared" si="284"/>
        <v>-0,0013091287481393-0,00540586921351578i</v>
      </c>
      <c r="AT441" s="20">
        <f t="shared" si="285"/>
        <v>-45.095184331050255</v>
      </c>
      <c r="AU441" s="44">
        <f t="shared" si="286"/>
        <v>-103.61312950154128</v>
      </c>
    </row>
    <row r="442" spans="14:47" x14ac:dyDescent="0.3">
      <c r="N442" s="8">
        <v>24</v>
      </c>
      <c r="O442" s="35">
        <f t="shared" si="287"/>
        <v>173780.0828749378</v>
      </c>
      <c r="P442" s="34" t="str">
        <f t="shared" si="255"/>
        <v>324,571428571429</v>
      </c>
      <c r="Q442" s="4" t="str">
        <f t="shared" si="256"/>
        <v>1+24957,5420205774i</v>
      </c>
      <c r="R442" s="4">
        <f t="shared" si="264"/>
        <v>24957.542040611421</v>
      </c>
      <c r="S442" s="4">
        <f t="shared" si="265"/>
        <v>1.5707562587465831</v>
      </c>
      <c r="T442" s="4" t="str">
        <f t="shared" si="257"/>
        <v>1+0,218378492680052i</v>
      </c>
      <c r="U442" s="4">
        <f t="shared" si="266"/>
        <v>1.0235668840213674</v>
      </c>
      <c r="V442" s="4">
        <f t="shared" si="267"/>
        <v>0.21500313027917825</v>
      </c>
      <c r="W442" t="str">
        <f t="shared" si="258"/>
        <v>1-1,89564663784767i</v>
      </c>
      <c r="X442" s="4">
        <f t="shared" si="268"/>
        <v>2.143239644926151</v>
      </c>
      <c r="Y442" s="4">
        <f t="shared" si="269"/>
        <v>-1.0853723704666602</v>
      </c>
      <c r="Z442" t="str">
        <f t="shared" si="259"/>
        <v>0,879201931183919+1,62532742729059i</v>
      </c>
      <c r="AA442" s="4">
        <f t="shared" si="270"/>
        <v>1.847886706944065</v>
      </c>
      <c r="AB442" s="4">
        <f t="shared" si="271"/>
        <v>1.0749368489832074</v>
      </c>
      <c r="AC442" s="48" t="str">
        <f t="shared" si="272"/>
        <v>-0,0143691346661726+0,00564727441756268i</v>
      </c>
      <c r="AD442" s="20">
        <f t="shared" si="273"/>
        <v>-36.227598100703112</v>
      </c>
      <c r="AE442" s="44">
        <f t="shared" si="274"/>
        <v>158.54446695948141</v>
      </c>
      <c r="AF442" t="str">
        <f t="shared" si="260"/>
        <v>-0,0000125211169631323</v>
      </c>
      <c r="AG442" t="str">
        <f t="shared" si="261"/>
        <v>0,00527711627561346i</v>
      </c>
      <c r="AH442">
        <f t="shared" si="275"/>
        <v>5.2771162756134601E-3</v>
      </c>
      <c r="AI442">
        <f t="shared" si="276"/>
        <v>1.5707963267948966</v>
      </c>
      <c r="AJ442" t="str">
        <f t="shared" si="262"/>
        <v>1+8,44559503906764i</v>
      </c>
      <c r="AK442">
        <f t="shared" si="277"/>
        <v>8.5045914401530158</v>
      </c>
      <c r="AL442">
        <f t="shared" si="278"/>
        <v>1.4529401337296746</v>
      </c>
      <c r="AM442" t="str">
        <f t="shared" si="263"/>
        <v>1+1236,89578253981i</v>
      </c>
      <c r="AN442">
        <f t="shared" si="279"/>
        <v>1236.8961867775197</v>
      </c>
      <c r="AO442">
        <f t="shared" si="280"/>
        <v>1.5699878514194943</v>
      </c>
      <c r="AP442" s="42" t="str">
        <f t="shared" si="281"/>
        <v>-0,0402992580032694+0,342723933022103i</v>
      </c>
      <c r="AQ442">
        <f t="shared" si="282"/>
        <v>-9.2414759082164757</v>
      </c>
      <c r="AR442" s="44">
        <f t="shared" si="283"/>
        <v>96.706340225265421</v>
      </c>
      <c r="AS442" s="42" t="str">
        <f t="shared" si="284"/>
        <v>-0,00135639063404638-0,00515222731568354i</v>
      </c>
      <c r="AT442" s="20">
        <f t="shared" si="285"/>
        <v>-45.469074008919591</v>
      </c>
      <c r="AU442" s="44">
        <f t="shared" si="286"/>
        <v>-104.74919281525321</v>
      </c>
    </row>
    <row r="443" spans="14:47" x14ac:dyDescent="0.3">
      <c r="N443" s="8">
        <v>25</v>
      </c>
      <c r="O443" s="35">
        <f t="shared" si="287"/>
        <v>177827.94100389251</v>
      </c>
      <c r="P443" s="34" t="str">
        <f t="shared" si="255"/>
        <v>324,571428571429</v>
      </c>
      <c r="Q443" s="4" t="str">
        <f t="shared" si="256"/>
        <v>1+25538,8778542094i</v>
      </c>
      <c r="R443" s="4">
        <f t="shared" si="264"/>
        <v>25538.877873787394</v>
      </c>
      <c r="S443" s="4">
        <f t="shared" si="265"/>
        <v>1.5707571708067127</v>
      </c>
      <c r="T443" s="4" t="str">
        <f t="shared" si="257"/>
        <v>1+0,223465181224332i</v>
      </c>
      <c r="U443" s="4">
        <f t="shared" si="266"/>
        <v>1.0246641826567491</v>
      </c>
      <c r="V443" s="4">
        <f t="shared" si="267"/>
        <v>0.21985310044702325</v>
      </c>
      <c r="W443" t="str">
        <f t="shared" si="258"/>
        <v>1-1,9398019203501i</v>
      </c>
      <c r="X443" s="4">
        <f t="shared" si="268"/>
        <v>2.182391232156585</v>
      </c>
      <c r="Y443" s="4">
        <f t="shared" si="269"/>
        <v>-1.0948126700380079</v>
      </c>
      <c r="Z443" t="str">
        <f t="shared" si="259"/>
        <v>0,873508893593263+1,66318616650818i</v>
      </c>
      <c r="AA443" s="4">
        <f t="shared" si="270"/>
        <v>1.8786181122438645</v>
      </c>
      <c r="AB443" s="4">
        <f t="shared" si="271"/>
        <v>1.0871908938929966</v>
      </c>
      <c r="AC443" s="48" t="str">
        <f t="shared" si="272"/>
        <v>-0,0139845333803367+0,0057699193963805i</v>
      </c>
      <c r="AD443" s="20">
        <f t="shared" si="273"/>
        <v>-36.404317313383274</v>
      </c>
      <c r="AE443" s="44">
        <f t="shared" si="274"/>
        <v>157.57930314559511</v>
      </c>
      <c r="AF443" t="str">
        <f t="shared" si="260"/>
        <v>-0,0000125211169631323</v>
      </c>
      <c r="AG443" t="str">
        <f t="shared" si="261"/>
        <v>0,00540003610428596i</v>
      </c>
      <c r="AH443">
        <f t="shared" si="275"/>
        <v>5.4000361042859596E-3</v>
      </c>
      <c r="AI443">
        <f t="shared" si="276"/>
        <v>1.5707963267948966</v>
      </c>
      <c r="AJ443" t="str">
        <f t="shared" si="262"/>
        <v>1+8,64231821911905i</v>
      </c>
      <c r="AK443">
        <f t="shared" si="277"/>
        <v>8.6999807011577364</v>
      </c>
      <c r="AL443">
        <f t="shared" si="278"/>
        <v>1.4555989253642241</v>
      </c>
      <c r="AM443" t="str">
        <f t="shared" si="263"/>
        <v>1+1265,70678645462i</v>
      </c>
      <c r="AN443">
        <f t="shared" si="279"/>
        <v>1265.7071814907588</v>
      </c>
      <c r="AO443">
        <f t="shared" si="280"/>
        <v>1.5700062545580797</v>
      </c>
      <c r="AP443" s="42" t="str">
        <f t="shared" si="281"/>
        <v>-0,0385094557997874+0,33512968132756i</v>
      </c>
      <c r="AQ443">
        <f t="shared" si="282"/>
        <v>-9.4387727211903112</v>
      </c>
      <c r="AR443" s="44">
        <f t="shared" si="283"/>
        <v>96.555057108171781</v>
      </c>
      <c r="AS443" s="42" t="str">
        <f t="shared" si="284"/>
        <v>-0,00139513447850398-0,00490882867123011i</v>
      </c>
      <c r="AT443" s="20">
        <f t="shared" si="285"/>
        <v>-45.843090034573599</v>
      </c>
      <c r="AU443" s="44">
        <f t="shared" si="286"/>
        <v>-105.86563974623316</v>
      </c>
    </row>
    <row r="444" spans="14:47" x14ac:dyDescent="0.3">
      <c r="N444" s="8">
        <v>26</v>
      </c>
      <c r="O444" s="35">
        <f t="shared" si="287"/>
        <v>181970.08586099857</v>
      </c>
      <c r="P444" s="34" t="str">
        <f t="shared" si="255"/>
        <v>324,571428571429</v>
      </c>
      <c r="Q444" s="4" t="str">
        <f t="shared" si="256"/>
        <v>1+26133,7547389264i</v>
      </c>
      <c r="R444" s="4">
        <f t="shared" si="264"/>
        <v>26133.754758058742</v>
      </c>
      <c r="S444" s="4">
        <f t="shared" si="265"/>
        <v>1.5707580621058193</v>
      </c>
      <c r="T444" s="4" t="str">
        <f t="shared" si="257"/>
        <v>1+0,228670353965606i</v>
      </c>
      <c r="U444" s="4">
        <f t="shared" si="266"/>
        <v>1.0258119373368373</v>
      </c>
      <c r="V444" s="4">
        <f t="shared" si="267"/>
        <v>0.22480518005426375</v>
      </c>
      <c r="W444" t="str">
        <f t="shared" si="258"/>
        <v>1-1,984985711507i</v>
      </c>
      <c r="X444" s="4">
        <f t="shared" si="268"/>
        <v>2.2226489319923988</v>
      </c>
      <c r="Y444" s="4">
        <f t="shared" si="269"/>
        <v>-1.1041277260137308</v>
      </c>
      <c r="Z444" t="str">
        <f t="shared" si="259"/>
        <v>0,867547551406964+1,7019267490461i</v>
      </c>
      <c r="AA444" s="4">
        <f t="shared" si="270"/>
        <v>1.9102862123438065</v>
      </c>
      <c r="AB444" s="4">
        <f t="shared" si="271"/>
        <v>1.0993836573983804</v>
      </c>
      <c r="AC444" s="48" t="str">
        <f t="shared" si="272"/>
        <v>-0,0136074200013196+0,00587980822526662i</v>
      </c>
      <c r="AD444" s="20">
        <f t="shared" si="273"/>
        <v>-36.581026912368571</v>
      </c>
      <c r="AE444" s="44">
        <f t="shared" si="274"/>
        <v>156.63067805642908</v>
      </c>
      <c r="AF444" t="str">
        <f t="shared" si="260"/>
        <v>-0,0000125211169631323</v>
      </c>
      <c r="AG444" t="str">
        <f t="shared" si="261"/>
        <v>0,00552581910357889i</v>
      </c>
      <c r="AH444">
        <f t="shared" si="275"/>
        <v>5.5258191035788898E-3</v>
      </c>
      <c r="AI444">
        <f t="shared" si="276"/>
        <v>1.5707963267948966</v>
      </c>
      <c r="AJ444" t="str">
        <f t="shared" si="262"/>
        <v>1+8,84362367068474i</v>
      </c>
      <c r="AK444">
        <f t="shared" si="277"/>
        <v>8.8999820015939051</v>
      </c>
      <c r="AL444">
        <f t="shared" si="278"/>
        <v>1.4581987772561755</v>
      </c>
      <c r="AM444" t="str">
        <f t="shared" si="263"/>
        <v>1+1295,18888486119i</v>
      </c>
      <c r="AN444">
        <f t="shared" si="279"/>
        <v>1295.1892709052113</v>
      </c>
      <c r="AO444">
        <f t="shared" si="280"/>
        <v>1.5700242387906049</v>
      </c>
      <c r="AP444" s="42" t="str">
        <f t="shared" si="281"/>
        <v>-0,0367981260837545+0,327694708451604i</v>
      </c>
      <c r="AQ444">
        <f t="shared" si="282"/>
        <v>-9.6361896258612951</v>
      </c>
      <c r="AR444" s="44">
        <f t="shared" si="283"/>
        <v>96.40712698802534</v>
      </c>
      <c r="AS444" s="42" t="str">
        <f t="shared" si="284"/>
        <v>-0,00142605448524693-0,00467544545453261i</v>
      </c>
      <c r="AT444" s="20">
        <f t="shared" si="285"/>
        <v>-46.217216538229863</v>
      </c>
      <c r="AU444" s="44">
        <f t="shared" si="286"/>
        <v>-106.96219495554561</v>
      </c>
    </row>
    <row r="445" spans="14:47" x14ac:dyDescent="0.3">
      <c r="N445" s="8">
        <v>27</v>
      </c>
      <c r="O445" s="35">
        <f t="shared" si="287"/>
        <v>186208.71366628664</v>
      </c>
      <c r="P445" s="34" t="str">
        <f t="shared" si="255"/>
        <v>324,571428571429</v>
      </c>
      <c r="Q445" s="4" t="str">
        <f t="shared" si="256"/>
        <v>1+26742,4880863273i</v>
      </c>
      <c r="R445" s="4">
        <f t="shared" si="264"/>
        <v>26742.488105024138</v>
      </c>
      <c r="S445" s="4">
        <f t="shared" si="265"/>
        <v>1.5707589331164811</v>
      </c>
      <c r="T445" s="4" t="str">
        <f t="shared" si="257"/>
        <v>1+0,233996770755364i</v>
      </c>
      <c r="U445" s="4">
        <f t="shared" si="266"/>
        <v>1.027012409235613</v>
      </c>
      <c r="V445" s="4">
        <f t="shared" si="267"/>
        <v>0.22986102279768975</v>
      </c>
      <c r="W445" t="str">
        <f t="shared" si="258"/>
        <v>1-2,03122196836253i</v>
      </c>
      <c r="X445" s="4">
        <f t="shared" si="268"/>
        <v>2.2640368117057088</v>
      </c>
      <c r="Y445" s="4">
        <f t="shared" si="269"/>
        <v>-1.1133160102923521</v>
      </c>
      <c r="Z445" t="str">
        <f t="shared" si="259"/>
        <v>0,861305259818988+1,74156971567404i</v>
      </c>
      <c r="AA445" s="4">
        <f t="shared" si="270"/>
        <v>1.9429132315018112</v>
      </c>
      <c r="AB445" s="4">
        <f t="shared" si="271"/>
        <v>1.1115126991607711</v>
      </c>
      <c r="AC445" s="48" t="str">
        <f t="shared" si="272"/>
        <v>-0,01323796147585+0,0059774709271073i</v>
      </c>
      <c r="AD445" s="20">
        <f t="shared" si="273"/>
        <v>-36.757715102342786</v>
      </c>
      <c r="AE445" s="44">
        <f t="shared" si="274"/>
        <v>155.69891378962001</v>
      </c>
      <c r="AF445" t="str">
        <f t="shared" si="260"/>
        <v>-0,0000125211169631323</v>
      </c>
      <c r="AG445" t="str">
        <f t="shared" si="261"/>
        <v>0,00565453196530338i</v>
      </c>
      <c r="AH445">
        <f t="shared" si="275"/>
        <v>5.6545319653033797E-3</v>
      </c>
      <c r="AI445">
        <f t="shared" si="276"/>
        <v>1.5707963267948966</v>
      </c>
      <c r="AJ445" t="str">
        <f t="shared" si="262"/>
        <v>1+9,04961812857989i</v>
      </c>
      <c r="AK445">
        <f t="shared" si="277"/>
        <v>9.1047014378903039</v>
      </c>
      <c r="AL445">
        <f t="shared" si="278"/>
        <v>1.4607409272214342</v>
      </c>
      <c r="AM445" t="str">
        <f t="shared" si="263"/>
        <v>1+1325,35770955838i</v>
      </c>
      <c r="AN445">
        <f t="shared" si="279"/>
        <v>1325.3580868149693</v>
      </c>
      <c r="AO445">
        <f t="shared" si="280"/>
        <v>1.5700418136525014</v>
      </c>
      <c r="AP445" s="42" t="str">
        <f t="shared" si="281"/>
        <v>-0,0351619168010131+0,320416270444166i</v>
      </c>
      <c r="AQ445">
        <f t="shared" si="282"/>
        <v>-9.8337213538030532</v>
      </c>
      <c r="AR445" s="44">
        <f t="shared" si="283"/>
        <v>96.26247948953889</v>
      </c>
      <c r="AS445" s="42" t="str">
        <f t="shared" si="284"/>
        <v>-0,0014498068411233-0,00445183757979483i</v>
      </c>
      <c r="AT445" s="20">
        <f t="shared" si="285"/>
        <v>-46.591436456145836</v>
      </c>
      <c r="AU445" s="44">
        <f t="shared" si="286"/>
        <v>-108.0386067208411</v>
      </c>
    </row>
    <row r="446" spans="14:47" x14ac:dyDescent="0.3">
      <c r="N446" s="8">
        <v>28</v>
      </c>
      <c r="O446" s="35">
        <f t="shared" si="287"/>
        <v>190546.07179632492</v>
      </c>
      <c r="P446" s="34" t="str">
        <f t="shared" si="255"/>
        <v>324,571428571429</v>
      </c>
      <c r="Q446" s="4" t="str">
        <f t="shared" si="256"/>
        <v>1+27365,4006548905i</v>
      </c>
      <c r="R446" s="4">
        <f t="shared" si="264"/>
        <v>27365.400673161745</v>
      </c>
      <c r="S446" s="4">
        <f t="shared" si="265"/>
        <v>1.5707597843005197</v>
      </c>
      <c r="T446" s="4" t="str">
        <f t="shared" si="257"/>
        <v>1+0,239447255730292i</v>
      </c>
      <c r="U446" s="4">
        <f t="shared" si="266"/>
        <v>1.0282679554847403</v>
      </c>
      <c r="V446" s="4">
        <f t="shared" si="267"/>
        <v>0.23502227500907402</v>
      </c>
      <c r="W446" t="str">
        <f t="shared" si="258"/>
        <v>1-2,07853520599212i</v>
      </c>
      <c r="X446" s="4">
        <f t="shared" si="268"/>
        <v>2.3065794160506816</v>
      </c>
      <c r="Y446" s="4">
        <f t="shared" si="269"/>
        <v>-1.1223761879439362</v>
      </c>
      <c r="Z446" t="str">
        <f t="shared" si="259"/>
        <v>0,854768778091957+1,78213608561764i</v>
      </c>
      <c r="AA446" s="4">
        <f t="shared" si="270"/>
        <v>1.9765218672358225</v>
      </c>
      <c r="AB446" s="4">
        <f t="shared" si="271"/>
        <v>1.1235758113479599</v>
      </c>
      <c r="AC446" s="48" t="str">
        <f t="shared" si="272"/>
        <v>-0,0128763019114127+0,00606343581456472i</v>
      </c>
      <c r="AD446" s="20">
        <f t="shared" si="273"/>
        <v>-36.934368677660594</v>
      </c>
      <c r="AE446" s="44">
        <f t="shared" si="274"/>
        <v>154.78430763188859</v>
      </c>
      <c r="AF446" t="str">
        <f t="shared" si="260"/>
        <v>-0,0000125211169631323</v>
      </c>
      <c r="AG446" t="str">
        <f t="shared" si="261"/>
        <v>0,00578624293472248i</v>
      </c>
      <c r="AH446">
        <f t="shared" si="275"/>
        <v>5.7862429347224796E-3</v>
      </c>
      <c r="AI446">
        <f t="shared" si="276"/>
        <v>1.5707963267948966</v>
      </c>
      <c r="AJ446" t="str">
        <f t="shared" si="262"/>
        <v>1+9,26041081379275i</v>
      </c>
      <c r="AK446">
        <f t="shared" si="277"/>
        <v>9.3142476046221638</v>
      </c>
      <c r="AL446">
        <f t="shared" si="278"/>
        <v>1.4632265916406146</v>
      </c>
      <c r="AM446" t="str">
        <f t="shared" si="263"/>
        <v>1+1356,22925645637i</v>
      </c>
      <c r="AN446">
        <f t="shared" si="279"/>
        <v>1356.229625125553</v>
      </c>
      <c r="AO446">
        <f t="shared" si="280"/>
        <v>1.5700589884621503</v>
      </c>
      <c r="AP446" s="42" t="str">
        <f t="shared" si="281"/>
        <v>-0,0335976113761442+0,313291629655048i</v>
      </c>
      <c r="AQ446">
        <f t="shared" si="282"/>
        <v>-10.031362861906846</v>
      </c>
      <c r="AR446" s="44">
        <f t="shared" si="283"/>
        <v>96.121045453140837</v>
      </c>
      <c r="AS446" s="42" t="str">
        <f t="shared" si="284"/>
        <v>-0,00146701070007222-0,00423775456985883i</v>
      </c>
      <c r="AT446" s="20">
        <f t="shared" si="285"/>
        <v>-46.965731539567443</v>
      </c>
      <c r="AU446" s="44">
        <f t="shared" si="286"/>
        <v>-109.09464691497061</v>
      </c>
    </row>
    <row r="447" spans="14:47" x14ac:dyDescent="0.3">
      <c r="N447" s="8">
        <v>29</v>
      </c>
      <c r="O447" s="35">
        <f t="shared" si="287"/>
        <v>194984.45997580473</v>
      </c>
      <c r="P447" s="34" t="str">
        <f t="shared" si="255"/>
        <v>324,571428571429</v>
      </c>
      <c r="Q447" s="4" t="str">
        <f t="shared" si="256"/>
        <v>1+28002,8227211045i</v>
      </c>
      <c r="R447" s="4">
        <f t="shared" si="264"/>
        <v>28002.82273895984</v>
      </c>
      <c r="S447" s="4">
        <f t="shared" si="265"/>
        <v>1.5707606161092442</v>
      </c>
      <c r="T447" s="4" t="str">
        <f t="shared" si="257"/>
        <v>1+0,245024698809664i</v>
      </c>
      <c r="U447" s="4">
        <f t="shared" si="266"/>
        <v>1.0295810327636998</v>
      </c>
      <c r="V447" s="4">
        <f t="shared" si="267"/>
        <v>0.24029057286222513</v>
      </c>
      <c r="W447" t="str">
        <f t="shared" si="258"/>
        <v>1-2,12695051050056i</v>
      </c>
      <c r="X447" s="4">
        <f t="shared" si="268"/>
        <v>2.3503017836266458</v>
      </c>
      <c r="Y447" s="4">
        <f t="shared" si="269"/>
        <v>-1.1313071120502478</v>
      </c>
      <c r="Z447" t="str">
        <f t="shared" si="259"/>
        <v>0,847924241471776+1,82364736770317i</v>
      </c>
      <c r="AA447" s="4">
        <f t="shared" si="270"/>
        <v>2.0111353114612127</v>
      </c>
      <c r="AB447" s="4">
        <f t="shared" si="271"/>
        <v>1.1355710194491553</v>
      </c>
      <c r="AC447" s="48" t="str">
        <f t="shared" si="272"/>
        <v>-0,0125225629710756+0,00613822804625431i</v>
      </c>
      <c r="AD447" s="20">
        <f t="shared" si="273"/>
        <v>-37.110973044369729</v>
      </c>
      <c r="AE447" s="44">
        <f t="shared" si="274"/>
        <v>153.88713214793998</v>
      </c>
      <c r="AF447" t="str">
        <f t="shared" si="260"/>
        <v>-0,0000125211169631323</v>
      </c>
      <c r="AG447" t="str">
        <f t="shared" si="261"/>
        <v>0,00592102184673554i</v>
      </c>
      <c r="AH447">
        <f t="shared" si="275"/>
        <v>5.9210218467355396E-3</v>
      </c>
      <c r="AI447">
        <f t="shared" si="276"/>
        <v>1.5707963267948966</v>
      </c>
      <c r="AJ447" t="str">
        <f t="shared" si="262"/>
        <v>1+9,47611349139498i</v>
      </c>
      <c r="AK447">
        <f t="shared" si="277"/>
        <v>9.528731652313331</v>
      </c>
      <c r="AL447">
        <f t="shared" si="278"/>
        <v>1.4656569655171352</v>
      </c>
      <c r="AM447" t="str">
        <f t="shared" si="263"/>
        <v>1+1387,81989405794i</v>
      </c>
      <c r="AN447">
        <f t="shared" si="279"/>
        <v>1387.8202543351899</v>
      </c>
      <c r="AO447">
        <f t="shared" si="280"/>
        <v>1.5700757723258223</v>
      </c>
      <c r="AP447" s="42" t="str">
        <f t="shared" si="281"/>
        <v>-0,0321021239144781+0,306318058054697i</v>
      </c>
      <c r="AQ447">
        <f t="shared" si="282"/>
        <v>-10.229109323250935</v>
      </c>
      <c r="AR447" s="44">
        <f t="shared" si="283"/>
        <v>95.982756931929671</v>
      </c>
      <c r="AS447" s="42" t="str">
        <f t="shared" si="284"/>
        <v>-0,00147824922680117-0,00403293732852371i</v>
      </c>
      <c r="AT447" s="20">
        <f t="shared" si="285"/>
        <v>-47.340082367620667</v>
      </c>
      <c r="AU447" s="44">
        <f t="shared" si="286"/>
        <v>-110.13011092013032</v>
      </c>
    </row>
    <row r="448" spans="14:47" x14ac:dyDescent="0.3">
      <c r="N448" s="8">
        <v>30</v>
      </c>
      <c r="O448" s="35">
        <f t="shared" si="287"/>
        <v>199526.23149688813</v>
      </c>
      <c r="P448" s="34" t="str">
        <f t="shared" si="255"/>
        <v>324,571428571429</v>
      </c>
      <c r="Q448" s="4" t="str">
        <f t="shared" si="256"/>
        <v>1+28655,0922545865i</v>
      </c>
      <c r="R448" s="4">
        <f t="shared" si="264"/>
        <v>28655.092272035399</v>
      </c>
      <c r="S448" s="4">
        <f t="shared" si="265"/>
        <v>1.5707614289836904</v>
      </c>
      <c r="T448" s="4" t="str">
        <f t="shared" si="257"/>
        <v>1+0,250732057227632i</v>
      </c>
      <c r="U448" s="4">
        <f t="shared" si="266"/>
        <v>1.0309542009815957</v>
      </c>
      <c r="V448" s="4">
        <f t="shared" si="267"/>
        <v>0.24566753939756472</v>
      </c>
      <c r="W448" t="str">
        <f t="shared" si="258"/>
        <v>1-2,17649355232319i</v>
      </c>
      <c r="X448" s="4">
        <f t="shared" si="268"/>
        <v>2.3952294636014351</v>
      </c>
      <c r="Y448" s="4">
        <f t="shared" si="269"/>
        <v>-1.1401078181608522</v>
      </c>
      <c r="Z448" t="str">
        <f t="shared" si="259"/>
        <v>0,840757131778601+1,86612557176191i</v>
      </c>
      <c r="AA448" s="4">
        <f t="shared" si="270"/>
        <v>2.0467772727437383</v>
      </c>
      <c r="AB448" s="4">
        <f t="shared" si="271"/>
        <v>1.1474965822382659</v>
      </c>
      <c r="AC448" s="48" t="str">
        <f t="shared" si="272"/>
        <v>-0,0121768443751591+0,00620236825534023i</v>
      </c>
      <c r="AD448" s="20">
        <f t="shared" si="273"/>
        <v>-37.287512245491541</v>
      </c>
      <c r="AE448" s="44">
        <f t="shared" si="274"/>
        <v>153.00763532971607</v>
      </c>
      <c r="AF448" t="str">
        <f t="shared" si="260"/>
        <v>-0,0000125211169631323</v>
      </c>
      <c r="AG448" t="str">
        <f t="shared" si="261"/>
        <v>0,00605894016290573i</v>
      </c>
      <c r="AH448">
        <f t="shared" si="275"/>
        <v>6.0589401629057302E-3</v>
      </c>
      <c r="AI448">
        <f t="shared" si="276"/>
        <v>1.5707963267948966</v>
      </c>
      <c r="AJ448" t="str">
        <f t="shared" si="262"/>
        <v>1+9,69684052980161i</v>
      </c>
      <c r="AK448">
        <f t="shared" si="277"/>
        <v>9.7482673465802723</v>
      </c>
      <c r="AL448">
        <f t="shared" si="278"/>
        <v>1.4680332225605652</v>
      </c>
      <c r="AM448" t="str">
        <f t="shared" si="263"/>
        <v>1+1420,14637213731i</v>
      </c>
      <c r="AN448">
        <f t="shared" si="279"/>
        <v>1420.1467242136507</v>
      </c>
      <c r="AO448">
        <f t="shared" si="280"/>
        <v>1.5700921741425062</v>
      </c>
      <c r="AP448" s="42" t="str">
        <f t="shared" si="281"/>
        <v>-0,0306724945125358+0,299492840277882i</v>
      </c>
      <c r="AQ448">
        <f t="shared" si="282"/>
        <v>-10.42695611829631</v>
      </c>
      <c r="AR448" s="44">
        <f t="shared" si="283"/>
        <v>95.847547187175223</v>
      </c>
      <c r="AS448" s="42" t="str">
        <f t="shared" si="284"/>
        <v>-0,00148407069296415-0,0038371198138148i</v>
      </c>
      <c r="AT448" s="20">
        <f t="shared" si="285"/>
        <v>-47.714468363787852</v>
      </c>
      <c r="AU448" s="44">
        <f t="shared" si="286"/>
        <v>-111.14481748310875</v>
      </c>
    </row>
    <row r="449" spans="14:47" x14ac:dyDescent="0.3">
      <c r="N449" s="8">
        <v>31</v>
      </c>
      <c r="O449" s="35">
        <f t="shared" si="287"/>
        <v>204173.79446695308</v>
      </c>
      <c r="P449" s="34" t="str">
        <f t="shared" si="255"/>
        <v>324,571428571429</v>
      </c>
      <c r="Q449" s="4" t="str">
        <f t="shared" si="256"/>
        <v>1+29322,5550972768i</v>
      </c>
      <c r="R449" s="4">
        <f t="shared" si="264"/>
        <v>29322.555114328516</v>
      </c>
      <c r="S449" s="4">
        <f t="shared" si="265"/>
        <v>1.5707622233548555</v>
      </c>
      <c r="T449" s="4" t="str">
        <f t="shared" si="257"/>
        <v>1+0,256572357101172i</v>
      </c>
      <c r="U449" s="4">
        <f t="shared" si="266"/>
        <v>1.0323901270490974</v>
      </c>
      <c r="V449" s="4">
        <f t="shared" si="267"/>
        <v>0.25115478135843539</v>
      </c>
      <c r="W449" t="str">
        <f t="shared" si="258"/>
        <v>1-2,22719059983656i</v>
      </c>
      <c r="X449" s="4">
        <f t="shared" si="268"/>
        <v>2.4413885327821823</v>
      </c>
      <c r="Y449" s="4">
        <f t="shared" si="269"/>
        <v>-1.1487775184181703</v>
      </c>
      <c r="Z449" t="str">
        <f t="shared" si="259"/>
        <v>0,833252246611867+1,90959322029987i</v>
      </c>
      <c r="AA449" s="4">
        <f t="shared" si="270"/>
        <v>2.0834719996916089</v>
      </c>
      <c r="AB449" s="4">
        <f t="shared" si="271"/>
        <v>1.1593509909286106</v>
      </c>
      <c r="AC449" s="48" t="str">
        <f t="shared" si="272"/>
        <v>-0,0118392244994486+0,00625637125762567i</v>
      </c>
      <c r="AD449" s="20">
        <f t="shared" si="273"/>
        <v>-37.463968989221513</v>
      </c>
      <c r="AE449" s="44">
        <f t="shared" si="274"/>
        <v>152.14604080015803</v>
      </c>
      <c r="AF449" t="str">
        <f t="shared" si="260"/>
        <v>-0,0000125211169631323</v>
      </c>
      <c r="AG449" t="str">
        <f t="shared" si="261"/>
        <v>0,00620007100934984i</v>
      </c>
      <c r="AH449">
        <f t="shared" si="275"/>
        <v>6.2000710093498401E-3</v>
      </c>
      <c r="AI449">
        <f t="shared" si="276"/>
        <v>1.5707963267948966</v>
      </c>
      <c r="AJ449" t="str">
        <f t="shared" si="262"/>
        <v>1+9,92270896140995i</v>
      </c>
      <c r="AK449">
        <f t="shared" si="277"/>
        <v>9.9729711286479379</v>
      </c>
      <c r="AL449">
        <f t="shared" si="278"/>
        <v>1.4703565152930687</v>
      </c>
      <c r="AM449" t="str">
        <f t="shared" si="263"/>
        <v>1+1453,22583062104i</v>
      </c>
      <c r="AN449">
        <f t="shared" si="279"/>
        <v>1453.2261746831466</v>
      </c>
      <c r="AO449">
        <f t="shared" si="280"/>
        <v>1.5701082026086273</v>
      </c>
      <c r="AP449" s="42" t="str">
        <f t="shared" si="281"/>
        <v>-0,0293058846806457+0,292813276407031i</v>
      </c>
      <c r="AQ449">
        <f t="shared" si="282"/>
        <v>-10.624898826399267</v>
      </c>
      <c r="AR449" s="44">
        <f t="shared" si="283"/>
        <v>95.715350682490154</v>
      </c>
      <c r="AS449" s="42" t="str">
        <f t="shared" si="284"/>
        <v>-0,00148498961847503-0,00365003061039722i</v>
      </c>
      <c r="AT449" s="20">
        <f t="shared" si="285"/>
        <v>-48.088867815620773</v>
      </c>
      <c r="AU449" s="44">
        <f t="shared" si="286"/>
        <v>-112.13860851735174</v>
      </c>
    </row>
    <row r="450" spans="14:47" x14ac:dyDescent="0.3">
      <c r="N450" s="8">
        <v>32</v>
      </c>
      <c r="O450" s="35">
        <f t="shared" si="287"/>
        <v>208929.61308540447</v>
      </c>
      <c r="P450" s="34" t="str">
        <f t="shared" si="255"/>
        <v>324,571428571429</v>
      </c>
      <c r="Q450" s="4" t="str">
        <f t="shared" si="256"/>
        <v>1+30005,5651468098i</v>
      </c>
      <c r="R450" s="4">
        <f t="shared" si="264"/>
        <v>30005.565163473377</v>
      </c>
      <c r="S450" s="4">
        <f t="shared" si="265"/>
        <v>1.5707629996439252</v>
      </c>
      <c r="T450" s="4" t="str">
        <f t="shared" si="257"/>
        <v>1+0,262548695034586i</v>
      </c>
      <c r="U450" s="4">
        <f t="shared" si="266"/>
        <v>1.0338915887385698</v>
      </c>
      <c r="V450" s="4">
        <f t="shared" si="267"/>
        <v>0.25675388583381753</v>
      </c>
      <c r="W450" t="str">
        <f t="shared" si="258"/>
        <v>1-2,27906853328634i</v>
      </c>
      <c r="X450" s="4">
        <f t="shared" si="268"/>
        <v>2.4888056130232328</v>
      </c>
      <c r="Y450" s="4">
        <f t="shared" si="269"/>
        <v>-1.1573155954030889</v>
      </c>
      <c r="Z450" t="str">
        <f t="shared" si="259"/>
        <v>0,825393667103932+1,9540733604397i</v>
      </c>
      <c r="AA450" s="4">
        <f t="shared" si="270"/>
        <v>2.121244305513954</v>
      </c>
      <c r="AB450" s="4">
        <f t="shared" si="271"/>
        <v>1.1711329675661268</v>
      </c>
      <c r="AC450" s="48" t="str">
        <f t="shared" si="272"/>
        <v>-0,0115097610593405+0,00630074484489015i</v>
      </c>
      <c r="AD450" s="20">
        <f t="shared" si="273"/>
        <v>-37.640324679734718</v>
      </c>
      <c r="AE450" s="44">
        <f t="shared" si="274"/>
        <v>151.30254806551767</v>
      </c>
      <c r="AF450" t="str">
        <f t="shared" si="260"/>
        <v>-0,0000125211169631323</v>
      </c>
      <c r="AG450" t="str">
        <f t="shared" si="261"/>
        <v>0,00634448921551077i</v>
      </c>
      <c r="AH450">
        <f t="shared" si="275"/>
        <v>6.3444892155107699E-3</v>
      </c>
      <c r="AI450">
        <f t="shared" si="276"/>
        <v>1.5707963267948966</v>
      </c>
      <c r="AJ450" t="str">
        <f t="shared" si="262"/>
        <v>1+10,1538385446523i</v>
      </c>
      <c r="AK450">
        <f t="shared" si="277"/>
        <v>10.202962177273164</v>
      </c>
      <c r="AL450">
        <f t="shared" si="278"/>
        <v>1.4726279751769848</v>
      </c>
      <c r="AM450" t="str">
        <f t="shared" si="263"/>
        <v>1+1487,07580867589i</v>
      </c>
      <c r="AN450">
        <f t="shared" si="279"/>
        <v>1487.0761449061886</v>
      </c>
      <c r="AO450">
        <f t="shared" si="280"/>
        <v>1.5701238662226571</v>
      </c>
      <c r="AP450" s="42" t="str">
        <f t="shared" si="281"/>
        <v>-0,0279995728806243+0,28627668451108i</v>
      </c>
      <c r="AQ450">
        <f t="shared" si="282"/>
        <v>-10.822933217635187</v>
      </c>
      <c r="AR450" s="44">
        <f t="shared" si="283"/>
        <v>95.586103076784326</v>
      </c>
      <c r="AS450" s="42" t="str">
        <f t="shared" si="284"/>
        <v>-0,00148148795052586-0,00347139440006945i</v>
      </c>
      <c r="AT450" s="20">
        <f t="shared" si="285"/>
        <v>-48.463257897369907</v>
      </c>
      <c r="AU450" s="44">
        <f t="shared" si="286"/>
        <v>-113.11134885769809</v>
      </c>
    </row>
    <row r="451" spans="14:47" x14ac:dyDescent="0.3">
      <c r="N451" s="8">
        <v>33</v>
      </c>
      <c r="O451" s="35">
        <f t="shared" si="287"/>
        <v>213796.20895022334</v>
      </c>
      <c r="P451" s="34" t="str">
        <f t="shared" si="255"/>
        <v>324,571428571429</v>
      </c>
      <c r="Q451" s="4" t="str">
        <f t="shared" si="256"/>
        <v>1+30704,4845441541i</v>
      </c>
      <c r="R451" s="4">
        <f t="shared" si="264"/>
        <v>30704.484560438366</v>
      </c>
      <c r="S451" s="4">
        <f t="shared" si="265"/>
        <v>1.5707637582624985</v>
      </c>
      <c r="T451" s="4" t="str">
        <f t="shared" si="257"/>
        <v>1+0,268664239761348i</v>
      </c>
      <c r="U451" s="4">
        <f t="shared" si="266"/>
        <v>1.0354614786299599</v>
      </c>
      <c r="V451" s="4">
        <f t="shared" si="267"/>
        <v>0.26246641670245041</v>
      </c>
      <c r="W451" t="str">
        <f t="shared" si="258"/>
        <v>1-2,33215485903948i</v>
      </c>
      <c r="X451" s="4">
        <f t="shared" si="268"/>
        <v>2.5375078889614229</v>
      </c>
      <c r="Y451" s="4">
        <f t="shared" si="269"/>
        <v>-1.1657215957505724</v>
      </c>
      <c r="Z451" t="str">
        <f t="shared" si="259"/>
        <v>0,817164724154049+1,99958957614045i</v>
      </c>
      <c r="AA451" s="4">
        <f t="shared" si="270"/>
        <v>2.1601195937751472</v>
      </c>
      <c r="AB451" s="4">
        <f t="shared" si="271"/>
        <v>1.1828414627105519</v>
      </c>
      <c r="AC451" s="48" t="str">
        <f t="shared" si="272"/>
        <v>-0,0111884918691856+0,0063359886679211i</v>
      </c>
      <c r="AD451" s="20">
        <f t="shared" si="273"/>
        <v>-37.816559450299827</v>
      </c>
      <c r="AE451" s="44">
        <f t="shared" si="274"/>
        <v>150.4773328102649</v>
      </c>
      <c r="AF451" t="str">
        <f t="shared" si="260"/>
        <v>-0,0000125211169631323</v>
      </c>
      <c r="AG451" t="str">
        <f t="shared" si="261"/>
        <v>0,00649227135383298i</v>
      </c>
      <c r="AH451">
        <f t="shared" si="275"/>
        <v>6.4922713538329803E-3</v>
      </c>
      <c r="AI451">
        <f t="shared" si="276"/>
        <v>1.5707963267948966</v>
      </c>
      <c r="AJ451" t="str">
        <f t="shared" si="262"/>
        <v>1+10,3903518274929i</v>
      </c>
      <c r="AK451">
        <f t="shared" si="277"/>
        <v>10.438362472106679</v>
      </c>
      <c r="AL451">
        <f t="shared" si="278"/>
        <v>1.4748487127616428</v>
      </c>
      <c r="AM451" t="str">
        <f t="shared" si="263"/>
        <v>1+1521,71425400828i</v>
      </c>
      <c r="AN451">
        <f t="shared" si="279"/>
        <v>1521.7145825850444</v>
      </c>
      <c r="AO451">
        <f t="shared" si="280"/>
        <v>1.5701391732896208</v>
      </c>
      <c r="AP451" s="42" t="str">
        <f t="shared" si="281"/>
        <v>-0,0267509501807047+0,279880402955084i</v>
      </c>
      <c r="AQ451">
        <f t="shared" si="282"/>
        <v>-11.021055244923375</v>
      </c>
      <c r="AR451" s="44">
        <f t="shared" si="283"/>
        <v>95.459741216111098</v>
      </c>
      <c r="AS451" s="42" t="str">
        <f t="shared" si="284"/>
        <v>-0,0014740162729068-0,00330093333000841i</v>
      </c>
      <c r="AT451" s="20">
        <f t="shared" si="285"/>
        <v>-48.837614695223202</v>
      </c>
      <c r="AU451" s="44">
        <f t="shared" si="286"/>
        <v>-114.06292597362402</v>
      </c>
    </row>
    <row r="452" spans="14:47" x14ac:dyDescent="0.3">
      <c r="N452" s="8">
        <v>34</v>
      </c>
      <c r="O452" s="35">
        <f t="shared" si="287"/>
        <v>218776.16239495538</v>
      </c>
      <c r="P452" s="34" t="str">
        <f t="shared" si="255"/>
        <v>324,571428571429</v>
      </c>
      <c r="Q452" s="4" t="str">
        <f t="shared" si="256"/>
        <v>1+31419,6838656256i</v>
      </c>
      <c r="R452" s="4">
        <f t="shared" si="264"/>
        <v>31419.683881539186</v>
      </c>
      <c r="S452" s="4">
        <f t="shared" si="265"/>
        <v>1.5707644996128047</v>
      </c>
      <c r="T452" s="4" t="str">
        <f t="shared" si="257"/>
        <v>1+0,274922233824224i</v>
      </c>
      <c r="U452" s="4">
        <f t="shared" si="266"/>
        <v>1.0371028081395313</v>
      </c>
      <c r="V452" s="4">
        <f t="shared" si="267"/>
        <v>0.26829391087399312</v>
      </c>
      <c r="W452" t="str">
        <f t="shared" si="258"/>
        <v>1-2,38647772416861i</v>
      </c>
      <c r="X452" s="4">
        <f t="shared" si="268"/>
        <v>2.5875231260711451</v>
      </c>
      <c r="Y452" s="4">
        <f t="shared" si="269"/>
        <v>-1.1739952235825952</v>
      </c>
      <c r="Z452" t="str">
        <f t="shared" si="259"/>
        <v>0,808547963070944+2,04616600070217i</v>
      </c>
      <c r="AA452" s="4">
        <f t="shared" si="270"/>
        <v>2.2001238853791127</v>
      </c>
      <c r="AB452" s="4">
        <f t="shared" si="271"/>
        <v>1.1944756524564677</v>
      </c>
      <c r="AC452" s="48" t="str">
        <f t="shared" si="272"/>
        <v>-0,0108754356660974+0,00636259321243386i</v>
      </c>
      <c r="AD452" s="20">
        <f t="shared" si="273"/>
        <v>-37.992652198438265</v>
      </c>
      <c r="AE452" s="44">
        <f t="shared" si="274"/>
        <v>149.67054722865544</v>
      </c>
      <c r="AF452" t="str">
        <f t="shared" si="260"/>
        <v>-0,0000125211169631323</v>
      </c>
      <c r="AG452" t="str">
        <f t="shared" si="261"/>
        <v>0,00664349578036237i</v>
      </c>
      <c r="AH452">
        <f t="shared" si="275"/>
        <v>6.6434957803623703E-3</v>
      </c>
      <c r="AI452">
        <f t="shared" si="276"/>
        <v>1.5707963267948966</v>
      </c>
      <c r="AJ452" t="str">
        <f t="shared" si="262"/>
        <v>1+10,632374212405i</v>
      </c>
      <c r="AK452">
        <f t="shared" si="277"/>
        <v>10.679296858530286</v>
      </c>
      <c r="AL452">
        <f t="shared" si="278"/>
        <v>1.4770198178476768</v>
      </c>
      <c r="AM452" t="str">
        <f t="shared" si="263"/>
        <v>1+1557,1595323804i</v>
      </c>
      <c r="AN452">
        <f t="shared" si="279"/>
        <v>1557.1598534778459</v>
      </c>
      <c r="AO452">
        <f t="shared" si="280"/>
        <v>1.5701541319254988</v>
      </c>
      <c r="AP452" s="42" t="str">
        <f t="shared" si="281"/>
        <v>-0,0255575160292044+0,273621792494946i</v>
      </c>
      <c r="AQ452">
        <f t="shared" si="282"/>
        <v>-11.21926103644731</v>
      </c>
      <c r="AR452" s="44">
        <f t="shared" si="283"/>
        <v>95.336203124505047</v>
      </c>
      <c r="AS452" s="42" t="str">
        <f t="shared" si="284"/>
        <v>-0,00146299503834146-0,00313836827913512i</v>
      </c>
      <c r="AT452" s="20">
        <f t="shared" si="285"/>
        <v>-49.211913234885586</v>
      </c>
      <c r="AU452" s="44">
        <f t="shared" si="286"/>
        <v>-114.99324964683944</v>
      </c>
    </row>
    <row r="453" spans="14:47" x14ac:dyDescent="0.3">
      <c r="N453" s="8">
        <v>35</v>
      </c>
      <c r="O453" s="35">
        <f t="shared" si="287"/>
        <v>223872.11385683404</v>
      </c>
      <c r="P453" s="34" t="str">
        <f t="shared" si="255"/>
        <v>324,571428571429</v>
      </c>
      <c r="Q453" s="4" t="str">
        <f t="shared" si="256"/>
        <v>1+32151,5423193714i</v>
      </c>
      <c r="R453" s="4">
        <f t="shared" si="264"/>
        <v>32151.542334922753</v>
      </c>
      <c r="S453" s="4">
        <f t="shared" si="265"/>
        <v>1.5707652240879177</v>
      </c>
      <c r="T453" s="4" t="str">
        <f t="shared" si="257"/>
        <v>1+0,2813259952945i</v>
      </c>
      <c r="U453" s="4">
        <f t="shared" si="266"/>
        <v>1.0388187116279919</v>
      </c>
      <c r="V453" s="4">
        <f t="shared" si="267"/>
        <v>0.27423787432337976</v>
      </c>
      <c r="W453" t="str">
        <f t="shared" si="258"/>
        <v>1-2,44206593137587i</v>
      </c>
      <c r="X453" s="4">
        <f t="shared" si="268"/>
        <v>2.6388796890322026</v>
      </c>
      <c r="Y453" s="4">
        <f t="shared" si="269"/>
        <v>-1.1821363338030584</v>
      </c>
      <c r="Z453" t="str">
        <f t="shared" si="259"/>
        <v>0,799525106549089+2,09382732956167i</v>
      </c>
      <c r="AA453" s="4">
        <f t="shared" si="270"/>
        <v>2.2412838468212111</v>
      </c>
      <c r="AB453" s="4">
        <f t="shared" si="271"/>
        <v>1.2060349348472081</v>
      </c>
      <c r="AC453" s="48" t="str">
        <f t="shared" si="272"/>
        <v>-0,0105705929876531+0,00638103886987891i</v>
      </c>
      <c r="AD453" s="20">
        <f t="shared" si="273"/>
        <v>-38.168580622892698</v>
      </c>
      <c r="AE453" s="44">
        <f t="shared" si="274"/>
        <v>148.88232038714625</v>
      </c>
      <c r="AF453" t="str">
        <f t="shared" si="260"/>
        <v>-0,0000125211169631323</v>
      </c>
      <c r="AG453" t="str">
        <f t="shared" si="261"/>
        <v>0,00679824267629157i</v>
      </c>
      <c r="AH453">
        <f t="shared" si="275"/>
        <v>6.79824267629157E-3</v>
      </c>
      <c r="AI453">
        <f t="shared" si="276"/>
        <v>1.5707963267948966</v>
      </c>
      <c r="AJ453" t="str">
        <f t="shared" si="262"/>
        <v>1+10,8800340228607i</v>
      </c>
      <c r="AK453">
        <f t="shared" si="277"/>
        <v>10.925893114002459</v>
      </c>
      <c r="AL453">
        <f t="shared" si="278"/>
        <v>1.4791423596671807</v>
      </c>
      <c r="AM453" t="str">
        <f t="shared" si="263"/>
        <v>1+1593,43043734805i</v>
      </c>
      <c r="AN453">
        <f t="shared" si="279"/>
        <v>1593.4307511364268</v>
      </c>
      <c r="AO453">
        <f t="shared" si="280"/>
        <v>1.5701687500615313</v>
      </c>
      <c r="AP453" s="42" t="str">
        <f t="shared" si="281"/>
        <v>-0,0244168741478573+0,267498238171082i</v>
      </c>
      <c r="AQ453">
        <f t="shared" si="282"/>
        <v>-11.41754688835926</v>
      </c>
      <c r="AR453" s="44">
        <f t="shared" si="283"/>
        <v>95.215427993906445</v>
      </c>
      <c r="AS453" s="42" t="str">
        <f t="shared" si="284"/>
        <v>-0,00144881581674605-0,00298342002363922i</v>
      </c>
      <c r="AT453" s="20">
        <f t="shared" si="285"/>
        <v>-49.586127511251952</v>
      </c>
      <c r="AU453" s="44">
        <f t="shared" si="286"/>
        <v>-115.90225161894722</v>
      </c>
    </row>
    <row r="454" spans="14:47" x14ac:dyDescent="0.3">
      <c r="N454" s="8">
        <v>36</v>
      </c>
      <c r="O454" s="35">
        <f t="shared" si="287"/>
        <v>229086.76527677779</v>
      </c>
      <c r="P454" s="34" t="str">
        <f t="shared" si="255"/>
        <v>324,571428571429</v>
      </c>
      <c r="Q454" s="4" t="str">
        <f t="shared" si="256"/>
        <v>1+32900,4479464309i</v>
      </c>
      <c r="R454" s="4">
        <f t="shared" si="264"/>
        <v>32900.447961628262</v>
      </c>
      <c r="S454" s="4">
        <f t="shared" si="265"/>
        <v>1.570765932071964</v>
      </c>
      <c r="T454" s="4" t="str">
        <f t="shared" si="257"/>
        <v>1+0,28787891953127i</v>
      </c>
      <c r="U454" s="4">
        <f t="shared" si="266"/>
        <v>1.0406124505840257</v>
      </c>
      <c r="V454" s="4">
        <f t="shared" si="267"/>
        <v>0.2802997779153415</v>
      </c>
      <c r="W454" t="str">
        <f t="shared" si="258"/>
        <v>1-2,4989489542645i</v>
      </c>
      <c r="X454" s="4">
        <f t="shared" si="268"/>
        <v>2.6916065604058179</v>
      </c>
      <c r="Y454" s="4">
        <f t="shared" si="269"/>
        <v>-1.190144925296837</v>
      </c>
      <c r="Z454" t="str">
        <f t="shared" si="259"/>
        <v>0,790077015900089+2,14259883338638i</v>
      </c>
      <c r="AA454" s="4">
        <f t="shared" si="270"/>
        <v>2.2836268197501677</v>
      </c>
      <c r="AB454" s="4">
        <f t="shared" si="271"/>
        <v>1.2175189257354966</v>
      </c>
      <c r="AC454" s="48" t="str">
        <f t="shared" si="272"/>
        <v>-0,0102739470931842+0,00639179510402072i</v>
      </c>
      <c r="AD454" s="20">
        <f t="shared" si="273"/>
        <v>-38.34432126220463</v>
      </c>
      <c r="AE454" s="44">
        <f t="shared" si="274"/>
        <v>148.11275861197959</v>
      </c>
      <c r="AF454" t="str">
        <f t="shared" si="260"/>
        <v>-0,0000125211169631323</v>
      </c>
      <c r="AG454" t="str">
        <f t="shared" si="261"/>
        <v>0,00695659409047313i</v>
      </c>
      <c r="AH454">
        <f t="shared" si="275"/>
        <v>6.9565940904731298E-3</v>
      </c>
      <c r="AI454">
        <f t="shared" si="276"/>
        <v>1.5707963267948966</v>
      </c>
      <c r="AJ454" t="str">
        <f t="shared" si="262"/>
        <v>1+11,1334625713695i</v>
      </c>
      <c r="AK454">
        <f t="shared" si="277"/>
        <v>11.178282015948854</v>
      </c>
      <c r="AL454">
        <f t="shared" si="278"/>
        <v>1.4812173870781689</v>
      </c>
      <c r="AM454" t="str">
        <f t="shared" si="263"/>
        <v>1+1630,54620022511i</v>
      </c>
      <c r="AN454">
        <f t="shared" si="279"/>
        <v>1630.5465068707927</v>
      </c>
      <c r="AO454">
        <f t="shared" si="280"/>
        <v>1.5701830354484223</v>
      </c>
      <c r="AP454" s="42" t="str">
        <f t="shared" si="281"/>
        <v>-0,0233267285451827+0,261507151013953i</v>
      </c>
      <c r="AQ454">
        <f t="shared" si="282"/>
        <v>-11.615909257763843</v>
      </c>
      <c r="AR454" s="44">
        <f t="shared" si="283"/>
        <v>95.097356173260465</v>
      </c>
      <c r="AS454" s="42" t="str">
        <f t="shared" si="284"/>
        <v>-0,00143184255258711-0,0028358103033146i</v>
      </c>
      <c r="AT454" s="20">
        <f t="shared" si="285"/>
        <v>-49.960230519968491</v>
      </c>
      <c r="AU454" s="44">
        <f t="shared" si="286"/>
        <v>-116.78988521475989</v>
      </c>
    </row>
    <row r="455" spans="14:47" x14ac:dyDescent="0.3">
      <c r="N455" s="8">
        <v>37</v>
      </c>
      <c r="O455" s="35">
        <f t="shared" si="287"/>
        <v>234422.88153199267</v>
      </c>
      <c r="P455" s="34" t="str">
        <f t="shared" si="255"/>
        <v>324,571428571429</v>
      </c>
      <c r="Q455" s="4" t="str">
        <f t="shared" si="256"/>
        <v>1+33666,7978264805i</v>
      </c>
      <c r="R455" s="4">
        <f t="shared" si="264"/>
        <v>33666.797841331929</v>
      </c>
      <c r="S455" s="4">
        <f t="shared" si="265"/>
        <v>1.5707666239403257</v>
      </c>
      <c r="T455" s="4" t="str">
        <f t="shared" si="257"/>
        <v>1+0,294584480981704i</v>
      </c>
      <c r="U455" s="4">
        <f t="shared" si="266"/>
        <v>1.0424874178786332</v>
      </c>
      <c r="V455" s="4">
        <f t="shared" si="267"/>
        <v>0.28648105301686061</v>
      </c>
      <c r="W455" t="str">
        <f t="shared" si="258"/>
        <v>1-2,55715695296618i</v>
      </c>
      <c r="X455" s="4">
        <f t="shared" si="268"/>
        <v>2.7457333596151101</v>
      </c>
      <c r="Y455" s="4">
        <f t="shared" si="269"/>
        <v>-1.1980211340722129</v>
      </c>
      <c r="Z455" t="str">
        <f t="shared" si="259"/>
        <v>0,780183650456948+2,1925063714732i</v>
      </c>
      <c r="AA455" s="4">
        <f t="shared" si="270"/>
        <v>2.3271808518873018</v>
      </c>
      <c r="AB455" s="4">
        <f t="shared" si="271"/>
        <v>1.2289274541447008</v>
      </c>
      <c r="AC455" s="48" t="str">
        <f t="shared" si="272"/>
        <v>-0,00998546491873871+0,00639531971314005i</v>
      </c>
      <c r="AD455" s="20">
        <f t="shared" si="273"/>
        <v>-38.519849534735087</v>
      </c>
      <c r="AE455" s="44">
        <f t="shared" si="274"/>
        <v>147.36194589647337</v>
      </c>
      <c r="AF455" t="str">
        <f t="shared" si="260"/>
        <v>-0,0000125211169631323</v>
      </c>
      <c r="AG455" t="str">
        <f t="shared" si="261"/>
        <v>0,00711863398292286i</v>
      </c>
      <c r="AH455">
        <f t="shared" si="275"/>
        <v>7.1186339829228604E-3</v>
      </c>
      <c r="AI455">
        <f t="shared" si="276"/>
        <v>1.5707963267948966</v>
      </c>
      <c r="AJ455" t="str">
        <f t="shared" si="262"/>
        <v>1+11,3927942291025i</v>
      </c>
      <c r="AK455">
        <f t="shared" si="277"/>
        <v>11.436597411235182</v>
      </c>
      <c r="AL455">
        <f t="shared" si="278"/>
        <v>1.4832459287719113</v>
      </c>
      <c r="AM455" t="str">
        <f t="shared" si="263"/>
        <v>1+1668,52650028037i</v>
      </c>
      <c r="AN455">
        <f t="shared" si="279"/>
        <v>1668.5267999459463</v>
      </c>
      <c r="AO455">
        <f t="shared" si="280"/>
        <v>1.57019699566045</v>
      </c>
      <c r="AP455" s="42" t="str">
        <f t="shared" si="281"/>
        <v>-0,0222848796498068+0,255645969573888i</v>
      </c>
      <c r="AQ455">
        <f t="shared" si="282"/>
        <v>-11.814344755969966</v>
      </c>
      <c r="AR455" s="44">
        <f t="shared" si="283"/>
        <v>94.981929156872965</v>
      </c>
      <c r="AS455" s="42" t="str">
        <f t="shared" si="284"/>
        <v>-0,00141241282483923-0,00269526279092637i</v>
      </c>
      <c r="AT455" s="20">
        <f t="shared" si="285"/>
        <v>-50.334194290705042</v>
      </c>
      <c r="AU455" s="44">
        <f t="shared" si="286"/>
        <v>-117.65612494665363</v>
      </c>
    </row>
    <row r="456" spans="14:47" x14ac:dyDescent="0.3">
      <c r="N456" s="8">
        <v>38</v>
      </c>
      <c r="O456" s="35">
        <f t="shared" si="287"/>
        <v>239883.29190194907</v>
      </c>
      <c r="P456" s="34" t="str">
        <f t="shared" si="255"/>
        <v>324,571428571429</v>
      </c>
      <c r="Q456" s="4" t="str">
        <f t="shared" si="256"/>
        <v>1+34450,9982883703i</v>
      </c>
      <c r="R456" s="4">
        <f t="shared" si="264"/>
        <v>34450.998302883665</v>
      </c>
      <c r="S456" s="4">
        <f t="shared" si="265"/>
        <v>1.570767300059841</v>
      </c>
      <c r="T456" s="4" t="str">
        <f t="shared" si="257"/>
        <v>1+0,30144623502324i</v>
      </c>
      <c r="U456" s="4">
        <f t="shared" si="266"/>
        <v>1.0444471420850776</v>
      </c>
      <c r="V456" s="4">
        <f t="shared" si="267"/>
        <v>0.29278308689628474</v>
      </c>
      <c r="W456" t="str">
        <f t="shared" si="258"/>
        <v>1-2,61672079013229i</v>
      </c>
      <c r="X456" s="4">
        <f t="shared" si="268"/>
        <v>2.8012903622278351</v>
      </c>
      <c r="Y456" s="4">
        <f t="shared" si="269"/>
        <v>-1.205765226383074</v>
      </c>
      <c r="Z456" t="str">
        <f t="shared" si="259"/>
        <v>0,769824025065136+2,24357640545942i</v>
      </c>
      <c r="AA456" s="4">
        <f t="shared" si="270"/>
        <v>2.3719747293556264</v>
      </c>
      <c r="AB456" s="4">
        <f t="shared" si="271"/>
        <v>1.2402605571841143</v>
      </c>
      <c r="AC456" s="48" t="str">
        <f t="shared" si="272"/>
        <v>-0,00970509805626812+0,00639205818677463i</v>
      </c>
      <c r="AD456" s="20">
        <f t="shared" si="273"/>
        <v>-38.695139779999224</v>
      </c>
      <c r="AE456" s="44">
        <f t="shared" si="274"/>
        <v>146.62994432280081</v>
      </c>
      <c r="AF456" t="str">
        <f t="shared" si="260"/>
        <v>-0,0000125211169631323</v>
      </c>
      <c r="AG456" t="str">
        <f t="shared" si="261"/>
        <v>0,00728444826933659i</v>
      </c>
      <c r="AH456">
        <f t="shared" si="275"/>
        <v>7.2844482693365901E-3</v>
      </c>
      <c r="AI456">
        <f t="shared" si="276"/>
        <v>1.5707963267948966</v>
      </c>
      <c r="AJ456" t="str">
        <f t="shared" si="262"/>
        <v>1+11,6581664971372i</v>
      </c>
      <c r="AK456">
        <f t="shared" si="277"/>
        <v>11.700976287257927</v>
      </c>
      <c r="AL456">
        <f t="shared" si="278"/>
        <v>1.4852289934917839</v>
      </c>
      <c r="AM456" t="str">
        <f t="shared" si="263"/>
        <v>1+1707,39147517163i</v>
      </c>
      <c r="AN456">
        <f t="shared" si="279"/>
        <v>1707.3917680159861</v>
      </c>
      <c r="AO456">
        <f t="shared" si="280"/>
        <v>1.5702106380994814</v>
      </c>
      <c r="AP456" s="42" t="str">
        <f t="shared" si="281"/>
        <v>-0,0212892205632365+0,249912161286829i</v>
      </c>
      <c r="AQ456">
        <f t="shared" si="282"/>
        <v>-12.012850142004943</v>
      </c>
      <c r="AR456" s="44">
        <f t="shared" si="283"/>
        <v>94.869089572101757</v>
      </c>
      <c r="AS456" s="42" t="str">
        <f t="shared" si="284"/>
        <v>-0,00139083910342029-0,00256150396733386i</v>
      </c>
      <c r="AT456" s="20">
        <f t="shared" si="285"/>
        <v>-50.707989922004153</v>
      </c>
      <c r="AU456" s="44">
        <f t="shared" si="286"/>
        <v>-118.50096610509745</v>
      </c>
    </row>
    <row r="457" spans="14:47" x14ac:dyDescent="0.3">
      <c r="N457" s="8">
        <v>39</v>
      </c>
      <c r="O457" s="35">
        <f t="shared" si="287"/>
        <v>245470.89156850305</v>
      </c>
      <c r="P457" s="34" t="str">
        <f t="shared" si="255"/>
        <v>324,571428571429</v>
      </c>
      <c r="Q457" s="4" t="str">
        <f t="shared" si="256"/>
        <v>1+35253,4651255655i</v>
      </c>
      <c r="R457" s="4">
        <f t="shared" si="264"/>
        <v>35253.465139748499</v>
      </c>
      <c r="S457" s="4">
        <f t="shared" si="265"/>
        <v>1.5707679607889971</v>
      </c>
      <c r="T457" s="4" t="str">
        <f t="shared" si="257"/>
        <v>1+0,308467819848698i</v>
      </c>
      <c r="U457" s="4">
        <f t="shared" si="266"/>
        <v>1.0464952918585964</v>
      </c>
      <c r="V457" s="4">
        <f t="shared" si="267"/>
        <v>0.29920721790894383</v>
      </c>
      <c r="W457" t="str">
        <f t="shared" si="258"/>
        <v>1-2,67767204729773i</v>
      </c>
      <c r="X457" s="4">
        <f t="shared" si="268"/>
        <v>2.8583085195408167</v>
      </c>
      <c r="Y457" s="4">
        <f t="shared" si="269"/>
        <v>-1.2133775918643637</v>
      </c>
      <c r="Z457" t="str">
        <f t="shared" si="259"/>
        <v>0,758976165570257+2,29583601335307i</v>
      </c>
      <c r="AA457" s="4">
        <f t="shared" si="270"/>
        <v>2.4180380104772237</v>
      </c>
      <c r="AB457" s="4">
        <f t="shared" si="271"/>
        <v>1.2515184745707419</v>
      </c>
      <c r="AC457" s="48" t="str">
        <f t="shared" si="272"/>
        <v>-0,00943278374813815+0,00638244315507634i</v>
      </c>
      <c r="AD457" s="20">
        <f t="shared" si="273"/>
        <v>-38.870165301222464</v>
      </c>
      <c r="AE457" s="44">
        <f t="shared" si="274"/>
        <v>145.91679449332361</v>
      </c>
      <c r="AF457" t="str">
        <f t="shared" si="260"/>
        <v>-0,0000125211169631323</v>
      </c>
      <c r="AG457" t="str">
        <f t="shared" si="261"/>
        <v>0,0074541248666438i</v>
      </c>
      <c r="AH457">
        <f t="shared" si="275"/>
        <v>7.4541248666437996E-3</v>
      </c>
      <c r="AI457">
        <f t="shared" si="276"/>
        <v>1.5707963267948966</v>
      </c>
      <c r="AJ457" t="str">
        <f t="shared" si="262"/>
        <v>1+11,9297200793627i</v>
      </c>
      <c r="AK457">
        <f t="shared" si="277"/>
        <v>11.971558844693098</v>
      </c>
      <c r="AL457">
        <f t="shared" si="278"/>
        <v>1.487167570262395</v>
      </c>
      <c r="AM457" t="str">
        <f t="shared" si="263"/>
        <v>1+1747,16173162303i</v>
      </c>
      <c r="AN457">
        <f t="shared" si="279"/>
        <v>1747.1620178014357</v>
      </c>
      <c r="AO457">
        <f t="shared" si="280"/>
        <v>1.5702239699988982</v>
      </c>
      <c r="AP457" s="42" t="str">
        <f t="shared" si="281"/>
        <v>-0,0203377334312118+0,244303223687122i</v>
      </c>
      <c r="AQ457">
        <f t="shared" si="282"/>
        <v>-12.211422316380563</v>
      </c>
      <c r="AR457" s="44">
        <f t="shared" si="283"/>
        <v>94.758781166453161</v>
      </c>
      <c r="AS457" s="42" t="str">
        <f t="shared" si="284"/>
        <v>-0,00136740999640106-0,00243426390554145i</v>
      </c>
      <c r="AT457" s="20">
        <f t="shared" si="285"/>
        <v>-51.081587617603013</v>
      </c>
      <c r="AU457" s="44">
        <f t="shared" si="286"/>
        <v>-119.32442434022332</v>
      </c>
    </row>
    <row r="458" spans="14:47" x14ac:dyDescent="0.3">
      <c r="N458" s="8">
        <v>40</v>
      </c>
      <c r="O458" s="35">
        <f t="shared" si="287"/>
        <v>251188.64315095844</v>
      </c>
      <c r="P458" s="34" t="str">
        <f t="shared" si="255"/>
        <v>324,571428571429</v>
      </c>
      <c r="Q458" s="4" t="str">
        <f t="shared" si="256"/>
        <v>1+36074,6238166053i</v>
      </c>
      <c r="R458" s="4">
        <f t="shared" si="264"/>
        <v>36074.623830465462</v>
      </c>
      <c r="S458" s="4">
        <f t="shared" si="265"/>
        <v>1.5707686064781214</v>
      </c>
      <c r="T458" s="4" t="str">
        <f t="shared" si="257"/>
        <v>1+0,315652958395296i</v>
      </c>
      <c r="U458" s="4">
        <f t="shared" si="266"/>
        <v>1.0486356803693562</v>
      </c>
      <c r="V458" s="4">
        <f t="shared" si="267"/>
        <v>0.30575473047029689</v>
      </c>
      <c r="W458" t="str">
        <f t="shared" si="258"/>
        <v>1-2,74004304162583i</v>
      </c>
      <c r="X458" s="4">
        <f t="shared" si="268"/>
        <v>2.9168194784665933</v>
      </c>
      <c r="Y458" s="4">
        <f t="shared" si="269"/>
        <v>-1.2208587367112957</v>
      </c>
      <c r="Z458" t="str">
        <f t="shared" si="259"/>
        <v>0,747617062207921+2,34931290388999i</v>
      </c>
      <c r="AA458" s="4">
        <f t="shared" si="270"/>
        <v>2.4654010611031261</v>
      </c>
      <c r="AB458" s="4">
        <f t="shared" si="271"/>
        <v>1.2627016428085569</v>
      </c>
      <c r="AC458" s="48" t="str">
        <f t="shared" si="272"/>
        <v>-0,00916844588866812+0,00636689392812642i</v>
      </c>
      <c r="AD458" s="20">
        <f t="shared" si="273"/>
        <v>-39.044898409062093</v>
      </c>
      <c r="AE458" s="44">
        <f t="shared" si="274"/>
        <v>145.22251596686951</v>
      </c>
      <c r="AF458" t="str">
        <f t="shared" si="260"/>
        <v>-0,0000125211169631323</v>
      </c>
      <c r="AG458" t="str">
        <f t="shared" si="261"/>
        <v>0,00762775373962232i</v>
      </c>
      <c r="AH458">
        <f t="shared" si="275"/>
        <v>7.6277537396223201E-3</v>
      </c>
      <c r="AI458">
        <f t="shared" si="276"/>
        <v>1.5707963267948966</v>
      </c>
      <c r="AJ458" t="str">
        <f t="shared" si="262"/>
        <v>1+12,2075989570829i</v>
      </c>
      <c r="AK458">
        <f t="shared" si="277"/>
        <v>12.248488571941092</v>
      </c>
      <c r="AL458">
        <f t="shared" si="278"/>
        <v>1.489062628627811</v>
      </c>
      <c r="AM458" t="str">
        <f t="shared" si="263"/>
        <v>1+1787,85835635096i</v>
      </c>
      <c r="AN458">
        <f t="shared" si="279"/>
        <v>1787.858636015151</v>
      </c>
      <c r="AO458">
        <f t="shared" si="280"/>
        <v>1.5702369984274311</v>
      </c>
      <c r="AP458" s="42" t="str">
        <f t="shared" si="281"/>
        <v>-0,0194284859324478+0,238816685477741i</v>
      </c>
      <c r="AQ458">
        <f t="shared" si="282"/>
        <v>-12.41005831510542</v>
      </c>
      <c r="AR458" s="44">
        <f t="shared" si="283"/>
        <v>94.650948794152427</v>
      </c>
      <c r="AS458" s="42" t="str">
        <f t="shared" si="284"/>
        <v>-0,00134239148273311-0,00231327696722973i</v>
      </c>
      <c r="AT458" s="20">
        <f t="shared" si="285"/>
        <v>-51.454956724167516</v>
      </c>
      <c r="AU458" s="44">
        <f t="shared" si="286"/>
        <v>-120.12653523897812</v>
      </c>
    </row>
    <row r="459" spans="14:47" x14ac:dyDescent="0.3">
      <c r="N459" s="8">
        <v>41</v>
      </c>
      <c r="O459" s="35">
        <f t="shared" si="287"/>
        <v>257039.57827688678</v>
      </c>
      <c r="P459" s="34" t="str">
        <f t="shared" si="255"/>
        <v>324,571428571429</v>
      </c>
      <c r="Q459" s="4" t="str">
        <f t="shared" si="256"/>
        <v>1+36914,9097506965i</v>
      </c>
      <c r="R459" s="4">
        <f t="shared" si="264"/>
        <v>36914.909764241151</v>
      </c>
      <c r="S459" s="4">
        <f t="shared" si="265"/>
        <v>1.5707692374695668</v>
      </c>
      <c r="T459" s="4" t="str">
        <f t="shared" si="257"/>
        <v>1+0,323005460318594i</v>
      </c>
      <c r="U459" s="4">
        <f t="shared" si="266"/>
        <v>1.0508722697814548</v>
      </c>
      <c r="V459" s="4">
        <f t="shared" si="267"/>
        <v>0.3124268498190122</v>
      </c>
      <c r="W459" t="str">
        <f t="shared" si="258"/>
        <v>1-2,80386684304335i</v>
      </c>
      <c r="X459" s="4">
        <f t="shared" si="268"/>
        <v>2.9768556017243903</v>
      </c>
      <c r="Y459" s="4">
        <f t="shared" si="269"/>
        <v>-1.2282092769299791</v>
      </c>
      <c r="Z459" t="str">
        <f t="shared" si="259"/>
        <v>0,735722620796961+2,40403543122537i</v>
      </c>
      <c r="AA459" s="4">
        <f t="shared" si="270"/>
        <v>2.5140950915467175</v>
      </c>
      <c r="AB459" s="4">
        <f t="shared" si="271"/>
        <v>1.2738106890744363</v>
      </c>
      <c r="AC459" s="48" t="str">
        <f t="shared" si="272"/>
        <v>-0,00891199602505035+0,00634581612191712i</v>
      </c>
      <c r="AD459" s="20">
        <f t="shared" si="273"/>
        <v>-39.219310466474425</v>
      </c>
      <c r="AE459" s="44">
        <f t="shared" si="274"/>
        <v>144.5471076956895</v>
      </c>
      <c r="AF459" t="str">
        <f t="shared" si="260"/>
        <v>-0,0000125211169631323</v>
      </c>
      <c r="AG459" t="str">
        <f t="shared" si="261"/>
        <v>0,00780542694859883i</v>
      </c>
      <c r="AH459">
        <f t="shared" si="275"/>
        <v>7.8054269485988304E-3</v>
      </c>
      <c r="AI459">
        <f t="shared" si="276"/>
        <v>1.5707963267948966</v>
      </c>
      <c r="AJ459" t="str">
        <f t="shared" si="262"/>
        <v>1+12,4919504653567i</v>
      </c>
      <c r="AK459">
        <f t="shared" si="277"/>
        <v>12.531912321306971</v>
      </c>
      <c r="AL459">
        <f t="shared" si="278"/>
        <v>1.4909151188977903</v>
      </c>
      <c r="AM459" t="str">
        <f t="shared" si="263"/>
        <v>1+1829,50292724452i</v>
      </c>
      <c r="AN459">
        <f t="shared" si="279"/>
        <v>1829.5032005427777</v>
      </c>
      <c r="AO459">
        <f t="shared" si="280"/>
        <v>1.5702497302929075</v>
      </c>
      <c r="AP459" s="42" t="str">
        <f t="shared" si="281"/>
        <v>-0,0185596278833046+0,2334501074679i</v>
      </c>
      <c r="AQ459">
        <f t="shared" si="282"/>
        <v>-12.608755303932595</v>
      </c>
      <c r="AR459" s="44">
        <f t="shared" si="283"/>
        <v>94.545538402250699</v>
      </c>
      <c r="AS459" s="42" t="str">
        <f t="shared" si="284"/>
        <v>-0,00131602812571066-0,00219828241564016i</v>
      </c>
      <c r="AT459" s="20">
        <f t="shared" si="285"/>
        <v>-51.828065770407015</v>
      </c>
      <c r="AU459" s="44">
        <f t="shared" si="286"/>
        <v>-120.90735390205977</v>
      </c>
    </row>
    <row r="460" spans="14:47" x14ac:dyDescent="0.3">
      <c r="N460" s="8">
        <v>42</v>
      </c>
      <c r="O460" s="35">
        <f t="shared" si="287"/>
        <v>263026.79918953858</v>
      </c>
      <c r="P460" s="34" t="str">
        <f t="shared" si="255"/>
        <v>324,571428571429</v>
      </c>
      <c r="Q460" s="4" t="str">
        <f t="shared" si="256"/>
        <v>1+37774,7684585641i</v>
      </c>
      <c r="R460" s="4">
        <f t="shared" si="264"/>
        <v>37774.768471800438</v>
      </c>
      <c r="S460" s="4">
        <f t="shared" si="265"/>
        <v>1.5707698540978936</v>
      </c>
      <c r="T460" s="4" t="str">
        <f t="shared" si="257"/>
        <v>1+0,330529224012436i</v>
      </c>
      <c r="U460" s="4">
        <f t="shared" si="266"/>
        <v>1.0532091757700666</v>
      </c>
      <c r="V460" s="4">
        <f t="shared" si="267"/>
        <v>0.31922473657390671</v>
      </c>
      <c r="W460" t="str">
        <f t="shared" si="258"/>
        <v>1-2,86917729177462i</v>
      </c>
      <c r="X460" s="4">
        <f t="shared" si="268"/>
        <v>3.0384499883386504</v>
      </c>
      <c r="Y460" s="4">
        <f t="shared" si="269"/>
        <v>-1.2354299316842221</v>
      </c>
      <c r="Z460" t="str">
        <f t="shared" si="259"/>
        <v>0,723267611632425+2,46003260996756i</v>
      </c>
      <c r="AA460" s="4">
        <f t="shared" si="270"/>
        <v>2.5641521951983033</v>
      </c>
      <c r="AB460" s="4">
        <f t="shared" si="271"/>
        <v>1.2848464248577927</v>
      </c>
      <c r="AC460" s="48" t="str">
        <f t="shared" si="272"/>
        <v>-0,00866333435067671+0,00631960136717464i</v>
      </c>
      <c r="AD460" s="20">
        <f t="shared" si="273"/>
        <v>-39.393371934743584</v>
      </c>
      <c r="AE460" s="44">
        <f t="shared" si="274"/>
        <v>143.89054845920523</v>
      </c>
      <c r="AF460" t="str">
        <f t="shared" si="260"/>
        <v>-0,0000125211169631323</v>
      </c>
      <c r="AG460" t="str">
        <f t="shared" si="261"/>
        <v>0,00798723869826054i</v>
      </c>
      <c r="AH460">
        <f t="shared" si="275"/>
        <v>7.9872386982605403E-3</v>
      </c>
      <c r="AI460">
        <f t="shared" si="276"/>
        <v>1.5707963267948966</v>
      </c>
      <c r="AJ460" t="str">
        <f t="shared" si="262"/>
        <v>1+12,7829253711178i</v>
      </c>
      <c r="AK460">
        <f t="shared" si="277"/>
        <v>12.821980386959229</v>
      </c>
      <c r="AL460">
        <f t="shared" si="278"/>
        <v>1.4927259724010249</v>
      </c>
      <c r="AM460" t="str">
        <f t="shared" si="263"/>
        <v>1+1872,11752480644i</v>
      </c>
      <c r="AN460">
        <f t="shared" si="279"/>
        <v>1872.1177918836711</v>
      </c>
      <c r="AO460">
        <f t="shared" si="280"/>
        <v>1.5702621723459145</v>
      </c>
      <c r="AP460" s="42" t="str">
        <f t="shared" si="281"/>
        <v>-0,0177293879566606+0,228201083387279i</v>
      </c>
      <c r="AQ460">
        <f t="shared" si="282"/>
        <v>-12.807510572837931</v>
      </c>
      <c r="AR460" s="44">
        <f t="shared" si="283"/>
        <v>94.442497016324637</v>
      </c>
      <c r="AS460" s="42" t="str">
        <f t="shared" si="284"/>
        <v>-0,00128854426286357-0,00208902494894074i</v>
      </c>
      <c r="AT460" s="20">
        <f t="shared" si="285"/>
        <v>-52.200882507581511</v>
      </c>
      <c r="AU460" s="44">
        <f t="shared" si="286"/>
        <v>-121.66695452447009</v>
      </c>
    </row>
    <row r="461" spans="14:47" x14ac:dyDescent="0.3">
      <c r="N461" s="8">
        <v>43</v>
      </c>
      <c r="O461" s="35">
        <f t="shared" si="287"/>
        <v>269153.48039269145</v>
      </c>
      <c r="P461" s="34" t="str">
        <f t="shared" si="255"/>
        <v>324,571428571429</v>
      </c>
      <c r="Q461" s="4" t="str">
        <f t="shared" si="256"/>
        <v>1+38654,6558486768i</v>
      </c>
      <c r="R461" s="4">
        <f t="shared" si="264"/>
        <v>38654.655861611849</v>
      </c>
      <c r="S461" s="4">
        <f t="shared" si="265"/>
        <v>1.5707704566900458</v>
      </c>
      <c r="T461" s="4" t="str">
        <f t="shared" si="257"/>
        <v>1+0,338228238675922i</v>
      </c>
      <c r="U461" s="4">
        <f t="shared" si="266"/>
        <v>1.0556506720680929</v>
      </c>
      <c r="V461" s="4">
        <f t="shared" si="267"/>
        <v>0.32614948109026098</v>
      </c>
      <c r="W461" t="str">
        <f t="shared" si="258"/>
        <v>1-2,93600901628405i</v>
      </c>
      <c r="X461" s="4">
        <f t="shared" si="268"/>
        <v>3.1016364944495405</v>
      </c>
      <c r="Y461" s="4">
        <f t="shared" si="269"/>
        <v>-1.2425215167605204</v>
      </c>
      <c r="Z461" t="str">
        <f t="shared" si="259"/>
        <v>0,710225615970003+2,51733413056194i</v>
      </c>
      <c r="AA461" s="4">
        <f t="shared" si="270"/>
        <v>2.6156053889055988</v>
      </c>
      <c r="AB461" s="4">
        <f t="shared" si="271"/>
        <v>1.2958098393984254</v>
      </c>
      <c r="AC461" s="48" t="str">
        <f t="shared" si="272"/>
        <v>-0,00842235068459424+0,00628862709676525i</v>
      </c>
      <c r="AD461" s="20">
        <f t="shared" si="273"/>
        <v>-39.567052420718476</v>
      </c>
      <c r="AE461" s="44">
        <f t="shared" si="274"/>
        <v>143.25279729105108</v>
      </c>
      <c r="AF461" t="str">
        <f t="shared" si="260"/>
        <v>-0,0000125211169631323</v>
      </c>
      <c r="AG461" t="str">
        <f t="shared" si="261"/>
        <v>0,00817328538760364i</v>
      </c>
      <c r="AH461">
        <f t="shared" si="275"/>
        <v>8.1732853876036408E-3</v>
      </c>
      <c r="AI461">
        <f t="shared" si="276"/>
        <v>1.5707963267948966</v>
      </c>
      <c r="AJ461" t="str">
        <f t="shared" si="262"/>
        <v>1+13,0806779531128i</v>
      </c>
      <c r="AK461">
        <f t="shared" si="277"/>
        <v>13.118846584705963</v>
      </c>
      <c r="AL461">
        <f t="shared" si="278"/>
        <v>1.4944961017444325</v>
      </c>
      <c r="AM461" t="str">
        <f t="shared" si="263"/>
        <v>1+1915,72474386042i</v>
      </c>
      <c r="AN461">
        <f t="shared" si="279"/>
        <v>1915.7250048582314</v>
      </c>
      <c r="AO461">
        <f t="shared" si="280"/>
        <v>1.5702743311833776</v>
      </c>
      <c r="AP461" s="42" t="str">
        <f t="shared" si="281"/>
        <v>-0,0169360705130894+0,223067240585726i</v>
      </c>
      <c r="AQ461">
        <f t="shared" si="282"/>
        <v>-13.006321530718099</v>
      </c>
      <c r="AR461" s="44">
        <f t="shared" si="283"/>
        <v>94.341772725825564</v>
      </c>
      <c r="AS461" s="42" t="str">
        <f t="shared" si="284"/>
        <v>-0,00126014516846779-0,00198525515839908i</v>
      </c>
      <c r="AT461" s="20">
        <f t="shared" si="285"/>
        <v>-52.573373951436572</v>
      </c>
      <c r="AU461" s="44">
        <f t="shared" si="286"/>
        <v>-122.40542998312323</v>
      </c>
    </row>
    <row r="462" spans="14:47" x14ac:dyDescent="0.3">
      <c r="N462" s="8">
        <v>44</v>
      </c>
      <c r="O462" s="35">
        <f t="shared" si="287"/>
        <v>275422.87033381703</v>
      </c>
      <c r="P462" s="34" t="str">
        <f t="shared" si="255"/>
        <v>324,571428571429</v>
      </c>
      <c r="Q462" s="4" t="str">
        <f t="shared" si="256"/>
        <v>1+39555,0384489753i</v>
      </c>
      <c r="R462" s="4">
        <f t="shared" si="264"/>
        <v>39555.038461615906</v>
      </c>
      <c r="S462" s="4">
        <f t="shared" si="265"/>
        <v>1.5707710455655262</v>
      </c>
      <c r="T462" s="4" t="str">
        <f t="shared" si="257"/>
        <v>1+0,346106586428534i</v>
      </c>
      <c r="U462" s="4">
        <f t="shared" si="266"/>
        <v>1.0582011950329731</v>
      </c>
      <c r="V462" s="4">
        <f t="shared" si="267"/>
        <v>0.33320209762288672</v>
      </c>
      <c r="W462" t="str">
        <f t="shared" si="258"/>
        <v>1-3,00439745163658i</v>
      </c>
      <c r="X462" s="4">
        <f t="shared" si="268"/>
        <v>3.1664497544411434</v>
      </c>
      <c r="Y462" s="4">
        <f t="shared" si="269"/>
        <v>-1.2494849381705684</v>
      </c>
      <c r="Z462" t="str">
        <f t="shared" si="259"/>
        <v>0,696568969988324+2,5759703750332i</v>
      </c>
      <c r="AA462" s="4">
        <f t="shared" si="270"/>
        <v>2.6684886552127742</v>
      </c>
      <c r="AB462" s="4">
        <f t="shared" si="271"/>
        <v>1.3067020929645257</v>
      </c>
      <c r="AC462" s="48" t="str">
        <f t="shared" si="272"/>
        <v>-0,00818892543150446+0,00625325640708308i</v>
      </c>
      <c r="AD462" s="20">
        <f t="shared" si="273"/>
        <v>-39.740320725338613</v>
      </c>
      <c r="AE462" s="44">
        <f t="shared" si="274"/>
        <v>142.63379389632433</v>
      </c>
      <c r="AF462" t="str">
        <f t="shared" si="260"/>
        <v>-0,0000125211169631323</v>
      </c>
      <c r="AG462" t="str">
        <f t="shared" si="261"/>
        <v>0,00836366566104551i</v>
      </c>
      <c r="AH462">
        <f t="shared" si="275"/>
        <v>8.3636656610455093E-3</v>
      </c>
      <c r="AI462">
        <f t="shared" si="276"/>
        <v>1.5707963267948966</v>
      </c>
      <c r="AJ462" t="str">
        <f t="shared" si="262"/>
        <v>1+13,3853660837017i</v>
      </c>
      <c r="AK462">
        <f t="shared" si="277"/>
        <v>13.422668333632913</v>
      </c>
      <c r="AL462">
        <f t="shared" si="278"/>
        <v>1.4962264010776343</v>
      </c>
      <c r="AM462" t="str">
        <f t="shared" si="263"/>
        <v>1+1960,34770553122i</v>
      </c>
      <c r="AN462">
        <f t="shared" si="279"/>
        <v>1960.3479605879968</v>
      </c>
      <c r="AO462">
        <f t="shared" si="280"/>
        <v>1.5702862132520594</v>
      </c>
      <c r="AP462" s="42" t="str">
        <f t="shared" si="281"/>
        <v>-0,0161780525422339+0,218046240626624i</v>
      </c>
      <c r="AQ462">
        <f t="shared" si="282"/>
        <v>-13.205185700303746</v>
      </c>
      <c r="AR462" s="44">
        <f t="shared" si="283"/>
        <v>94.243314669126178</v>
      </c>
      <c r="AS462" s="42" t="str">
        <f t="shared" si="284"/>
        <v>-0,0012310181853435-0,00188672991582515i</v>
      </c>
      <c r="AT462" s="20">
        <f t="shared" si="285"/>
        <v>-52.945506425642364</v>
      </c>
      <c r="AU462" s="44">
        <f t="shared" si="286"/>
        <v>-123.1228914345495</v>
      </c>
    </row>
    <row r="463" spans="14:47" x14ac:dyDescent="0.3">
      <c r="N463" s="8">
        <v>45</v>
      </c>
      <c r="O463" s="35">
        <f t="shared" si="287"/>
        <v>281838.29312644573</v>
      </c>
      <c r="P463" s="34" t="str">
        <f t="shared" si="255"/>
        <v>324,571428571429</v>
      </c>
      <c r="Q463" s="4" t="str">
        <f t="shared" si="256"/>
        <v>1+40476,3936542322i</v>
      </c>
      <c r="R463" s="4">
        <f t="shared" si="264"/>
        <v>40476.393666585078</v>
      </c>
      <c r="S463" s="4">
        <f t="shared" si="265"/>
        <v>1.5707716210365641</v>
      </c>
      <c r="T463" s="4" t="str">
        <f t="shared" si="257"/>
        <v>1+0,354168444474532i</v>
      </c>
      <c r="U463" s="4">
        <f t="shared" si="266"/>
        <v>1.0608653482235668</v>
      </c>
      <c r="V463" s="4">
        <f t="shared" si="267"/>
        <v>0.34038351830524288</v>
      </c>
      <c r="W463" t="str">
        <f t="shared" si="258"/>
        <v>1-3,07437885828587i</v>
      </c>
      <c r="X463" s="4">
        <f t="shared" si="268"/>
        <v>3.2329252023941311</v>
      </c>
      <c r="Y463" s="4">
        <f t="shared" si="269"/>
        <v>-1.2563211859080834</v>
      </c>
      <c r="Z463" t="str">
        <f t="shared" si="259"/>
        <v>0,682268706110285+2,6359724330943i</v>
      </c>
      <c r="AA463" s="4">
        <f t="shared" si="270"/>
        <v>2.7228369865584106</v>
      </c>
      <c r="AB463" s="4">
        <f t="shared" si="271"/>
        <v>1.3175245100098607</v>
      </c>
      <c r="AC463" s="48" t="str">
        <f t="shared" si="272"/>
        <v>-0,00796293051741283+0,00621383798856649i</v>
      </c>
      <c r="AD463" s="20">
        <f t="shared" si="273"/>
        <v>-39.913144893556037</v>
      </c>
      <c r="AE463" s="44">
        <f t="shared" si="274"/>
        <v>142.0334590563761</v>
      </c>
      <c r="AF463" t="str">
        <f t="shared" si="260"/>
        <v>-0,0000125211169631323</v>
      </c>
      <c r="AG463" t="str">
        <f t="shared" si="261"/>
        <v>0,00855848046072705i</v>
      </c>
      <c r="AH463">
        <f t="shared" si="275"/>
        <v>8.5584804607270505E-3</v>
      </c>
      <c r="AI463">
        <f t="shared" si="276"/>
        <v>1.5707963267948966</v>
      </c>
      <c r="AJ463" t="str">
        <f t="shared" si="262"/>
        <v>1+13,6971513125644i</v>
      </c>
      <c r="AK463">
        <f t="shared" si="277"/>
        <v>13.733606739647263</v>
      </c>
      <c r="AL463">
        <f t="shared" si="278"/>
        <v>1.4979177463618112</v>
      </c>
      <c r="AM463" t="str">
        <f t="shared" si="263"/>
        <v>1+2006,01006950375i</v>
      </c>
      <c r="AN463">
        <f t="shared" si="279"/>
        <v>2006.0103187547265</v>
      </c>
      <c r="AO463">
        <f t="shared" si="280"/>
        <v>1.5702978248519763</v>
      </c>
      <c r="AP463" s="42" t="str">
        <f t="shared" si="281"/>
        <v>-0,0154537807121458+0,213135779781775i</v>
      </c>
      <c r="AQ463">
        <f t="shared" si="282"/>
        <v>-13.404100713277547</v>
      </c>
      <c r="AR463" s="44">
        <f t="shared" si="283"/>
        <v>94.147073018312113</v>
      </c>
      <c r="AS463" s="42" t="str">
        <f t="shared" si="284"/>
        <v>-0,00120133382308858-0,00179321269483298i</v>
      </c>
      <c r="AT463" s="20">
        <f t="shared" si="285"/>
        <v>-53.317245606833609</v>
      </c>
      <c r="AU463" s="44">
        <f t="shared" si="286"/>
        <v>-123.81946792531177</v>
      </c>
    </row>
    <row r="464" spans="14:47" x14ac:dyDescent="0.3">
      <c r="N464" s="8">
        <v>46</v>
      </c>
      <c r="O464" s="35">
        <f t="shared" si="287"/>
        <v>288403.1503126609</v>
      </c>
      <c r="P464" s="34" t="str">
        <f t="shared" si="255"/>
        <v>324,571428571429</v>
      </c>
      <c r="Q464" s="4" t="str">
        <f t="shared" si="256"/>
        <v>1+41419,209979173i</v>
      </c>
      <c r="R464" s="4">
        <f t="shared" si="264"/>
        <v>41419.209991244694</v>
      </c>
      <c r="S464" s="4">
        <f t="shared" si="265"/>
        <v>1.570772183408282</v>
      </c>
      <c r="T464" s="4" t="str">
        <f t="shared" si="257"/>
        <v>1+0,362418087317764i</v>
      </c>
      <c r="U464" s="4">
        <f t="shared" si="266"/>
        <v>1.0636479069763012</v>
      </c>
      <c r="V464" s="4">
        <f t="shared" si="267"/>
        <v>0.34769458695599675</v>
      </c>
      <c r="W464" t="str">
        <f t="shared" si="258"/>
        <v>1-3,14599034130003i</v>
      </c>
      <c r="X464" s="4">
        <f t="shared" si="268"/>
        <v>3.3010990938705671</v>
      </c>
      <c r="Y464" s="4">
        <f t="shared" si="269"/>
        <v>-1.2630313278742793</v>
      </c>
      <c r="Z464" t="str">
        <f t="shared" si="259"/>
        <v>0,667294491558929+2,69737211863065i</v>
      </c>
      <c r="AA464" s="4">
        <f t="shared" si="270"/>
        <v>2.7786864315411499</v>
      </c>
      <c r="AB464" s="4">
        <f t="shared" si="271"/>
        <v>1.3282785722462187</v>
      </c>
      <c r="AC464" s="48" t="str">
        <f t="shared" si="272"/>
        <v>-0,00774423029670666+0,00617070612031607i</v>
      </c>
      <c r="AD464" s="20">
        <f t="shared" si="273"/>
        <v>-40.085492265788332</v>
      </c>
      <c r="AE464" s="44">
        <f t="shared" si="274"/>
        <v>141.45169501890777</v>
      </c>
      <c r="AF464" t="str">
        <f t="shared" si="260"/>
        <v>-0,0000125211169631323</v>
      </c>
      <c r="AG464" t="str">
        <f t="shared" si="261"/>
        <v>0,00875783308003375i</v>
      </c>
      <c r="AH464">
        <f t="shared" si="275"/>
        <v>8.7578330800337501E-3</v>
      </c>
      <c r="AI464">
        <f t="shared" si="276"/>
        <v>1.5707963267948966</v>
      </c>
      <c r="AJ464" t="str">
        <f t="shared" si="262"/>
        <v>1+14,0161989523563i</v>
      </c>
      <c r="AK464">
        <f t="shared" si="277"/>
        <v>14.051826680970478</v>
      </c>
      <c r="AL464">
        <f t="shared" si="278"/>
        <v>1.4995709956421781</v>
      </c>
      <c r="AM464" t="str">
        <f t="shared" si="263"/>
        <v>1+2052,73604656782i</v>
      </c>
      <c r="AN464">
        <f t="shared" si="279"/>
        <v>2052.7362901451525</v>
      </c>
      <c r="AO464">
        <f t="shared" si="280"/>
        <v>1.57030917213974</v>
      </c>
      <c r="AP464" s="42" t="str">
        <f t="shared" si="281"/>
        <v>-0,0147617685242263+0,208333589435059i</v>
      </c>
      <c r="AQ464">
        <f t="shared" si="282"/>
        <v>-13.603064305591994</v>
      </c>
      <c r="AR464" s="44">
        <f t="shared" si="283"/>
        <v>94.052998963761823</v>
      </c>
      <c r="AS464" s="42" t="str">
        <f t="shared" si="284"/>
        <v>-0,00117124682035605-0,00170447383050376i</v>
      </c>
      <c r="AT464" s="20">
        <f t="shared" si="285"/>
        <v>-53.688556571380339</v>
      </c>
      <c r="AU464" s="44">
        <f t="shared" si="286"/>
        <v>-124.49530601733044</v>
      </c>
    </row>
    <row r="465" spans="14:47" x14ac:dyDescent="0.3">
      <c r="N465" s="8">
        <v>47</v>
      </c>
      <c r="O465" s="35">
        <f t="shared" si="287"/>
        <v>295120.92266663886</v>
      </c>
      <c r="P465" s="34" t="str">
        <f t="shared" si="255"/>
        <v>324,571428571429</v>
      </c>
      <c r="Q465" s="4" t="str">
        <f t="shared" si="256"/>
        <v>1+42383,9873174928i</v>
      </c>
      <c r="R465" s="4">
        <f t="shared" si="264"/>
        <v>42383.987329289703</v>
      </c>
      <c r="S465" s="4">
        <f t="shared" si="265"/>
        <v>1.5707727329788566</v>
      </c>
      <c r="T465" s="4" t="str">
        <f t="shared" si="257"/>
        <v>1+0,370859889028062i</v>
      </c>
      <c r="U465" s="4">
        <f t="shared" si="266"/>
        <v>1.066553822969055</v>
      </c>
      <c r="V465" s="4">
        <f t="shared" si="267"/>
        <v>0.3551360527266737</v>
      </c>
      <c r="W465" t="str">
        <f t="shared" si="258"/>
        <v>1-3,21926987003526i</v>
      </c>
      <c r="X465" s="4">
        <f t="shared" si="268"/>
        <v>3.3710085280397672</v>
      </c>
      <c r="Y465" s="4">
        <f t="shared" si="269"/>
        <v>-1.2696165039840741</v>
      </c>
      <c r="Z465" t="str">
        <f t="shared" si="259"/>
        <v>0,651614564017566+2,76020198656823i</v>
      </c>
      <c r="AA465" s="4">
        <f t="shared" si="270"/>
        <v>2.8360741433705519</v>
      </c>
      <c r="AB465" s="4">
        <f t="shared" si="271"/>
        <v>1.3389659116641204</v>
      </c>
      <c r="AC465" s="48" t="str">
        <f t="shared" si="272"/>
        <v>-0,00753268242709379+0,00612418072369219i</v>
      </c>
      <c r="AD465" s="20">
        <f t="shared" si="273"/>
        <v>-40.257329531057621</v>
      </c>
      <c r="AE465" s="44">
        <f t="shared" si="274"/>
        <v>140.88838587157298</v>
      </c>
      <c r="AF465" t="str">
        <f t="shared" si="260"/>
        <v>-0,0000125211169631323</v>
      </c>
      <c r="AG465" t="str">
        <f t="shared" si="261"/>
        <v>0,00896182921836311i</v>
      </c>
      <c r="AH465">
        <f t="shared" si="275"/>
        <v>8.9618292183631099E-3</v>
      </c>
      <c r="AI465">
        <f t="shared" si="276"/>
        <v>1.5707963267948966</v>
      </c>
      <c r="AJ465" t="str">
        <f t="shared" si="262"/>
        <v>1+14,342678166359i</v>
      </c>
      <c r="AK465">
        <f t="shared" si="277"/>
        <v>14.377496895626551</v>
      </c>
      <c r="AL465">
        <f t="shared" si="278"/>
        <v>1.5011869893233865</v>
      </c>
      <c r="AM465" t="str">
        <f t="shared" si="263"/>
        <v>1+2100,55041145494i</v>
      </c>
      <c r="AN465">
        <f t="shared" si="279"/>
        <v>2100.5506494877759</v>
      </c>
      <c r="AO465">
        <f t="shared" si="280"/>
        <v>1.5703202611318205</v>
      </c>
      <c r="AP465" s="42" t="str">
        <f t="shared" si="281"/>
        <v>-0,0141005935713075+0,203637436401785i</v>
      </c>
      <c r="AQ465">
        <f t="shared" si="282"/>
        <v>-13.802074312978069</v>
      </c>
      <c r="AR465" s="44">
        <f t="shared" si="283"/>
        <v>93.961044698553977</v>
      </c>
      <c r="AS465" s="42" t="str">
        <f t="shared" si="284"/>
        <v>-0,00114089716922773-0,00162029072202417i</v>
      </c>
      <c r="AT465" s="20">
        <f t="shared" si="285"/>
        <v>-54.0594038440357</v>
      </c>
      <c r="AU465" s="44">
        <f t="shared" si="286"/>
        <v>-125.15056942987317</v>
      </c>
    </row>
    <row r="466" spans="14:47" x14ac:dyDescent="0.3">
      <c r="N466" s="8">
        <v>48</v>
      </c>
      <c r="O466" s="35">
        <f t="shared" si="287"/>
        <v>301995.17204020242</v>
      </c>
      <c r="P466" s="34" t="str">
        <f t="shared" si="255"/>
        <v>324,571428571429</v>
      </c>
      <c r="Q466" s="4" t="str">
        <f t="shared" si="256"/>
        <v>1+43371,2372069067i</v>
      </c>
      <c r="R466" s="4">
        <f t="shared" si="264"/>
        <v>43371.237218435075</v>
      </c>
      <c r="S466" s="4">
        <f t="shared" si="265"/>
        <v>1.5707732700396777</v>
      </c>
      <c r="T466" s="4" t="str">
        <f t="shared" si="257"/>
        <v>1+0,379498325560434i</v>
      </c>
      <c r="U466" s="4">
        <f t="shared" si="266"/>
        <v>1.0695882287605698</v>
      </c>
      <c r="V466" s="4">
        <f t="shared" si="267"/>
        <v>0.36270856360643339</v>
      </c>
      <c r="W466" t="str">
        <f t="shared" si="258"/>
        <v>1-3,29425629826766i</v>
      </c>
      <c r="X466" s="4">
        <f t="shared" si="268"/>
        <v>3.4426914701547315</v>
      </c>
      <c r="Y466" s="4">
        <f t="shared" si="269"/>
        <v>-1.2760779204629344</v>
      </c>
      <c r="Z466" t="str">
        <f t="shared" si="259"/>
        <v>0,635195664257634+2,82449535013469i</v>
      </c>
      <c r="AA466" s="4">
        <f t="shared" si="270"/>
        <v>2.8950384306299255</v>
      </c>
      <c r="AB466" s="4">
        <f t="shared" si="271"/>
        <v>1.3495883035317411</v>
      </c>
      <c r="AC466" s="48" t="str">
        <f t="shared" si="272"/>
        <v>-0,00732813870945117+0,00607456746973706i</v>
      </c>
      <c r="AD466" s="20">
        <f t="shared" si="273"/>
        <v>-40.428622781993809</v>
      </c>
      <c r="AE466" s="44">
        <f t="shared" si="274"/>
        <v>140.34339789771798</v>
      </c>
      <c r="AF466" t="str">
        <f t="shared" si="260"/>
        <v>-0,0000125211169631323</v>
      </c>
      <c r="AG466" t="str">
        <f t="shared" si="261"/>
        <v>0,00917057703716789i</v>
      </c>
      <c r="AH466">
        <f t="shared" si="275"/>
        <v>9.1705770371678895E-3</v>
      </c>
      <c r="AI466">
        <f t="shared" si="276"/>
        <v>1.5707963267948966</v>
      </c>
      <c r="AJ466" t="str">
        <f t="shared" si="262"/>
        <v>1+14,6767620581734i</v>
      </c>
      <c r="AK466">
        <f t="shared" si="277"/>
        <v>14.710790070973017</v>
      </c>
      <c r="AL466">
        <f t="shared" si="278"/>
        <v>1.5027665504472156</v>
      </c>
      <c r="AM466" t="str">
        <f t="shared" si="263"/>
        <v>1+2149,4785159743i</v>
      </c>
      <c r="AN466">
        <f t="shared" si="279"/>
        <v>2149.4787485888478</v>
      </c>
      <c r="AO466">
        <f t="shared" si="280"/>
        <v>1.5703310977077378</v>
      </c>
      <c r="AP466" s="42" t="str">
        <f t="shared" si="281"/>
        <v>-0,0134688948963362+0,199045123170154i</v>
      </c>
      <c r="AQ466">
        <f t="shared" si="282"/>
        <v>-14.001128666639111</v>
      </c>
      <c r="AR466" s="44">
        <f t="shared" si="283"/>
        <v>93.871163402740137</v>
      </c>
      <c r="AS466" s="42" t="str">
        <f t="shared" si="284"/>
        <v>-0,00111041110015585-0,00154044798282127i</v>
      </c>
      <c r="AT466" s="20">
        <f t="shared" si="285"/>
        <v>-54.429751448632942</v>
      </c>
      <c r="AU466" s="44">
        <f t="shared" si="286"/>
        <v>-125.78543869954183</v>
      </c>
    </row>
    <row r="467" spans="14:47" x14ac:dyDescent="0.3">
      <c r="N467" s="8">
        <v>49</v>
      </c>
      <c r="O467" s="35">
        <f t="shared" si="287"/>
        <v>309029.54325135931</v>
      </c>
      <c r="P467" s="34" t="str">
        <f t="shared" ref="P467:P530" si="288">COMPLEX(Adc,0)</f>
        <v>324,571428571429</v>
      </c>
      <c r="Q467" s="4" t="str">
        <f t="shared" ref="Q467:Q530" si="289">IMSUM(COMPLEX(1,0),IMDIV(COMPLEX(0,2*PI()*O467),COMPLEX(wp_lf,0)))</f>
        <v>1+44381,4831003739i</v>
      </c>
      <c r="R467" s="4">
        <f t="shared" si="264"/>
        <v>44381.483111639856</v>
      </c>
      <c r="S467" s="4">
        <f t="shared" si="265"/>
        <v>1.5707737948755021</v>
      </c>
      <c r="T467" s="4" t="str">
        <f t="shared" ref="T467:T530" si="290">IMSUM(COMPLEX(1,0),IMDIV(COMPLEX(0,2*PI()*O467),COMPLEX(wz_esr,0)))</f>
        <v>1+0,388337977128272i</v>
      </c>
      <c r="U467" s="4">
        <f t="shared" si="266"/>
        <v>1.0727564422925076</v>
      </c>
      <c r="V467" s="4">
        <f t="shared" si="267"/>
        <v>0.37041265980251276</v>
      </c>
      <c r="W467" t="str">
        <f t="shared" ref="W467:W530" si="291">IMSUB(COMPLEX(1,0),IMDIV(COMPLEX(0,2*PI()*O467),COMPLEX(wz_rhp,0)))</f>
        <v>1-3,37098938479403i</v>
      </c>
      <c r="X467" s="4">
        <f t="shared" si="268"/>
        <v>3.5161867743898414</v>
      </c>
      <c r="Y467" s="4">
        <f t="shared" si="269"/>
        <v>-1.2824168443423016</v>
      </c>
      <c r="Z467" t="str">
        <f t="shared" ref="Z467:Z530" si="292">IMSUM(COMPLEX(1,0),IMDIV(COMPLEX(0,2*PI()*O467),COMPLEX(Q*(wsl/2),0)),IMDIV(IMPOWER(COMPLEX(0,2*PI()*O467),2),IMPOWER(COMPLEX(wsl/2,0),2)))</f>
        <v>0,618002965591424+2,8902862985224i</v>
      </c>
      <c r="AA467" s="4">
        <f t="shared" si="270"/>
        <v>2.9556188104872576</v>
      </c>
      <c r="AB467" s="4">
        <f t="shared" si="271"/>
        <v>1.3601476593988402</v>
      </c>
      <c r="AC467" s="48" t="str">
        <f t="shared" si="272"/>
        <v>-0,00713044589022337+0,00602215793529778i</v>
      </c>
      <c r="AD467" s="20">
        <f t="shared" si="273"/>
        <v>-40.599337571892576</v>
      </c>
      <c r="AE467" s="44">
        <f t="shared" si="274"/>
        <v>139.81657991333449</v>
      </c>
      <c r="AF467" t="str">
        <f t="shared" ref="AF467:AF530" si="293">COMPLEX(Adc_ea,0)</f>
        <v>-0,0000125211169631323</v>
      </c>
      <c r="AG467" t="str">
        <f t="shared" ref="AG467:AG530" si="294">COMPLEX(0,2*PI()*O467*wp0_ea)</f>
        <v>0,00938418721730469i</v>
      </c>
      <c r="AH467">
        <f t="shared" si="275"/>
        <v>9.3841872173046903E-3</v>
      </c>
      <c r="AI467">
        <f t="shared" si="276"/>
        <v>1.5707963267948966</v>
      </c>
      <c r="AJ467" t="str">
        <f t="shared" ref="AJ467:AJ530" si="295">IMSUM(COMPLEX(1,0),IMDIV(COMPLEX(0,2*PI()*O467),COMPLEX(wp1_ea,0)))</f>
        <v>1+15,0186277635008i</v>
      </c>
      <c r="AK467">
        <f t="shared" si="277"/>
        <v>15.051882935320654</v>
      </c>
      <c r="AL467">
        <f t="shared" si="278"/>
        <v>1.504310484971952</v>
      </c>
      <c r="AM467" t="str">
        <f t="shared" ref="AM467:AM530" si="296">IMSUM(COMPLEX(1,0),IMDIV(COMPLEX(0,2*PI()*O467),COMPLEX(wz_ea,0)))</f>
        <v>1+2199,54630245453i</v>
      </c>
      <c r="AN467">
        <f t="shared" si="279"/>
        <v>2199.5465297741248</v>
      </c>
      <c r="AO467">
        <f t="shared" si="280"/>
        <v>1.5703416876131775</v>
      </c>
      <c r="AP467" s="42" t="str">
        <f t="shared" si="281"/>
        <v>-0,0128653704490594+0,194554488070909i</v>
      </c>
      <c r="AQ467">
        <f t="shared" si="282"/>
        <v>-14.200225389122238</v>
      </c>
      <c r="AR467" s="44">
        <f t="shared" si="283"/>
        <v>93.783309227515332</v>
      </c>
      <c r="AS467" s="42" t="str">
        <f t="shared" si="284"/>
        <v>-0,00107990202633933-0,00146473754263007i</v>
      </c>
      <c r="AT467" s="20">
        <f t="shared" si="285"/>
        <v>-54.799562961014828</v>
      </c>
      <c r="AU467" s="44">
        <f t="shared" si="286"/>
        <v>-126.40011085915036</v>
      </c>
    </row>
    <row r="468" spans="14:47" x14ac:dyDescent="0.3">
      <c r="N468" s="8">
        <v>50</v>
      </c>
      <c r="O468" s="35">
        <f t="shared" si="287"/>
        <v>316227.7660168382</v>
      </c>
      <c r="P468" s="34" t="str">
        <f t="shared" si="288"/>
        <v>324,571428571429</v>
      </c>
      <c r="Q468" s="4" t="str">
        <f t="shared" si="289"/>
        <v>1+45415,2606436393i</v>
      </c>
      <c r="R468" s="4">
        <f t="shared" ref="R468:R531" si="297">IMABS(Q468)</f>
        <v>45415.260654648824</v>
      </c>
      <c r="S468" s="4">
        <f t="shared" ref="S468:S531" si="298">IMARGUMENT(Q468)</f>
        <v>1.5707743077646044</v>
      </c>
      <c r="T468" s="4" t="str">
        <f t="shared" si="290"/>
        <v>1+0,397383530631844i</v>
      </c>
      <c r="U468" s="4">
        <f t="shared" ref="U468:U531" si="299">IMABS(T468)</f>
        <v>1.0760639713406586</v>
      </c>
      <c r="V468" s="4">
        <f t="shared" ref="V468:V531" si="300">IMARGUMENT(T468)</f>
        <v>0.37824876701753052</v>
      </c>
      <c r="W468" t="str">
        <f t="shared" si="291"/>
        <v>1-3,44950981451253i</v>
      </c>
      <c r="X468" s="4">
        <f t="shared" ref="X468:X531" si="301">IMABS(W468)</f>
        <v>3.5915342070511129</v>
      </c>
      <c r="Y468" s="4">
        <f t="shared" ref="Y468:Y531" si="302">IMARGUMENT(W468)</f>
        <v>-1.2886345981596705</v>
      </c>
      <c r="Z468" t="str">
        <f t="shared" si="292"/>
        <v>0,6+2,95760971496304i</v>
      </c>
      <c r="AA468" s="4">
        <f t="shared" ref="AA468:AA531" si="303">IMABS(Z468)</f>
        <v>3.0178560645007169</v>
      </c>
      <c r="AB468" s="4">
        <f t="shared" ref="AB468:AB531" si="304">IMARGUMENT(Z468)</f>
        <v>1.3706460201294761</v>
      </c>
      <c r="AC468" s="48" t="str">
        <f t="shared" ref="AC468:AC531" si="305">(IMDIV(IMPRODUCT(P468,T468,W468),IMPRODUCT(Q468,Z468)))</f>
        <v>-0,00693944642455747+0,005967229802807i</v>
      </c>
      <c r="AD468" s="20">
        <f t="shared" ref="AD468:AD531" si="306">20*LOG(IMABS(AC468))</f>
        <v>-40.76943897403234</v>
      </c>
      <c r="AE468" s="44">
        <f t="shared" ref="AE468:AE531" si="307">(180/PI())*IMARGUMENT(AC468)</f>
        <v>139.30776358472818</v>
      </c>
      <c r="AF468" t="str">
        <f t="shared" si="293"/>
        <v>-0,0000125211169631323</v>
      </c>
      <c r="AG468" t="str">
        <f t="shared" si="294"/>
        <v>0,00960277301771852i</v>
      </c>
      <c r="AH468">
        <f t="shared" ref="AH468:AH531" si="308">IMABS(AG468)</f>
        <v>9.6027730177185196E-3</v>
      </c>
      <c r="AI468">
        <f t="shared" ref="AI468:AI531" si="309">IMARGUMENT(AG468)</f>
        <v>1.5707963267948966</v>
      </c>
      <c r="AJ468" t="str">
        <f t="shared" si="295"/>
        <v>1+15,3684565440636i</v>
      </c>
      <c r="AK468">
        <f t="shared" ref="AK468:AK531" si="310">IMABS(AJ468)</f>
        <v>15.400956351693596</v>
      </c>
      <c r="AL468">
        <f t="shared" ref="AL468:AL531" si="311">IMARGUMENT(AJ468)</f>
        <v>1.5058195820529232</v>
      </c>
      <c r="AM468" t="str">
        <f t="shared" si="296"/>
        <v>1+2250,78031749876i</v>
      </c>
      <c r="AN468">
        <f t="shared" ref="AN468:AN531" si="312">IMABS(AM468)</f>
        <v>2250.7805396439298</v>
      </c>
      <c r="AO468">
        <f t="shared" ref="AO468:AO531" si="313">IMARGUMENT(AM468)</f>
        <v>1.5703520364630381</v>
      </c>
      <c r="AP468" s="42" t="str">
        <f t="shared" ref="AP468:AP531" si="314">IMPRODUCT(AF468,IMDIV(AM468,IMPRODUCT(AG468,AJ468)))</f>
        <v>-0,012288774638074+0,190163405380829i</v>
      </c>
      <c r="AQ468">
        <f t="shared" ref="AQ468:AQ531" si="315">20*LOG(IMABS(AP468))</f>
        <v>-14.399362590361539</v>
      </c>
      <c r="AR468" s="44">
        <f t="shared" ref="AR468:AR531" si="316">(180/PI())*IMARGUMENT(AP468)</f>
        <v>93.697437279319956</v>
      </c>
      <c r="AS468" s="42" t="str">
        <f t="shared" ref="AS468:AS531" si="317">IMPRODUCT(AC468,AP468)</f>
        <v>-0,00104947144676738-0,00139295870581196i</v>
      </c>
      <c r="AT468" s="20">
        <f t="shared" ref="AT468:AT531" si="318">20*LOG(IMABS(AS468))</f>
        <v>-55.168801564393874</v>
      </c>
      <c r="AU468" s="44">
        <f t="shared" ref="AU468:AU531" si="319">(180/PI())*IMARGUMENT(AS468)</f>
        <v>-126.99479913595195</v>
      </c>
    </row>
    <row r="469" spans="14:47" x14ac:dyDescent="0.3">
      <c r="N469" s="8">
        <v>51</v>
      </c>
      <c r="O469" s="35">
        <f t="shared" si="287"/>
        <v>323593.65692962846</v>
      </c>
      <c r="P469" s="34" t="str">
        <f t="shared" si="288"/>
        <v>324,571428571429</v>
      </c>
      <c r="Q469" s="4" t="str">
        <f t="shared" si="289"/>
        <v>1+46473,11795924i</v>
      </c>
      <c r="R469" s="4">
        <f t="shared" si="297"/>
        <v>46473.117969998908</v>
      </c>
      <c r="S469" s="4">
        <f t="shared" si="298"/>
        <v>1.5707748089789255</v>
      </c>
      <c r="T469" s="4" t="str">
        <f t="shared" si="290"/>
        <v>1+0,40663978214335i</v>
      </c>
      <c r="U469" s="4">
        <f t="shared" si="299"/>
        <v>1.0795165179012274</v>
      </c>
      <c r="V469" s="4">
        <f t="shared" si="300"/>
        <v>0.38621718964757407</v>
      </c>
      <c r="W469" t="str">
        <f t="shared" si="291"/>
        <v>1-3,52985921999436i</v>
      </c>
      <c r="X469" s="4">
        <f t="shared" si="301"/>
        <v>3.6687744701710936</v>
      </c>
      <c r="Y469" s="4">
        <f t="shared" si="302"/>
        <v>-1.294732554867712</v>
      </c>
      <c r="Z469" t="str">
        <f t="shared" si="292"/>
        <v>0,58114858077964+3,02650129522316i</v>
      </c>
      <c r="AA469" s="4">
        <f t="shared" si="303"/>
        <v>3.0817922971754039</v>
      </c>
      <c r="AB469" s="4">
        <f t="shared" si="304"/>
        <v>1.381085548984218</v>
      </c>
      <c r="AC469" s="48" t="str">
        <f t="shared" si="305"/>
        <v>-0,00675497919886835+0,0059100470988035i</v>
      </c>
      <c r="AD469" s="20">
        <f t="shared" si="306"/>
        <v>-40.938891643463187</v>
      </c>
      <c r="AE469" s="44">
        <f t="shared" si="307"/>
        <v>138.81676372683486</v>
      </c>
      <c r="AF469" t="str">
        <f t="shared" si="293"/>
        <v>-0,0000125211169631323</v>
      </c>
      <c r="AG469" t="str">
        <f t="shared" si="294"/>
        <v>0,00982645033549407i</v>
      </c>
      <c r="AH469">
        <f t="shared" si="308"/>
        <v>9.8264503354940705E-3</v>
      </c>
      <c r="AI469">
        <f t="shared" si="309"/>
        <v>1.5707963267948966</v>
      </c>
      <c r="AJ469" t="str">
        <f t="shared" si="295"/>
        <v>1+15,7264338837115i</v>
      </c>
      <c r="AK469">
        <f t="shared" si="310"/>
        <v>15.758195413775944</v>
      </c>
      <c r="AL469">
        <f t="shared" si="311"/>
        <v>1.5072946143236661</v>
      </c>
      <c r="AM469" t="str">
        <f t="shared" si="296"/>
        <v>1+2303,20772605993i</v>
      </c>
      <c r="AN469">
        <f t="shared" si="312"/>
        <v>2303.2079431484585</v>
      </c>
      <c r="AO469">
        <f t="shared" si="313"/>
        <v>1.570362149744408</v>
      </c>
      <c r="AP469" s="42" t="str">
        <f t="shared" si="314"/>
        <v>-0,0117379159755692+0,18586978536542i</v>
      </c>
      <c r="AQ469">
        <f t="shared" si="315"/>
        <v>-14.598538463884926</v>
      </c>
      <c r="AR469" s="44">
        <f t="shared" si="316"/>
        <v>93.613503603900327</v>
      </c>
      <c r="AS469" s="42" t="str">
        <f t="shared" si="317"/>
        <v>-0,0010192098075011-0,00132491817009895i</v>
      </c>
      <c r="AT469" s="20">
        <f t="shared" si="318"/>
        <v>-55.537430107348094</v>
      </c>
      <c r="AU469" s="44">
        <f t="shared" si="319"/>
        <v>-127.56973266926487</v>
      </c>
    </row>
    <row r="470" spans="14:47" x14ac:dyDescent="0.3">
      <c r="N470" s="8">
        <v>52</v>
      </c>
      <c r="O470" s="35">
        <f t="shared" si="287"/>
        <v>331131.12148259126</v>
      </c>
      <c r="P470" s="34" t="str">
        <f t="shared" si="288"/>
        <v>324,571428571429</v>
      </c>
      <c r="Q470" s="4" t="str">
        <f t="shared" si="289"/>
        <v>1+47555,6159371273i</v>
      </c>
      <c r="R470" s="4">
        <f t="shared" si="297"/>
        <v>47555.615947641301</v>
      </c>
      <c r="S470" s="4">
        <f t="shared" si="298"/>
        <v>1.5707752987842158</v>
      </c>
      <c r="T470" s="4" t="str">
        <f t="shared" si="290"/>
        <v>1+0,416111639449864i</v>
      </c>
      <c r="U470" s="4">
        <f t="shared" si="299"/>
        <v>1.0831199824976241</v>
      </c>
      <c r="V470" s="4">
        <f t="shared" si="300"/>
        <v>0.39431810392783018</v>
      </c>
      <c r="W470" t="str">
        <f t="shared" si="291"/>
        <v>1-3,61208020355785i</v>
      </c>
      <c r="X470" s="4">
        <f t="shared" si="301"/>
        <v>3.7479492255011295</v>
      </c>
      <c r="Y470" s="4">
        <f t="shared" si="302"/>
        <v>-1.3007121329552775</v>
      </c>
      <c r="Z470" t="str">
        <f t="shared" si="292"/>
        <v>0,561408721542723+3,0969975665305i</v>
      </c>
      <c r="AA470" s="4">
        <f t="shared" si="303"/>
        <v>3.1474709974390671</v>
      </c>
      <c r="AB470" s="4">
        <f t="shared" si="304"/>
        <v>1.391468524769643</v>
      </c>
      <c r="AC470" s="48" t="str">
        <f t="shared" si="305"/>
        <v>-0,0065768802119964+0,0058508604664401i</v>
      </c>
      <c r="AD470" s="20">
        <f t="shared" si="306"/>
        <v>-41.107659881481389</v>
      </c>
      <c r="AE470" s="44">
        <f t="shared" si="307"/>
        <v>138.3433785825371</v>
      </c>
      <c r="AF470" t="str">
        <f t="shared" si="293"/>
        <v>-0,0000125211169631323</v>
      </c>
      <c r="AG470" t="str">
        <f t="shared" si="294"/>
        <v>0,0100553377673059i</v>
      </c>
      <c r="AH470">
        <f t="shared" si="308"/>
        <v>1.00553377673059E-2</v>
      </c>
      <c r="AI470">
        <f t="shared" si="309"/>
        <v>1.5707963267948966</v>
      </c>
      <c r="AJ470" t="str">
        <f t="shared" si="295"/>
        <v>1+16,0927495867687i</v>
      </c>
      <c r="AK470">
        <f t="shared" si="310"/>
        <v>16.123789544100486</v>
      </c>
      <c r="AL470">
        <f t="shared" si="311"/>
        <v>1.5087363381772858</v>
      </c>
      <c r="AM470" t="str">
        <f t="shared" si="296"/>
        <v>1+2356,85632584403i</v>
      </c>
      <c r="AN470">
        <f t="shared" si="312"/>
        <v>2356.8565379910206</v>
      </c>
      <c r="AO470">
        <f t="shared" si="313"/>
        <v>1.5703720328194744</v>
      </c>
      <c r="AP470" s="42" t="str">
        <f t="shared" si="314"/>
        <v>-0,0112116548120728+0,18167157426573i</v>
      </c>
      <c r="AQ470">
        <f t="shared" si="315"/>
        <v>-14.797751283180837</v>
      </c>
      <c r="AR470" s="44">
        <f t="shared" si="316"/>
        <v>93.531465170354494</v>
      </c>
      <c r="AS470" s="42" t="str">
        <f t="shared" si="317"/>
        <v>-0,000989197321070041-0,00126043000977384i</v>
      </c>
      <c r="AT470" s="20">
        <f t="shared" si="318"/>
        <v>-55.90541116466224</v>
      </c>
      <c r="AU470" s="44">
        <f t="shared" si="319"/>
        <v>-128.12515624710846</v>
      </c>
    </row>
    <row r="471" spans="14:47" x14ac:dyDescent="0.3">
      <c r="N471" s="8">
        <v>53</v>
      </c>
      <c r="O471" s="35">
        <f t="shared" si="287"/>
        <v>338844.15613920329</v>
      </c>
      <c r="P471" s="34" t="str">
        <f t="shared" si="288"/>
        <v>324,571428571429</v>
      </c>
      <c r="Q471" s="4" t="str">
        <f t="shared" si="289"/>
        <v>1+48663,3285320574i</v>
      </c>
      <c r="R471" s="4">
        <f t="shared" si="297"/>
        <v>48663.328542332078</v>
      </c>
      <c r="S471" s="4">
        <f t="shared" si="298"/>
        <v>1.5707757774401767</v>
      </c>
      <c r="T471" s="4" t="str">
        <f t="shared" si="290"/>
        <v>1+0,425804124655502i</v>
      </c>
      <c r="U471" s="4">
        <f t="shared" si="299"/>
        <v>1.0868804683927475</v>
      </c>
      <c r="V471" s="4">
        <f t="shared" si="300"/>
        <v>0.40255155105539897</v>
      </c>
      <c r="W471" t="str">
        <f t="shared" si="291"/>
        <v>1-3,69621635985679i</v>
      </c>
      <c r="X471" s="4">
        <f t="shared" si="301"/>
        <v>3.8291011189145912</v>
      </c>
      <c r="Y471" s="4">
        <f t="shared" si="302"/>
        <v>-1.3065747917817321</v>
      </c>
      <c r="Z471" t="str">
        <f t="shared" si="292"/>
        <v>0,540738551401243+3,16913590694121i</v>
      </c>
      <c r="AA471" s="4">
        <f t="shared" si="303"/>
        <v>3.2149371032161116</v>
      </c>
      <c r="AB471" s="4">
        <f t="shared" si="304"/>
        <v>1.401797335070081</v>
      </c>
      <c r="AC471" s="48" t="str">
        <f t="shared" si="305"/>
        <v>-0,00640498321453827+0,00578990746741905i</v>
      </c>
      <c r="AD471" s="20">
        <f t="shared" si="306"/>
        <v>-41.275707703006134</v>
      </c>
      <c r="AE471" s="44">
        <f t="shared" si="307"/>
        <v>137.88739008373736</v>
      </c>
      <c r="AF471" t="str">
        <f t="shared" si="293"/>
        <v>-0,0000125211169631323</v>
      </c>
      <c r="AG471" t="str">
        <f t="shared" si="294"/>
        <v>0,0102895566723002i</v>
      </c>
      <c r="AH471">
        <f t="shared" si="308"/>
        <v>1.02895566723002E-2</v>
      </c>
      <c r="AI471">
        <f t="shared" si="309"/>
        <v>1.5707963267948966</v>
      </c>
      <c r="AJ471" t="str">
        <f t="shared" si="295"/>
        <v>1+16,4675978786694i</v>
      </c>
      <c r="AK471">
        <f t="shared" si="310"/>
        <v>16.497932594527015</v>
      </c>
      <c r="AL471">
        <f t="shared" si="311"/>
        <v>1.5101454940475634</v>
      </c>
      <c r="AM471" t="str">
        <f t="shared" si="296"/>
        <v>1+2411,75456204876i</v>
      </c>
      <c r="AN471">
        <f t="shared" si="312"/>
        <v>2411.7547693666961</v>
      </c>
      <c r="AO471">
        <f t="shared" si="313"/>
        <v>1.5703816909283668</v>
      </c>
      <c r="AP471" s="42" t="str">
        <f t="shared" si="314"/>
        <v>-0,0107089011585215+0,177566754233997i</v>
      </c>
      <c r="AQ471">
        <f t="shared" si="315"/>
        <v>-14.996999398216255</v>
      </c>
      <c r="AR471" s="44">
        <f t="shared" si="316"/>
        <v>93.451279855189142</v>
      </c>
      <c r="AS471" s="42" t="str">
        <f t="shared" si="317"/>
        <v>-0,000959504744138303-0,00119931562711437i</v>
      </c>
      <c r="AT471" s="20">
        <f t="shared" si="318"/>
        <v>-56.272707101222387</v>
      </c>
      <c r="AU471" s="44">
        <f t="shared" si="319"/>
        <v>-128.66133006107347</v>
      </c>
    </row>
    <row r="472" spans="14:47" x14ac:dyDescent="0.3">
      <c r="N472" s="8">
        <v>54</v>
      </c>
      <c r="O472" s="35">
        <f t="shared" si="287"/>
        <v>346736.85045253241</v>
      </c>
      <c r="P472" s="34" t="str">
        <f t="shared" si="288"/>
        <v>324,571428571429</v>
      </c>
      <c r="Q472" s="4" t="str">
        <f t="shared" si="289"/>
        <v>1+49796,8430679104i</v>
      </c>
      <c r="R472" s="4">
        <f t="shared" si="297"/>
        <v>49796.843077951191</v>
      </c>
      <c r="S472" s="4">
        <f t="shared" si="298"/>
        <v>1.5707762452005976</v>
      </c>
      <c r="T472" s="4" t="str">
        <f t="shared" si="290"/>
        <v>1+0,435722376844216i</v>
      </c>
      <c r="U472" s="4">
        <f t="shared" si="299"/>
        <v>1.0908042856914217</v>
      </c>
      <c r="V472" s="4">
        <f t="shared" si="300"/>
        <v>0.4109174303218841</v>
      </c>
      <c r="W472" t="str">
        <f t="shared" si="291"/>
        <v>1-3,78231229899493i</v>
      </c>
      <c r="X472" s="4">
        <f t="shared" si="301"/>
        <v>3.9122738052350461</v>
      </c>
      <c r="Y472" s="4">
        <f t="shared" si="302"/>
        <v>-1.3123220271247968</v>
      </c>
      <c r="Z472" t="str">
        <f t="shared" si="292"/>
        <v>0,51909422615303+3,24295456515825i</v>
      </c>
      <c r="AA472" s="4">
        <f t="shared" si="303"/>
        <v>3.2842370692911538</v>
      </c>
      <c r="AB472" s="4">
        <f t="shared" si="304"/>
        <v>1.4120744695738239</v>
      </c>
      <c r="AC472" s="48" t="str">
        <f t="shared" si="305"/>
        <v>-0,00623912030631284+0,00572741290901461i</v>
      </c>
      <c r="AD472" s="20">
        <f t="shared" si="306"/>
        <v>-41.442998907067704</v>
      </c>
      <c r="AE472" s="44">
        <f t="shared" si="307"/>
        <v>137.44856409534631</v>
      </c>
      <c r="AF472" t="str">
        <f t="shared" si="293"/>
        <v>-0,0000125211169631323</v>
      </c>
      <c r="AG472" t="str">
        <f t="shared" si="294"/>
        <v>0,0105292312364405i</v>
      </c>
      <c r="AH472">
        <f t="shared" si="308"/>
        <v>1.0529231236440501E-2</v>
      </c>
      <c r="AI472">
        <f t="shared" si="309"/>
        <v>1.5707963267948966</v>
      </c>
      <c r="AJ472" t="str">
        <f t="shared" si="295"/>
        <v>1+16,8511775089398i</v>
      </c>
      <c r="AK472">
        <f t="shared" si="310"/>
        <v>16.880822949068524</v>
      </c>
      <c r="AL472">
        <f t="shared" si="311"/>
        <v>1.5115228066894411</v>
      </c>
      <c r="AM472" t="str">
        <f t="shared" si="296"/>
        <v>1+2467,93154244564i</v>
      </c>
      <c r="AN472">
        <f t="shared" si="312"/>
        <v>2467.9317450444441</v>
      </c>
      <c r="AO472">
        <f t="shared" si="313"/>
        <v>1.5703911291919352</v>
      </c>
      <c r="AP472" s="42" t="str">
        <f t="shared" si="314"/>
        <v>-0,0102286125929645+0,173553343222454i</v>
      </c>
      <c r="AQ472">
        <f t="shared" si="315"/>
        <v>-15.196281232101697</v>
      </c>
      <c r="AR472" s="44">
        <f t="shared" si="316"/>
        <v>93.372906426407923</v>
      </c>
      <c r="AS472" s="42" t="str">
        <f t="shared" si="317"/>
        <v>-0,000930194113840754-0,00114140367573395i</v>
      </c>
      <c r="AT472" s="20">
        <f t="shared" si="318"/>
        <v>-56.639280139169401</v>
      </c>
      <c r="AU472" s="44">
        <f t="shared" si="319"/>
        <v>-129.17852947824574</v>
      </c>
    </row>
    <row r="473" spans="14:47" x14ac:dyDescent="0.3">
      <c r="N473" s="8">
        <v>55</v>
      </c>
      <c r="O473" s="35">
        <f t="shared" si="287"/>
        <v>354813.38923357555</v>
      </c>
      <c r="P473" s="34" t="str">
        <f t="shared" si="288"/>
        <v>324,571428571429</v>
      </c>
      <c r="Q473" s="4" t="str">
        <f t="shared" si="289"/>
        <v>1+50956,7605490969i</v>
      </c>
      <c r="R473" s="4">
        <f t="shared" si="297"/>
        <v>50956.76055890914</v>
      </c>
      <c r="S473" s="4">
        <f t="shared" si="298"/>
        <v>1.5707767023134913</v>
      </c>
      <c r="T473" s="4" t="str">
        <f t="shared" si="290"/>
        <v>1+0,445871654804598i</v>
      </c>
      <c r="U473" s="4">
        <f t="shared" si="299"/>
        <v>1.0948979553173852</v>
      </c>
      <c r="V473" s="4">
        <f t="shared" si="300"/>
        <v>0.41941549229124259</v>
      </c>
      <c r="W473" t="str">
        <f t="shared" si="291"/>
        <v>1-3,8704136701788i</v>
      </c>
      <c r="X473" s="4">
        <f t="shared" si="301"/>
        <v>3.9975119735038853</v>
      </c>
      <c r="Y473" s="4">
        <f t="shared" si="302"/>
        <v>-1.3179553669409427</v>
      </c>
      <c r="Z473" t="str">
        <f t="shared" si="292"/>
        <v>0,496429835282334+3,3184926808113i</v>
      </c>
      <c r="AA473" s="4">
        <f t="shared" si="303"/>
        <v>3.3554189386657245</v>
      </c>
      <c r="AB473" s="4">
        <f t="shared" si="304"/>
        <v>1.4223025135034053</v>
      </c>
      <c r="AC473" s="48" t="str">
        <f t="shared" si="305"/>
        <v>-0,00607912249226112+0,00566358919208053i</v>
      </c>
      <c r="AD473" s="20">
        <f t="shared" si="306"/>
        <v>-41.609497150606487</v>
      </c>
      <c r="AE473" s="44">
        <f t="shared" si="307"/>
        <v>137.02665064372377</v>
      </c>
      <c r="AF473" t="str">
        <f t="shared" si="293"/>
        <v>-0,0000125211169631323</v>
      </c>
      <c r="AG473" t="str">
        <f t="shared" si="294"/>
        <v>0,0107744885383531i</v>
      </c>
      <c r="AH473">
        <f t="shared" si="308"/>
        <v>1.07744885383531E-2</v>
      </c>
      <c r="AI473">
        <f t="shared" si="309"/>
        <v>1.5707963267948966</v>
      </c>
      <c r="AJ473" t="str">
        <f t="shared" si="295"/>
        <v>1+17,2436918565771i</v>
      </c>
      <c r="AK473">
        <f t="shared" si="310"/>
        <v>17.272663629115904</v>
      </c>
      <c r="AL473">
        <f t="shared" si="311"/>
        <v>1.5128689854585149</v>
      </c>
      <c r="AM473" t="str">
        <f t="shared" si="296"/>
        <v>1+2525,41705281324i</v>
      </c>
      <c r="AN473">
        <f t="shared" si="312"/>
        <v>2525.417250800333</v>
      </c>
      <c r="AO473">
        <f t="shared" si="313"/>
        <v>1.5704003526144654</v>
      </c>
      <c r="AP473" s="42" t="str">
        <f t="shared" si="314"/>
        <v>-0,00976979224924171+0,169629394829366i</v>
      </c>
      <c r="AQ473">
        <f t="shared" si="315"/>
        <v>-15.395595277897103</v>
      </c>
      <c r="AR473" s="44">
        <f t="shared" si="316"/>
        <v>93.296304527653533</v>
      </c>
      <c r="AS473" s="42" t="str">
        <f t="shared" si="317"/>
        <v>-0,000901319443407675-0,00108652995924752i</v>
      </c>
      <c r="AT473" s="20">
        <f t="shared" si="318"/>
        <v>-57.00509242850358</v>
      </c>
      <c r="AU473" s="44">
        <f t="shared" si="319"/>
        <v>-129.67704482862266</v>
      </c>
    </row>
    <row r="474" spans="14:47" x14ac:dyDescent="0.3">
      <c r="N474" s="8">
        <v>56</v>
      </c>
      <c r="O474" s="35">
        <f t="shared" si="287"/>
        <v>363078.05477010203</v>
      </c>
      <c r="P474" s="34" t="str">
        <f t="shared" si="288"/>
        <v>324,571428571429</v>
      </c>
      <c r="Q474" s="4" t="str">
        <f t="shared" si="289"/>
        <v>1+52143,6959792194i</v>
      </c>
      <c r="R474" s="4">
        <f t="shared" si="297"/>
        <v>52143.695988808278</v>
      </c>
      <c r="S474" s="4">
        <f t="shared" si="298"/>
        <v>1.5707771490212252</v>
      </c>
      <c r="T474" s="4" t="str">
        <f t="shared" si="290"/>
        <v>1+0,45625733981817i</v>
      </c>
      <c r="U474" s="4">
        <f t="shared" si="299"/>
        <v>1.0991682128491311</v>
      </c>
      <c r="V474" s="4">
        <f t="shared" si="300"/>
        <v>0.42804533206132855</v>
      </c>
      <c r="W474" t="str">
        <f t="shared" si="291"/>
        <v>1-3,96056718592161i</v>
      </c>
      <c r="X474" s="4">
        <f t="shared" si="301"/>
        <v>4.0848613727027523</v>
      </c>
      <c r="Y474" s="4">
        <f t="shared" si="302"/>
        <v>-1.3234763673364081</v>
      </c>
      <c r="Z474" t="str">
        <f t="shared" si="292"/>
        <v>0,472697304577434+3,39579030520919i</v>
      </c>
      <c r="AA474" s="4">
        <f t="shared" si="303"/>
        <v>3.4285324176252869</v>
      </c>
      <c r="AB474" s="4">
        <f t="shared" si="304"/>
        <v>1.4324841411571381</v>
      </c>
      <c r="AC474" s="48" t="str">
        <f t="shared" si="305"/>
        <v>-0,00592482019737215+0,00559863667618958i</v>
      </c>
      <c r="AD474" s="20">
        <f t="shared" si="306"/>
        <v>-41.775166025770041</v>
      </c>
      <c r="AE474" s="44">
        <f t="shared" si="307"/>
        <v>136.62138413147335</v>
      </c>
      <c r="AF474" t="str">
        <f t="shared" si="293"/>
        <v>-0,0000125211169631323</v>
      </c>
      <c r="AG474" t="str">
        <f t="shared" si="294"/>
        <v>0,0110254586167061i</v>
      </c>
      <c r="AH474">
        <f t="shared" si="308"/>
        <v>1.10254586167061E-2</v>
      </c>
      <c r="AI474">
        <f t="shared" si="309"/>
        <v>1.5707963267948966</v>
      </c>
      <c r="AJ474" t="str">
        <f t="shared" si="295"/>
        <v>1+17,6453490378841i</v>
      </c>
      <c r="AK474">
        <f t="shared" si="310"/>
        <v>17.673662401119845</v>
      </c>
      <c r="AL474">
        <f t="shared" si="311"/>
        <v>1.5141847245892204</v>
      </c>
      <c r="AM474" t="str">
        <f t="shared" si="296"/>
        <v>1+2584,24157273011i</v>
      </c>
      <c r="AN474">
        <f t="shared" si="312"/>
        <v>2584.2417662104667</v>
      </c>
      <c r="AO474">
        <f t="shared" si="313"/>
        <v>1.5704093660863314</v>
      </c>
      <c r="AP474" s="42" t="str">
        <f t="shared" si="314"/>
        <v>-0,00933148688498939+0,165792998106106i</v>
      </c>
      <c r="AQ474">
        <f t="shared" si="315"/>
        <v>-15.59494009555285</v>
      </c>
      <c r="AR474" s="44">
        <f t="shared" si="316"/>
        <v>93.221434662420592</v>
      </c>
      <c r="AS474" s="42" t="str">
        <f t="shared" si="317"/>
        <v>-0,000872927377884576-0,00103453730847962i</v>
      </c>
      <c r="AT474" s="20">
        <f t="shared" si="318"/>
        <v>-57.370106121322912</v>
      </c>
      <c r="AU474" s="44">
        <f t="shared" si="319"/>
        <v>-130.15718120610615</v>
      </c>
    </row>
    <row r="475" spans="14:47" x14ac:dyDescent="0.3">
      <c r="N475" s="8">
        <v>57</v>
      </c>
      <c r="O475" s="35">
        <f t="shared" si="287"/>
        <v>371535.2290971732</v>
      </c>
      <c r="P475" s="34" t="str">
        <f t="shared" si="288"/>
        <v>324,571428571429</v>
      </c>
      <c r="Q475" s="4" t="str">
        <f t="shared" si="289"/>
        <v>1+53358,2786871534i</v>
      </c>
      <c r="R475" s="4">
        <f t="shared" si="297"/>
        <v>53358.278696524008</v>
      </c>
      <c r="S475" s="4">
        <f t="shared" si="298"/>
        <v>1.5707775855606498</v>
      </c>
      <c r="T475" s="4" t="str">
        <f t="shared" si="290"/>
        <v>1+0,466884938512592i</v>
      </c>
      <c r="U475" s="4">
        <f t="shared" si="299"/>
        <v>1.1036220121988809</v>
      </c>
      <c r="V475" s="4">
        <f t="shared" si="300"/>
        <v>0.43680638265033306</v>
      </c>
      <c r="W475" t="str">
        <f t="shared" si="291"/>
        <v>1-4,05282064681069i</v>
      </c>
      <c r="X475" s="4">
        <f t="shared" si="301"/>
        <v>4.1743688379460462</v>
      </c>
      <c r="Y475" s="4">
        <f t="shared" si="302"/>
        <v>-1.328886608745993</v>
      </c>
      <c r="Z475" t="str">
        <f t="shared" si="292"/>
        <v>0,447846294158843+3,47488842257549i</v>
      </c>
      <c r="AA475" s="4">
        <f t="shared" si="303"/>
        <v>3.5036289547469184</v>
      </c>
      <c r="AB475" s="4">
        <f t="shared" si="304"/>
        <v>1.4426221095666971</v>
      </c>
      <c r="AC475" s="48" t="str">
        <f t="shared" si="305"/>
        <v>-0,00577604374148622+0,00553274405831462i</v>
      </c>
      <c r="AD475" s="20">
        <f t="shared" si="306"/>
        <v>-41.939969140872215</v>
      </c>
      <c r="AE475" s="44">
        <f t="shared" si="307"/>
        <v>136.23248354083654</v>
      </c>
      <c r="AF475" t="str">
        <f t="shared" si="293"/>
        <v>-0,0000125211169631323</v>
      </c>
      <c r="AG475" t="str">
        <f t="shared" si="294"/>
        <v>0,0112822745391568i</v>
      </c>
      <c r="AH475">
        <f t="shared" si="308"/>
        <v>1.1282274539156799E-2</v>
      </c>
      <c r="AI475">
        <f t="shared" si="309"/>
        <v>1.5707963267948966</v>
      </c>
      <c r="AJ475" t="str">
        <f t="shared" si="295"/>
        <v>1+18,0563620168147i</v>
      </c>
      <c r="AK475">
        <f t="shared" si="310"/>
        <v>18.084031886785333</v>
      </c>
      <c r="AL475">
        <f t="shared" si="311"/>
        <v>1.5154707034714094</v>
      </c>
      <c r="AM475" t="str">
        <f t="shared" si="296"/>
        <v>1+2644,43629173532i</v>
      </c>
      <c r="AN475">
        <f t="shared" si="312"/>
        <v>2644.4364808115265</v>
      </c>
      <c r="AO475">
        <f t="shared" si="313"/>
        <v>1.5704181743865899</v>
      </c>
      <c r="AP475" s="42" t="str">
        <f t="shared" si="314"/>
        <v>-0,00891278502636648+0,162042277328813i</v>
      </c>
      <c r="AQ475">
        <f t="shared" si="315"/>
        <v>-15.79431430898053</v>
      </c>
      <c r="AR475" s="44">
        <f t="shared" si="316"/>
        <v>93.148258178357679</v>
      </c>
      <c r="AS475" s="42" t="str">
        <f t="shared" si="317"/>
        <v>-0,000845057810916004-0,000985275440218929i</v>
      </c>
      <c r="AT475" s="20">
        <f t="shared" si="318"/>
        <v>-57.734283449852754</v>
      </c>
      <c r="AU475" s="44">
        <f t="shared" si="319"/>
        <v>-130.61925828080575</v>
      </c>
    </row>
    <row r="476" spans="14:47" x14ac:dyDescent="0.3">
      <c r="N476" s="8">
        <v>58</v>
      </c>
      <c r="O476" s="35">
        <f t="shared" si="287"/>
        <v>380189.39632056188</v>
      </c>
      <c r="P476" s="34" t="str">
        <f t="shared" si="288"/>
        <v>324,571428571429</v>
      </c>
      <c r="Q476" s="4" t="str">
        <f t="shared" si="289"/>
        <v>1+54601,1526607275i</v>
      </c>
      <c r="R476" s="4">
        <f t="shared" si="297"/>
        <v>54601.152669884825</v>
      </c>
      <c r="S476" s="4">
        <f t="shared" si="298"/>
        <v>1.570778012163224</v>
      </c>
      <c r="T476" s="4" t="str">
        <f t="shared" si="290"/>
        <v>1+0,477760085781366i</v>
      </c>
      <c r="U476" s="4">
        <f t="shared" si="299"/>
        <v>1.1082665291191547</v>
      </c>
      <c r="V476" s="4">
        <f t="shared" si="300"/>
        <v>0.44569790855213098</v>
      </c>
      <c r="W476" t="str">
        <f t="shared" si="291"/>
        <v>1-4,14722296685214i</v>
      </c>
      <c r="X476" s="4">
        <f t="shared" si="301"/>
        <v>4.2660823171600741</v>
      </c>
      <c r="Y476" s="4">
        <f t="shared" si="302"/>
        <v>-1.3341876923160823</v>
      </c>
      <c r="Z476" t="str">
        <f t="shared" si="292"/>
        <v>0,421824091701626+3,55582897177902i</v>
      </c>
      <c r="AA476" s="4">
        <f t="shared" si="303"/>
        <v>3.5807618240931554</v>
      </c>
      <c r="AB476" s="4">
        <f t="shared" si="304"/>
        <v>1.4527192522734955</v>
      </c>
      <c r="AC476" s="48" t="str">
        <f t="shared" si="305"/>
        <v>-0,00563262377504166+0,00546608876172077i</v>
      </c>
      <c r="AD476" s="20">
        <f t="shared" si="306"/>
        <v>-42.103870205159559</v>
      </c>
      <c r="AE476" s="44">
        <f t="shared" si="307"/>
        <v>135.85965262826068</v>
      </c>
      <c r="AF476" t="str">
        <f t="shared" si="293"/>
        <v>-0,0000125211169631323</v>
      </c>
      <c r="AG476" t="str">
        <f t="shared" si="294"/>
        <v>0,0115450724729067i</v>
      </c>
      <c r="AH476">
        <f t="shared" si="308"/>
        <v>1.15450724729067E-2</v>
      </c>
      <c r="AI476">
        <f t="shared" si="309"/>
        <v>1.5707963267948966</v>
      </c>
      <c r="AJ476" t="str">
        <f t="shared" si="295"/>
        <v>1+18,4769487178909i</v>
      </c>
      <c r="AK476">
        <f t="shared" si="310"/>
        <v>18.503989675839374</v>
      </c>
      <c r="AL476">
        <f t="shared" si="311"/>
        <v>1.5167275869250598</v>
      </c>
      <c r="AM476" t="str">
        <f t="shared" si="296"/>
        <v>1+2706,03312586566i</v>
      </c>
      <c r="AN476">
        <f t="shared" si="312"/>
        <v>2706.0333106379671</v>
      </c>
      <c r="AO476">
        <f t="shared" si="313"/>
        <v>1.5704267821855122</v>
      </c>
      <c r="AP476" s="42" t="str">
        <f t="shared" si="314"/>
        <v>-0,00851281518692148+0,158375391737929i</v>
      </c>
      <c r="AQ476">
        <f t="shared" si="315"/>
        <v>-15.993716603248876</v>
      </c>
      <c r="AR476" s="44">
        <f t="shared" si="316"/>
        <v>93.076737251672839</v>
      </c>
      <c r="AS476" s="42" t="str">
        <f t="shared" si="317"/>
        <v>-0,000817744463697429-0,000938600800308433i</v>
      </c>
      <c r="AT476" s="20">
        <f t="shared" si="318"/>
        <v>-58.09758680840843</v>
      </c>
      <c r="AU476" s="44">
        <f t="shared" si="319"/>
        <v>-131.0636101200665</v>
      </c>
    </row>
    <row r="477" spans="14:47" x14ac:dyDescent="0.3">
      <c r="N477" s="8">
        <v>59</v>
      </c>
      <c r="O477" s="35">
        <f t="shared" si="287"/>
        <v>389045.14499428123</v>
      </c>
      <c r="P477" s="34" t="str">
        <f t="shared" si="288"/>
        <v>324,571428571429</v>
      </c>
      <c r="Q477" s="4" t="str">
        <f t="shared" si="289"/>
        <v>1+55872,9768881742i</v>
      </c>
      <c r="R477" s="4">
        <f t="shared" si="297"/>
        <v>55872.976897123066</v>
      </c>
      <c r="S477" s="4">
        <f t="shared" si="298"/>
        <v>1.5707784290551379</v>
      </c>
      <c r="T477" s="4" t="str">
        <f t="shared" si="290"/>
        <v>1+0,488888547771524i</v>
      </c>
      <c r="U477" s="4">
        <f t="shared" si="299"/>
        <v>1.1131091645216789</v>
      </c>
      <c r="V477" s="4">
        <f t="shared" si="300"/>
        <v>0.45471899950699696</v>
      </c>
      <c r="W477" t="str">
        <f t="shared" si="291"/>
        <v>1-4,24382419940559i</v>
      </c>
      <c r="X477" s="4">
        <f t="shared" si="301"/>
        <v>4.360050898264892</v>
      </c>
      <c r="Y477" s="4">
        <f t="shared" si="302"/>
        <v>-1.3393812364876223</v>
      </c>
      <c r="Z477" t="str">
        <f t="shared" si="292"/>
        <v>0,394575500625514+3,63865486857035i</v>
      </c>
      <c r="AA477" s="4">
        <f t="shared" si="303"/>
        <v>3.6599862128517078</v>
      </c>
      <c r="AB477" s="4">
        <f t="shared" si="304"/>
        <v>1.4627784732244387</v>
      </c>
      <c r="AC477" s="48" t="str">
        <f t="shared" si="305"/>
        <v>-0,00549439167701734+0,00539883733200613i</v>
      </c>
      <c r="AD477" s="20">
        <f t="shared" si="306"/>
        <v>-42.266833117497846</v>
      </c>
      <c r="AE477" s="44">
        <f t="shared" si="307"/>
        <v>135.50258011300824</v>
      </c>
      <c r="AF477" t="str">
        <f t="shared" si="293"/>
        <v>-0,0000125211169631323</v>
      </c>
      <c r="AG477" t="str">
        <f t="shared" si="294"/>
        <v>0,0118139917568989i</v>
      </c>
      <c r="AH477">
        <f t="shared" si="308"/>
        <v>1.1813991756898901E-2</v>
      </c>
      <c r="AI477">
        <f t="shared" si="309"/>
        <v>1.5707963267948966</v>
      </c>
      <c r="AJ477" t="str">
        <f t="shared" si="295"/>
        <v>1+18,9073321417486i</v>
      </c>
      <c r="AK477">
        <f t="shared" si="310"/>
        <v>18.933758441429418</v>
      </c>
      <c r="AL477">
        <f t="shared" si="311"/>
        <v>1.517956025472861</v>
      </c>
      <c r="AM477" t="str">
        <f t="shared" si="296"/>
        <v>1+2769,06473457791i</v>
      </c>
      <c r="AN477">
        <f t="shared" si="312"/>
        <v>2769.0649151442854</v>
      </c>
      <c r="AO477">
        <f t="shared" si="313"/>
        <v>1.5704351940470629</v>
      </c>
      <c r="AP477" s="42" t="str">
        <f t="shared" si="314"/>
        <v>-0,00813074415807161+0,154790535248711i</v>
      </c>
      <c r="AQ477">
        <f t="shared" si="315"/>
        <v>-16.193145721899004</v>
      </c>
      <c r="AR477" s="44">
        <f t="shared" si="316"/>
        <v>93.006834871657333</v>
      </c>
      <c r="AS477" s="42" t="str">
        <f t="shared" si="317"/>
        <v>-0,000791015427311886-0,000894376393649165i</v>
      </c>
      <c r="AT477" s="20">
        <f t="shared" si="318"/>
        <v>-58.459978839396847</v>
      </c>
      <c r="AU477" s="44">
        <f t="shared" si="319"/>
        <v>-131.49058501533443</v>
      </c>
    </row>
    <row r="478" spans="14:47" x14ac:dyDescent="0.3">
      <c r="N478" s="8">
        <v>60</v>
      </c>
      <c r="O478" s="35">
        <f t="shared" si="287"/>
        <v>398107.17055349716</v>
      </c>
      <c r="P478" s="34" t="str">
        <f t="shared" si="288"/>
        <v>324,571428571429</v>
      </c>
      <c r="Q478" s="4" t="str">
        <f t="shared" si="289"/>
        <v>1+57174,425707533i</v>
      </c>
      <c r="R478" s="4">
        <f t="shared" si="297"/>
        <v>57174.425716278165</v>
      </c>
      <c r="S478" s="4">
        <f t="shared" si="298"/>
        <v>1.5707788364574333</v>
      </c>
      <c r="T478" s="4" t="str">
        <f t="shared" si="290"/>
        <v>1+0,500276224940914i</v>
      </c>
      <c r="U478" s="4">
        <f t="shared" si="299"/>
        <v>1.1181575475938674</v>
      </c>
      <c r="V478" s="4">
        <f t="shared" si="300"/>
        <v>0.46386856453656916</v>
      </c>
      <c r="W478" t="str">
        <f t="shared" si="291"/>
        <v>1-4,34267556372321i</v>
      </c>
      <c r="X478" s="4">
        <f t="shared" si="301"/>
        <v>4.4563248368760888</v>
      </c>
      <c r="Y478" s="4">
        <f t="shared" si="302"/>
        <v>-1.3444688737742791</v>
      </c>
      <c r="Z478" t="str">
        <f t="shared" si="292"/>
        <v>0,366042723015554+3,72341002833628i</v>
      </c>
      <c r="AA478" s="4">
        <f t="shared" si="303"/>
        <v>3.7413593136970711</v>
      </c>
      <c r="AB478" s="4">
        <f t="shared" si="304"/>
        <v>1.4728027407858841</v>
      </c>
      <c r="AC478" s="48" t="str">
        <f t="shared" si="305"/>
        <v>-0,00536117991647324+0,00533114583748998i</v>
      </c>
      <c r="AD478" s="20">
        <f t="shared" si="306"/>
        <v>-42.428822059059073</v>
      </c>
      <c r="AE478" s="44">
        <f t="shared" si="307"/>
        <v>135.16093986295161</v>
      </c>
      <c r="AF478" t="str">
        <f t="shared" si="293"/>
        <v>-0,0000125211169631323</v>
      </c>
      <c r="AG478" t="str">
        <f t="shared" si="294"/>
        <v>0,0120891749756972i</v>
      </c>
      <c r="AH478">
        <f t="shared" si="308"/>
        <v>1.20891749756972E-2</v>
      </c>
      <c r="AI478">
        <f t="shared" si="309"/>
        <v>1.5707963267948966</v>
      </c>
      <c r="AJ478" t="str">
        <f t="shared" si="295"/>
        <v>1+19,347740483376i</v>
      </c>
      <c r="AK478">
        <f t="shared" si="310"/>
        <v>19.373566058216195</v>
      </c>
      <c r="AL478">
        <f t="shared" si="311"/>
        <v>1.5191566556104714</v>
      </c>
      <c r="AM478" t="str">
        <f t="shared" si="296"/>
        <v>1+2833,56453806534i</v>
      </c>
      <c r="AN478">
        <f t="shared" si="312"/>
        <v>2833.5647145215235</v>
      </c>
      <c r="AO478">
        <f t="shared" si="313"/>
        <v>1.5704434144313169</v>
      </c>
      <c r="AP478" s="42" t="str">
        <f t="shared" si="314"/>
        <v>-0,0077657753687024+0,15128593613558i</v>
      </c>
      <c r="AQ478">
        <f t="shared" si="315"/>
        <v>-16.392600464374507</v>
      </c>
      <c r="AR478" s="44">
        <f t="shared" si="316"/>
        <v>92.938514825339794</v>
      </c>
      <c r="AS478" s="42" t="str">
        <f t="shared" si="317"/>
        <v>-0,000764893669757442-0,000852471603486665i</v>
      </c>
      <c r="AT478" s="20">
        <f t="shared" si="318"/>
        <v>-58.821422523433576</v>
      </c>
      <c r="AU478" s="44">
        <f t="shared" si="319"/>
        <v>-131.90054531170858</v>
      </c>
    </row>
    <row r="479" spans="14:47" x14ac:dyDescent="0.3">
      <c r="N479" s="8">
        <v>61</v>
      </c>
      <c r="O479" s="35">
        <f t="shared" si="287"/>
        <v>407380.27780411334</v>
      </c>
      <c r="P479" s="34" t="str">
        <f t="shared" si="288"/>
        <v>324,571428571429</v>
      </c>
      <c r="Q479" s="4" t="str">
        <f t="shared" si="289"/>
        <v>1+58506,1891641952i</v>
      </c>
      <c r="R479" s="4">
        <f t="shared" si="297"/>
        <v>58506.189172741309</v>
      </c>
      <c r="S479" s="4">
        <f t="shared" si="298"/>
        <v>1.5707792345861202</v>
      </c>
      <c r="T479" s="4" t="str">
        <f t="shared" si="290"/>
        <v>1+0,511929155186708i</v>
      </c>
      <c r="U479" s="4">
        <f t="shared" si="299"/>
        <v>1.1234195386987786</v>
      </c>
      <c r="V479" s="4">
        <f t="shared" si="300"/>
        <v>0.47314532629399397</v>
      </c>
      <c r="W479" t="str">
        <f t="shared" si="291"/>
        <v>1-4,44382947210684i</v>
      </c>
      <c r="X479" s="4">
        <f t="shared" si="301"/>
        <v>4.5549555845436469</v>
      </c>
      <c r="Y479" s="4">
        <f t="shared" si="302"/>
        <v>-1.3494522477305049</v>
      </c>
      <c r="Z479" t="str">
        <f t="shared" si="292"/>
        <v>0,336165237024974+3,8101393893844i</v>
      </c>
      <c r="AA479" s="4">
        <f t="shared" si="303"/>
        <v>3.8249404221664141</v>
      </c>
      <c r="AB479" s="4">
        <f t="shared" si="304"/>
        <v>1.4827950818728881</v>
      </c>
      <c r="AC479" s="48" t="str">
        <f t="shared" si="305"/>
        <v>-0,00523282237921072+0,00526316027140335i</v>
      </c>
      <c r="AD479" s="20">
        <f t="shared" si="306"/>
        <v>-42.589801590053618</v>
      </c>
      <c r="AE479" s="44">
        <f t="shared" si="307"/>
        <v>134.83439108093921</v>
      </c>
      <c r="AF479" t="str">
        <f t="shared" si="293"/>
        <v>-0,0000125211169631323</v>
      </c>
      <c r="AG479" t="str">
        <f t="shared" si="294"/>
        <v>0,0123707680350868i</v>
      </c>
      <c r="AH479">
        <f t="shared" si="308"/>
        <v>1.2370768035086801E-2</v>
      </c>
      <c r="AI479">
        <f t="shared" si="309"/>
        <v>1.5707963267948966</v>
      </c>
      <c r="AJ479" t="str">
        <f t="shared" si="295"/>
        <v>1+19,7984072531053i</v>
      </c>
      <c r="AK479">
        <f t="shared" si="310"/>
        <v>19.823645723221862</v>
      </c>
      <c r="AL479">
        <f t="shared" si="311"/>
        <v>1.5203301000742389</v>
      </c>
      <c r="AM479" t="str">
        <f t="shared" si="296"/>
        <v>1+2899,56673497751i</v>
      </c>
      <c r="AN479">
        <f t="shared" si="312"/>
        <v>2899.566907417061</v>
      </c>
      <c r="AO479">
        <f t="shared" si="313"/>
        <v>1.5704514476968265</v>
      </c>
      <c r="AP479" s="42" t="str">
        <f t="shared" si="314"/>
        <v>-0,00741714731145169+0,147859856692962i</v>
      </c>
      <c r="AQ479">
        <f t="shared" si="315"/>
        <v>-16.592079683562485</v>
      </c>
      <c r="AR479" s="44">
        <f t="shared" si="316"/>
        <v>92.871741682282334</v>
      </c>
      <c r="AS479" s="42" t="str">
        <f t="shared" si="317"/>
        <v>-0,000739397509040523-0,0008127620021466i</v>
      </c>
      <c r="AT479" s="20">
        <f t="shared" si="318"/>
        <v>-59.181881273616106</v>
      </c>
      <c r="AU479" s="44">
        <f t="shared" si="319"/>
        <v>-132.29386723677845</v>
      </c>
    </row>
    <row r="480" spans="14:47" x14ac:dyDescent="0.3">
      <c r="N480" s="8">
        <v>62</v>
      </c>
      <c r="O480" s="35">
        <f t="shared" si="287"/>
        <v>416869.38347033598</v>
      </c>
      <c r="P480" s="34" t="str">
        <f t="shared" si="288"/>
        <v>324,571428571429</v>
      </c>
      <c r="Q480" s="4" t="str">
        <f t="shared" si="289"/>
        <v>1+59868,9733767733i</v>
      </c>
      <c r="R480" s="4">
        <f t="shared" si="297"/>
        <v>59868.973385124875</v>
      </c>
      <c r="S480" s="4">
        <f t="shared" si="298"/>
        <v>1.570779623652292</v>
      </c>
      <c r="T480" s="4" t="str">
        <f t="shared" si="290"/>
        <v>1+0,523853517046766i</v>
      </c>
      <c r="U480" s="4">
        <f t="shared" si="299"/>
        <v>1.1289032320452743</v>
      </c>
      <c r="V480" s="4">
        <f t="shared" si="300"/>
        <v>0.48254781578190931</v>
      </c>
      <c r="W480" t="str">
        <f t="shared" si="291"/>
        <v>1-4,54733955769762i</v>
      </c>
      <c r="X480" s="4">
        <f t="shared" si="301"/>
        <v>4.6559958175455423</v>
      </c>
      <c r="Y480" s="4">
        <f t="shared" si="302"/>
        <v>-1.3543330101038689</v>
      </c>
      <c r="Z480" t="str">
        <f t="shared" si="292"/>
        <v>0,304879668500245+3,89888893676994i</v>
      </c>
      <c r="AA480" s="4">
        <f t="shared" si="303"/>
        <v>3.9107910393591547</v>
      </c>
      <c r="AB480" s="4">
        <f t="shared" si="304"/>
        <v>1.492758576189243</v>
      </c>
      <c r="AC480" s="48" t="str">
        <f t="shared" si="305"/>
        <v>-0,00510915466116898+0,00519501695358787i</v>
      </c>
      <c r="AD480" s="20">
        <f t="shared" si="306"/>
        <v>-42.749736750508362</v>
      </c>
      <c r="AE480" s="44">
        <f t="shared" si="307"/>
        <v>134.52257849533373</v>
      </c>
      <c r="AF480" t="str">
        <f t="shared" si="293"/>
        <v>-0,0000125211169631323</v>
      </c>
      <c r="AG480" t="str">
        <f t="shared" si="294"/>
        <v>0,0126589202394351i</v>
      </c>
      <c r="AH480">
        <f t="shared" si="308"/>
        <v>1.2658920239435101E-2</v>
      </c>
      <c r="AI480">
        <f t="shared" si="309"/>
        <v>1.5707963267948966</v>
      </c>
      <c r="AJ480" t="str">
        <f t="shared" si="295"/>
        <v>1+20,2595714004232i</v>
      </c>
      <c r="AK480">
        <f t="shared" si="310"/>
        <v>20.284236079498918</v>
      </c>
      <c r="AL480">
        <f t="shared" si="311"/>
        <v>1.5214769681062126</v>
      </c>
      <c r="AM480" t="str">
        <f t="shared" si="296"/>
        <v>1+2967,10632055288i</v>
      </c>
      <c r="AN480">
        <f t="shared" si="312"/>
        <v>2967.1064890672274</v>
      </c>
      <c r="AO480">
        <f t="shared" si="313"/>
        <v>1.5704592981029315</v>
      </c>
      <c r="AP480" s="42" t="str">
        <f t="shared" si="314"/>
        <v>-0,00708413203329247+0,144510592875131i</v>
      </c>
      <c r="AQ480">
        <f t="shared" si="315"/>
        <v>-16.791582283439624</v>
      </c>
      <c r="AR480" s="44">
        <f t="shared" si="316"/>
        <v>92.806480779529039</v>
      </c>
      <c r="AS480" s="42" t="str">
        <f t="shared" si="317"/>
        <v>-0,000714541053761107-0,000775129155190678i</v>
      </c>
      <c r="AT480" s="20">
        <f t="shared" si="318"/>
        <v>-59.541319033947985</v>
      </c>
      <c r="AU480" s="44">
        <f t="shared" si="319"/>
        <v>-132.6709407251372</v>
      </c>
    </row>
    <row r="481" spans="14:47" x14ac:dyDescent="0.3">
      <c r="N481" s="8">
        <v>63</v>
      </c>
      <c r="O481" s="35">
        <f t="shared" si="287"/>
        <v>426579.51880159322</v>
      </c>
      <c r="P481" s="34" t="str">
        <f t="shared" si="288"/>
        <v>324,571428571429</v>
      </c>
      <c r="Q481" s="4" t="str">
        <f t="shared" si="289"/>
        <v>1+61263,5009114951i</v>
      </c>
      <c r="R481" s="4">
        <f t="shared" si="297"/>
        <v>61263.500919656581</v>
      </c>
      <c r="S481" s="4">
        <f t="shared" si="298"/>
        <v>1.5707800038622364</v>
      </c>
      <c r="T481" s="4" t="str">
        <f t="shared" si="290"/>
        <v>1+0,536055632975582i</v>
      </c>
      <c r="U481" s="4">
        <f t="shared" si="299"/>
        <v>1.1346169581161969</v>
      </c>
      <c r="V481" s="4">
        <f t="shared" si="300"/>
        <v>0.49207436749234323</v>
      </c>
      <c r="W481" t="str">
        <f t="shared" si="291"/>
        <v>1-4,65326070291304i</v>
      </c>
      <c r="X481" s="4">
        <f t="shared" si="301"/>
        <v>4.7594994662542787</v>
      </c>
      <c r="Y481" s="4">
        <f t="shared" si="302"/>
        <v>-1.3591128181657162</v>
      </c>
      <c r="Z481" t="str">
        <f t="shared" si="292"/>
        <v>0,272119656556002+3,98970572667764i</v>
      </c>
      <c r="AA481" s="4">
        <f t="shared" si="303"/>
        <v>3.9989749802878878</v>
      </c>
      <c r="AB481" s="4">
        <f t="shared" si="304"/>
        <v>1.5026963505724384</v>
      </c>
      <c r="AC481" s="48" t="str">
        <f t="shared" si="305"/>
        <v>-0,00499001433024154+0,00512684292964991i</v>
      </c>
      <c r="AD481" s="20">
        <f t="shared" si="306"/>
        <v>-42.908593165046028</v>
      </c>
      <c r="AE481" s="44">
        <f t="shared" si="307"/>
        <v>134.22513255849285</v>
      </c>
      <c r="AF481" t="str">
        <f t="shared" si="293"/>
        <v>-0,0000125211169631323</v>
      </c>
      <c r="AG481" t="str">
        <f t="shared" si="294"/>
        <v>0,0129537843708549i</v>
      </c>
      <c r="AH481">
        <f t="shared" si="308"/>
        <v>1.29537843708549E-2</v>
      </c>
      <c r="AI481">
        <f t="shared" si="309"/>
        <v>1.5707963267948966</v>
      </c>
      <c r="AJ481" t="str">
        <f t="shared" si="295"/>
        <v>1+20,7314774406646i</v>
      </c>
      <c r="AK481">
        <f t="shared" si="310"/>
        <v>20.755581342684319</v>
      </c>
      <c r="AL481">
        <f t="shared" si="311"/>
        <v>1.5225978557162878</v>
      </c>
      <c r="AM481" t="str">
        <f t="shared" si="296"/>
        <v>1+3036,2191051737i</v>
      </c>
      <c r="AN481">
        <f t="shared" si="312"/>
        <v>3036.2192698521926</v>
      </c>
      <c r="AO481">
        <f t="shared" si="313"/>
        <v>1.5704669698120171</v>
      </c>
      <c r="AP481" s="42" t="str">
        <f t="shared" si="314"/>
        <v>-0,00676603368808295+0,141236473917344i</v>
      </c>
      <c r="AQ481">
        <f t="shared" si="315"/>
        <v>-16.991107216819707</v>
      </c>
      <c r="AR481" s="44">
        <f t="shared" si="316"/>
        <v>92.742698206715488</v>
      </c>
      <c r="AS481" s="42" t="str">
        <f t="shared" si="317"/>
        <v>-0,000690334612649388-0,000739460420775853i</v>
      </c>
      <c r="AT481" s="20">
        <f t="shared" si="318"/>
        <v>-59.899700381865735</v>
      </c>
      <c r="AU481" s="44">
        <f t="shared" si="319"/>
        <v>-133.03216923479167</v>
      </c>
    </row>
    <row r="482" spans="14:47" x14ac:dyDescent="0.3">
      <c r="N482" s="8">
        <v>64</v>
      </c>
      <c r="O482" s="35">
        <f t="shared" si="287"/>
        <v>436515.83224016649</v>
      </c>
      <c r="P482" s="34" t="str">
        <f t="shared" si="288"/>
        <v>324,571428571429</v>
      </c>
      <c r="Q482" s="4" t="str">
        <f t="shared" si="289"/>
        <v>1+62690,5111653184i</v>
      </c>
      <c r="R482" s="4">
        <f t="shared" si="297"/>
        <v>62690.511173294079</v>
      </c>
      <c r="S482" s="4">
        <f t="shared" si="298"/>
        <v>1.5707803754175458</v>
      </c>
      <c r="T482" s="4" t="str">
        <f t="shared" si="290"/>
        <v>1+0,548541972696536i</v>
      </c>
      <c r="U482" s="4">
        <f t="shared" si="299"/>
        <v>1.1405692858436121</v>
      </c>
      <c r="V482" s="4">
        <f t="shared" si="300"/>
        <v>0.50172311502349554</v>
      </c>
      <c r="W482" t="str">
        <f t="shared" si="291"/>
        <v>1-4,76164906854632i</v>
      </c>
      <c r="X482" s="4">
        <f t="shared" si="301"/>
        <v>4.8655217450945614</v>
      </c>
      <c r="Y482" s="4">
        <f t="shared" si="302"/>
        <v>-1.3637933322139619</v>
      </c>
      <c r="Z482" t="str">
        <f t="shared" si="292"/>
        <v>0,2378157128147+4,08263791137161i</v>
      </c>
      <c r="AA482" s="4">
        <f t="shared" si="303"/>
        <v>4.0895584882270981</v>
      </c>
      <c r="AB482" s="4">
        <f t="shared" si="304"/>
        <v>1.5126115734363845</v>
      </c>
      <c r="AC482" s="48" t="str">
        <f t="shared" si="305"/>
        <v>-0,00487524115824307+0,00505875636574591i</v>
      </c>
      <c r="AD482" s="20">
        <f t="shared" si="306"/>
        <v>-43.06633715157232</v>
      </c>
      <c r="AE482" s="44">
        <f t="shared" si="307"/>
        <v>133.94166965711207</v>
      </c>
      <c r="AF482" t="str">
        <f t="shared" si="293"/>
        <v>-0,0000125211169631323</v>
      </c>
      <c r="AG482" t="str">
        <f t="shared" si="294"/>
        <v>0,0132555167702118i</v>
      </c>
      <c r="AH482">
        <f t="shared" si="308"/>
        <v>1.3255516770211801E-2</v>
      </c>
      <c r="AI482">
        <f t="shared" si="309"/>
        <v>1.5707963267948966</v>
      </c>
      <c r="AJ482" t="str">
        <f t="shared" si="295"/>
        <v>1+21,2143755846586i</v>
      </c>
      <c r="AK482">
        <f t="shared" si="310"/>
        <v>21.237931430507984</v>
      </c>
      <c r="AL482">
        <f t="shared" si="311"/>
        <v>1.5236933459413438</v>
      </c>
      <c r="AM482" t="str">
        <f t="shared" si="296"/>
        <v>1+3106,94173335318i</v>
      </c>
      <c r="AN482">
        <f t="shared" si="312"/>
        <v>3106.9418942831326</v>
      </c>
      <c r="AO482">
        <f t="shared" si="313"/>
        <v>1.5704744668917212</v>
      </c>
      <c r="AP482" s="42" t="str">
        <f t="shared" si="314"/>
        <v>-0,00646218714880956+0,138035861940398i</v>
      </c>
      <c r="AQ482">
        <f t="shared" si="315"/>
        <v>-17.190653483199295</v>
      </c>
      <c r="AR482" s="44">
        <f t="shared" si="316"/>
        <v>92.680360791347667</v>
      </c>
      <c r="AS482" s="42" t="str">
        <f t="shared" si="317"/>
        <v>-0,000666785074532066-0,000705648745821068i</v>
      </c>
      <c r="AT482" s="20">
        <f t="shared" si="318"/>
        <v>-60.256990634771618</v>
      </c>
      <c r="AU482" s="44">
        <f t="shared" si="319"/>
        <v>-133.37796955154028</v>
      </c>
    </row>
    <row r="483" spans="14:47" x14ac:dyDescent="0.3">
      <c r="N483" s="8">
        <v>65</v>
      </c>
      <c r="O483" s="35">
        <f t="shared" si="287"/>
        <v>446683.59215096442</v>
      </c>
      <c r="P483" s="34" t="str">
        <f t="shared" si="288"/>
        <v>324,571428571429</v>
      </c>
      <c r="Q483" s="4" t="str">
        <f t="shared" si="289"/>
        <v>1+64150,7607579689i</v>
      </c>
      <c r="R483" s="4">
        <f t="shared" si="297"/>
        <v>64150.760765763043</v>
      </c>
      <c r="S483" s="4">
        <f t="shared" si="298"/>
        <v>1.5707807385152237</v>
      </c>
      <c r="T483" s="4" t="str">
        <f t="shared" si="290"/>
        <v>1+0,561319156632228i</v>
      </c>
      <c r="U483" s="4">
        <f t="shared" si="299"/>
        <v>1.1467690245216409</v>
      </c>
      <c r="V483" s="4">
        <f t="shared" si="300"/>
        <v>0.51149198722881761</v>
      </c>
      <c r="W483" t="str">
        <f t="shared" si="291"/>
        <v>1-4,87256212354365i</v>
      </c>
      <c r="X483" s="4">
        <f t="shared" si="301"/>
        <v>4.9741191831109361</v>
      </c>
      <c r="Y483" s="4">
        <f t="shared" si="302"/>
        <v>-1.3683762132416748</v>
      </c>
      <c r="Z483" t="str">
        <f t="shared" si="292"/>
        <v>0,201895074012441+4,17773476472632i</v>
      </c>
      <c r="AA483" s="4">
        <f t="shared" si="303"/>
        <v>4.182610355425588</v>
      </c>
      <c r="AB483" s="4">
        <f t="shared" si="304"/>
        <v>1.5225074493036208</v>
      </c>
      <c r="AC483" s="48" t="str">
        <f t="shared" si="305"/>
        <v>-0,0047646773247832+0,00499086693739528i</v>
      </c>
      <c r="AD483" s="20">
        <f t="shared" si="306"/>
        <v>-43.222935833723241</v>
      </c>
      <c r="AE483" s="44">
        <f t="shared" si="307"/>
        <v>133.67179233843848</v>
      </c>
      <c r="AF483" t="str">
        <f t="shared" si="293"/>
        <v>-0,0000125211169631323</v>
      </c>
      <c r="AG483" t="str">
        <f t="shared" si="294"/>
        <v>0,0135642774200178i</v>
      </c>
      <c r="AH483">
        <f t="shared" si="308"/>
        <v>1.35642774200178E-2</v>
      </c>
      <c r="AI483">
        <f t="shared" si="309"/>
        <v>1.5707963267948966</v>
      </c>
      <c r="AJ483" t="str">
        <f t="shared" si="295"/>
        <v>1+21,7085218713931i</v>
      </c>
      <c r="AK483">
        <f t="shared" si="310"/>
        <v>21.731542095322009</v>
      </c>
      <c r="AL483">
        <f t="shared" si="311"/>
        <v>1.5247640091012469</v>
      </c>
      <c r="AM483" t="str">
        <f t="shared" si="296"/>
        <v>1+3179,31170316494i</v>
      </c>
      <c r="AN483">
        <f t="shared" si="312"/>
        <v>3179.3118604316796</v>
      </c>
      <c r="AO483">
        <f t="shared" si="313"/>
        <v>1.5704817933170916</v>
      </c>
      <c r="AP483" s="42" t="str">
        <f t="shared" si="314"/>
        <v>-0,00617195667730917+0,134907151540634i</v>
      </c>
      <c r="AQ483">
        <f t="shared" si="315"/>
        <v>-17.390220126695102</v>
      </c>
      <c r="AR483" s="44">
        <f t="shared" si="316"/>
        <v>92.6194360842577</v>
      </c>
      <c r="AS483" s="42" t="str">
        <f t="shared" si="317"/>
        <v>-0,000643896260212406-0,000673592460416568i</v>
      </c>
      <c r="AT483" s="20">
        <f t="shared" si="318"/>
        <v>-60.613155960418339</v>
      </c>
      <c r="AU483" s="44">
        <f t="shared" si="319"/>
        <v>-133.70877157730382</v>
      </c>
    </row>
    <row r="484" spans="14:47" x14ac:dyDescent="0.3">
      <c r="N484" s="8">
        <v>66</v>
      </c>
      <c r="O484" s="35">
        <f t="shared" ref="O484:O518" si="320">10^(5+(N484/100))</f>
        <v>457088.18961487547</v>
      </c>
      <c r="P484" s="34" t="str">
        <f t="shared" si="288"/>
        <v>324,571428571429</v>
      </c>
      <c r="Q484" s="4" t="str">
        <f t="shared" si="289"/>
        <v>1+65645,0239331086i</v>
      </c>
      <c r="R484" s="4">
        <f t="shared" si="297"/>
        <v>65645.023940725325</v>
      </c>
      <c r="S484" s="4">
        <f t="shared" si="298"/>
        <v>1.5707810933477897</v>
      </c>
      <c r="T484" s="4" t="str">
        <f t="shared" si="290"/>
        <v>1+0,5743939594147i</v>
      </c>
      <c r="U484" s="4">
        <f t="shared" si="299"/>
        <v>1.1532252254490865</v>
      </c>
      <c r="V484" s="4">
        <f t="shared" si="300"/>
        <v>0.52137870495367633</v>
      </c>
      <c r="W484" t="str">
        <f t="shared" si="291"/>
        <v>1-4,98605867547483i</v>
      </c>
      <c r="X484" s="4">
        <f t="shared" si="301"/>
        <v>5.0853496551641184</v>
      </c>
      <c r="Y484" s="4">
        <f t="shared" si="302"/>
        <v>-1.3728631207649682</v>
      </c>
      <c r="Z484" t="str">
        <f t="shared" si="292"/>
        <v>0,164281547658382+4,27504670835211i</v>
      </c>
      <c r="AA484" s="4">
        <f t="shared" si="303"/>
        <v>4.2782020505690523</v>
      </c>
      <c r="AB484" s="4">
        <f t="shared" si="304"/>
        <v>1.5323872134177328</v>
      </c>
      <c r="AC484" s="48" t="str">
        <f t="shared" si="305"/>
        <v>-0,00465816759481351+0,00492327621092302i</v>
      </c>
      <c r="AD484" s="20">
        <f t="shared" si="306"/>
        <v>-43.378357256869492</v>
      </c>
      <c r="AE484" s="44">
        <f t="shared" si="307"/>
        <v>133.41508955642831</v>
      </c>
      <c r="AF484" t="str">
        <f t="shared" si="293"/>
        <v>-0,0000125211169631323</v>
      </c>
      <c r="AG484" t="str">
        <f t="shared" si="294"/>
        <v>0,0138802300292562i</v>
      </c>
      <c r="AH484">
        <f t="shared" si="308"/>
        <v>1.38802300292562E-2</v>
      </c>
      <c r="AI484">
        <f t="shared" si="309"/>
        <v>1.5707963267948966</v>
      </c>
      <c r="AJ484" t="str">
        <f t="shared" si="295"/>
        <v>1+22,21417830377i</v>
      </c>
      <c r="AK484">
        <f t="shared" si="310"/>
        <v>22.236675059722529</v>
      </c>
      <c r="AL484">
        <f t="shared" si="311"/>
        <v>1.5258104030516142</v>
      </c>
      <c r="AM484" t="str">
        <f t="shared" si="296"/>
        <v>1+3253,36738612486i</v>
      </c>
      <c r="AN484">
        <f t="shared" si="312"/>
        <v>3253.3675398117721</v>
      </c>
      <c r="AO484">
        <f t="shared" si="313"/>
        <v>1.5704889529726926</v>
      </c>
      <c r="AP484" s="42" t="str">
        <f t="shared" si="314"/>
        <v>-0,0058947346493119+0,131848769367181i</v>
      </c>
      <c r="AQ484">
        <f t="shared" si="315"/>
        <v>-17.589806234072249</v>
      </c>
      <c r="AR484" s="44">
        <f t="shared" si="316"/>
        <v>92.559892345242332</v>
      </c>
      <c r="AS484" s="42" t="str">
        <f t="shared" si="317"/>
        <v>-0,000621669247741469-0,000643195071750904i</v>
      </c>
      <c r="AT484" s="20">
        <f t="shared" si="318"/>
        <v>-60.968163490941734</v>
      </c>
      <c r="AU484" s="44">
        <f t="shared" si="319"/>
        <v>-134.02501809832935</v>
      </c>
    </row>
    <row r="485" spans="14:47" x14ac:dyDescent="0.3">
      <c r="N485" s="8">
        <v>67</v>
      </c>
      <c r="O485" s="35">
        <f t="shared" si="320"/>
        <v>467735.14128719864</v>
      </c>
      <c r="P485" s="34" t="str">
        <f t="shared" si="288"/>
        <v>324,571428571429</v>
      </c>
      <c r="Q485" s="4" t="str">
        <f t="shared" si="289"/>
        <v>1+67174,0929688523i</v>
      </c>
      <c r="R485" s="4">
        <f t="shared" si="297"/>
        <v>67174.092976295651</v>
      </c>
      <c r="S485" s="4">
        <f t="shared" si="298"/>
        <v>1.5707814401033802</v>
      </c>
      <c r="T485" s="4" t="str">
        <f t="shared" si="290"/>
        <v>1+0,587773313477458i</v>
      </c>
      <c r="U485" s="4">
        <f t="shared" si="299"/>
        <v>1.1599471832959767</v>
      </c>
      <c r="V485" s="4">
        <f t="shared" si="300"/>
        <v>0.53138077841421438</v>
      </c>
      <c r="W485" t="str">
        <f t="shared" si="291"/>
        <v>1-5,10219890171405i</v>
      </c>
      <c r="X485" s="4">
        <f t="shared" si="301"/>
        <v>5.1992724137759945</v>
      </c>
      <c r="Y485" s="4">
        <f t="shared" si="302"/>
        <v>-1.3772557108036898</v>
      </c>
      <c r="Z485" t="str">
        <f t="shared" si="292"/>
        <v>0,124895350420179+4,37462533832962i</v>
      </c>
      <c r="AA485" s="4">
        <f t="shared" si="303"/>
        <v>4.3764078534012487</v>
      </c>
      <c r="AB485" s="4">
        <f t="shared" si="304"/>
        <v>1.5422541264259153</v>
      </c>
      <c r="AC485" s="48" t="str">
        <f t="shared" si="305"/>
        <v>-0,00455555947160651+0,00485607801632811i</v>
      </c>
      <c r="AD485" s="20">
        <f t="shared" si="306"/>
        <v>-43.532570507417951</v>
      </c>
      <c r="AE485" s="44">
        <f t="shared" si="307"/>
        <v>133.17113694192352</v>
      </c>
      <c r="AF485" t="str">
        <f t="shared" si="293"/>
        <v>-0,0000125211169631323</v>
      </c>
      <c r="AG485" t="str">
        <f t="shared" si="294"/>
        <v>0,0142035421201828i</v>
      </c>
      <c r="AH485">
        <f t="shared" si="308"/>
        <v>1.4203542120182801E-2</v>
      </c>
      <c r="AI485">
        <f t="shared" si="309"/>
        <v>1.5707963267948966</v>
      </c>
      <c r="AJ485" t="str">
        <f t="shared" si="295"/>
        <v>1+22,731612987523i</v>
      </c>
      <c r="AK485">
        <f t="shared" si="310"/>
        <v>22.753598155336316</v>
      </c>
      <c r="AL485">
        <f t="shared" si="311"/>
        <v>1.5268330734332425</v>
      </c>
      <c r="AM485" t="str">
        <f t="shared" si="296"/>
        <v>1+3329,14804753632i</v>
      </c>
      <c r="AN485">
        <f t="shared" si="312"/>
        <v>3329.1481977248914</v>
      </c>
      <c r="AO485">
        <f t="shared" si="313"/>
        <v>1.5704959496546655</v>
      </c>
      <c r="AP485" s="42" t="str">
        <f t="shared" si="314"/>
        <v>-0,00562994033270965+0,128859173688184i</v>
      </c>
      <c r="AQ485">
        <f t="shared" si="315"/>
        <v>-17.789410932857329</v>
      </c>
      <c r="AR485" s="44">
        <f t="shared" si="316"/>
        <v>92.501698528889648</v>
      </c>
      <c r="AS485" s="42" t="str">
        <f t="shared" si="317"/>
        <v>-0,000600102672542141-0,000614365058681505i</v>
      </c>
      <c r="AT485" s="20">
        <f t="shared" si="318"/>
        <v>-61.32198144027528</v>
      </c>
      <c r="AU485" s="44">
        <f t="shared" si="319"/>
        <v>-134.32716452918683</v>
      </c>
    </row>
    <row r="486" spans="14:47" x14ac:dyDescent="0.3">
      <c r="N486" s="8">
        <v>68</v>
      </c>
      <c r="O486" s="35">
        <f t="shared" si="320"/>
        <v>478630.09232263872</v>
      </c>
      <c r="P486" s="34" t="str">
        <f t="shared" si="288"/>
        <v>324,571428571429</v>
      </c>
      <c r="Q486" s="4" t="str">
        <f t="shared" si="289"/>
        <v>1+68738,7785978425i</v>
      </c>
      <c r="R486" s="4">
        <f t="shared" si="297"/>
        <v>68738.778605116415</v>
      </c>
      <c r="S486" s="4">
        <f t="shared" si="298"/>
        <v>1.5707817789658498</v>
      </c>
      <c r="T486" s="4" t="str">
        <f t="shared" si="290"/>
        <v>1+0,601464312731122i</v>
      </c>
      <c r="U486" s="4">
        <f t="shared" si="299"/>
        <v>1.1669444371901865</v>
      </c>
      <c r="V486" s="4">
        <f t="shared" si="300"/>
        <v>0.54149550527154611</v>
      </c>
      <c r="W486" t="str">
        <f t="shared" si="291"/>
        <v>1-5,22104438134655i</v>
      </c>
      <c r="X486" s="4">
        <f t="shared" si="301"/>
        <v>5.3159481216421192</v>
      </c>
      <c r="Y486" s="4">
        <f t="shared" si="302"/>
        <v>-1.3815556340083248</v>
      </c>
      <c r="Z486" t="str">
        <f t="shared" si="292"/>
        <v>0,08365293889289+4,47652345256652i</v>
      </c>
      <c r="AA486" s="4">
        <f t="shared" si="303"/>
        <v>4.4773049969332552</v>
      </c>
      <c r="AB486" s="4">
        <f t="shared" si="304"/>
        <v>1.552111469120784</v>
      </c>
      <c r="AC486" s="48" t="str">
        <f t="shared" si="305"/>
        <v>-0,0044567033269093+0,00478935881055522i</v>
      </c>
      <c r="AD486" s="20">
        <f t="shared" si="306"/>
        <v>-43.685545835087787</v>
      </c>
      <c r="AE486" s="44">
        <f t="shared" si="307"/>
        <v>132.93949710090075</v>
      </c>
      <c r="AF486" t="str">
        <f t="shared" si="293"/>
        <v>-0,0000125211169631323</v>
      </c>
      <c r="AG486" t="str">
        <f t="shared" si="294"/>
        <v>0,0145343851171476i</v>
      </c>
      <c r="AH486">
        <f t="shared" si="308"/>
        <v>1.4534385117147599E-2</v>
      </c>
      <c r="AI486">
        <f t="shared" si="309"/>
        <v>1.5707963267948966</v>
      </c>
      <c r="AJ486" t="str">
        <f t="shared" si="295"/>
        <v>1+23,2611002733705i</v>
      </c>
      <c r="AK486">
        <f t="shared" si="310"/>
        <v>23.282585464844686</v>
      </c>
      <c r="AL486">
        <f t="shared" si="311"/>
        <v>1.5278325539181163</v>
      </c>
      <c r="AM486" t="str">
        <f t="shared" si="296"/>
        <v>1+3406,69386730907i</v>
      </c>
      <c r="AN486">
        <f t="shared" si="312"/>
        <v>3406.694014078932</v>
      </c>
      <c r="AO486">
        <f t="shared" si="313"/>
        <v>1.5705027870727413</v>
      </c>
      <c r="AP486" s="42" t="str">
        <f t="shared" si="314"/>
        <v>-0,005377018717015+0,125936853947581i</v>
      </c>
      <c r="AQ486">
        <f t="shared" si="315"/>
        <v>-17.989033389533517</v>
      </c>
      <c r="AR486" s="44">
        <f t="shared" si="316"/>
        <v>92.444824270599185</v>
      </c>
      <c r="AS486" s="42" t="str">
        <f t="shared" si="317"/>
        <v>-0,000579193003822479-0,000587015667935531i</v>
      </c>
      <c r="AT486" s="20">
        <f t="shared" si="318"/>
        <v>-61.674579224621304</v>
      </c>
      <c r="AU486" s="44">
        <f t="shared" si="319"/>
        <v>-134.61567862850009</v>
      </c>
    </row>
    <row r="487" spans="14:47" x14ac:dyDescent="0.3">
      <c r="N487" s="8">
        <v>69</v>
      </c>
      <c r="O487" s="35">
        <f t="shared" si="320"/>
        <v>489778.81936844654</v>
      </c>
      <c r="P487" s="34" t="str">
        <f t="shared" si="288"/>
        <v>324,571428571429</v>
      </c>
      <c r="Q487" s="4" t="str">
        <f t="shared" si="289"/>
        <v>1+70339,9104371106i</v>
      </c>
      <c r="R487" s="4">
        <f t="shared" si="297"/>
        <v>70339.910444218927</v>
      </c>
      <c r="S487" s="4">
        <f t="shared" si="298"/>
        <v>1.570782110114868</v>
      </c>
      <c r="T487" s="4" t="str">
        <f t="shared" si="290"/>
        <v>1+0,615474216324718i</v>
      </c>
      <c r="U487" s="4">
        <f t="shared" si="299"/>
        <v>1.1742267715226584</v>
      </c>
      <c r="V487" s="4">
        <f t="shared" si="300"/>
        <v>0.55171996945247614</v>
      </c>
      <c r="W487" t="str">
        <f t="shared" si="291"/>
        <v>1-5,34265812781873i</v>
      </c>
      <c r="X487" s="4">
        <f t="shared" si="301"/>
        <v>5.43543888483235</v>
      </c>
      <c r="Y487" s="4">
        <f t="shared" si="302"/>
        <v>-1.3857645339266016</v>
      </c>
      <c r="Z487" t="str">
        <f t="shared" si="292"/>
        <v>0,0404668323921999+4,58079507879178i</v>
      </c>
      <c r="AA487" s="4">
        <f t="shared" si="303"/>
        <v>4.5809738176949732</v>
      </c>
      <c r="AB487" s="4">
        <f t="shared" si="304"/>
        <v>1.5619625372300647</v>
      </c>
      <c r="AC487" s="48" t="str">
        <f t="shared" si="305"/>
        <v>-0,0043614525099818+0,00472319803031564i</v>
      </c>
      <c r="AD487" s="20">
        <f t="shared" si="306"/>
        <v>-43.837254777780117</v>
      </c>
      <c r="AE487" s="44">
        <f t="shared" si="307"/>
        <v>132.71971994474154</v>
      </c>
      <c r="AF487" t="str">
        <f t="shared" si="293"/>
        <v>-0,0000125211169631323</v>
      </c>
      <c r="AG487" t="str">
        <f t="shared" si="294"/>
        <v>0,0148729344374868i</v>
      </c>
      <c r="AH487">
        <f t="shared" si="308"/>
        <v>1.4872934437486799E-2</v>
      </c>
      <c r="AI487">
        <f t="shared" si="309"/>
        <v>1.5707963267948966</v>
      </c>
      <c r="AJ487" t="str">
        <f t="shared" si="295"/>
        <v>1+23,80292090248i</v>
      </c>
      <c r="AK487">
        <f t="shared" si="310"/>
        <v>23.823917467320928</v>
      </c>
      <c r="AL487">
        <f t="shared" si="311"/>
        <v>1.5288093664519318</v>
      </c>
      <c r="AM487" t="str">
        <f t="shared" si="296"/>
        <v>1+3486,0459612632i</v>
      </c>
      <c r="AN487">
        <f t="shared" si="312"/>
        <v>3486.0461046921723</v>
      </c>
      <c r="AO487">
        <f t="shared" si="313"/>
        <v>1.5705094688522065</v>
      </c>
      <c r="AP487" s="42" t="str">
        <f t="shared" si="314"/>
        <v>-0,00513543939203481+0,123080330313883i</v>
      </c>
      <c r="AQ487">
        <f t="shared" si="315"/>
        <v>-18.188672807814662</v>
      </c>
      <c r="AR487" s="44">
        <f t="shared" si="316"/>
        <v>92.389239872799095</v>
      </c>
      <c r="AS487" s="42" t="str">
        <f t="shared" si="317"/>
        <v>-0,000558934798682881-0,000561064712798138i</v>
      </c>
      <c r="AT487" s="20">
        <f t="shared" si="318"/>
        <v>-62.025927585594786</v>
      </c>
      <c r="AU487" s="44">
        <f t="shared" si="319"/>
        <v>-134.89104018245936</v>
      </c>
    </row>
    <row r="488" spans="14:47" x14ac:dyDescent="0.3">
      <c r="N488" s="8">
        <v>70</v>
      </c>
      <c r="O488" s="35">
        <f t="shared" si="320"/>
        <v>501187.23362727347</v>
      </c>
      <c r="P488" s="34" t="str">
        <f t="shared" si="288"/>
        <v>324,571428571429</v>
      </c>
      <c r="Q488" s="4" t="str">
        <f t="shared" si="289"/>
        <v>1+71978,3374279513i</v>
      </c>
      <c r="R488" s="4">
        <f t="shared" si="297"/>
        <v>71978.337434897825</v>
      </c>
      <c r="S488" s="4">
        <f t="shared" si="298"/>
        <v>1.5707824337260141</v>
      </c>
      <c r="T488" s="4" t="str">
        <f t="shared" si="290"/>
        <v>1+0,629810452494574i</v>
      </c>
      <c r="U488" s="4">
        <f t="shared" si="299"/>
        <v>1.1818042164721787</v>
      </c>
      <c r="V488" s="4">
        <f t="shared" si="300"/>
        <v>0.56205104076505696</v>
      </c>
      <c r="W488" t="str">
        <f t="shared" si="291"/>
        <v>1-5,46710462234873i</v>
      </c>
      <c r="X488" s="4">
        <f t="shared" si="301"/>
        <v>5.5578082866996095</v>
      </c>
      <c r="Y488" s="4">
        <f t="shared" si="302"/>
        <v>-1.3898840454033079</v>
      </c>
      <c r="Z488" t="str">
        <f t="shared" si="292"/>
        <v>-0,00475457260384005+4,6874955032018i</v>
      </c>
      <c r="AA488" s="4">
        <f t="shared" si="303"/>
        <v>4.6874979145059621</v>
      </c>
      <c r="AB488" s="4">
        <f t="shared" si="304"/>
        <v>1.571810636242245</v>
      </c>
      <c r="AC488" s="48" t="str">
        <f t="shared" si="305"/>
        <v>-0,00426966343719245+0,00465766843375828i</v>
      </c>
      <c r="AD488" s="20">
        <f t="shared" si="306"/>
        <v>-43.987670288597904</v>
      </c>
      <c r="AE488" s="44">
        <f t="shared" si="307"/>
        <v>132.51134305635256</v>
      </c>
      <c r="AF488" t="str">
        <f t="shared" si="293"/>
        <v>-0,0000125211169631323</v>
      </c>
      <c r="AG488" t="str">
        <f t="shared" si="294"/>
        <v>0,0152193695845314i</v>
      </c>
      <c r="AH488">
        <f t="shared" si="308"/>
        <v>1.5219369584531401E-2</v>
      </c>
      <c r="AI488">
        <f t="shared" si="309"/>
        <v>1.5707963267948966</v>
      </c>
      <c r="AJ488" t="str">
        <f t="shared" si="295"/>
        <v>1+24,3573621553209i</v>
      </c>
      <c r="AK488">
        <f t="shared" si="310"/>
        <v>24.377881186958369</v>
      </c>
      <c r="AL488">
        <f t="shared" si="311"/>
        <v>1.5297640214930708</v>
      </c>
      <c r="AM488" t="str">
        <f t="shared" si="296"/>
        <v>1+3567,24640292927i</v>
      </c>
      <c r="AN488">
        <f t="shared" si="312"/>
        <v>3567.2465430934003</v>
      </c>
      <c r="AO488">
        <f t="shared" si="313"/>
        <v>1.570515998535827</v>
      </c>
      <c r="AP488" s="42" t="str">
        <f t="shared" si="314"/>
        <v>-0,00490469547384442+0,120288153222315i</v>
      </c>
      <c r="AQ488">
        <f t="shared" si="315"/>
        <v>-18.38832842699443</v>
      </c>
      <c r="AR488" s="44">
        <f t="shared" si="316"/>
        <v>92.334916291363967</v>
      </c>
      <c r="AS488" s="42" t="str">
        <f t="shared" si="317"/>
        <v>-0,000539320935283419-0,000536434375026444i</v>
      </c>
      <c r="AT488" s="20">
        <f t="shared" si="318"/>
        <v>-62.375998715592338</v>
      </c>
      <c r="AU488" s="44">
        <f t="shared" si="319"/>
        <v>-135.15374065228346</v>
      </c>
    </row>
    <row r="489" spans="14:47" x14ac:dyDescent="0.3">
      <c r="N489" s="8">
        <v>71</v>
      </c>
      <c r="O489" s="35">
        <f t="shared" si="320"/>
        <v>512861.38399136515</v>
      </c>
      <c r="P489" s="34" t="str">
        <f t="shared" si="288"/>
        <v>324,571428571429</v>
      </c>
      <c r="Q489" s="4" t="str">
        <f t="shared" si="289"/>
        <v>1+73654,9282860418i</v>
      </c>
      <c r="R489" s="4">
        <f t="shared" si="297"/>
        <v>73654.928292830198</v>
      </c>
      <c r="S489" s="4">
        <f t="shared" si="298"/>
        <v>1.5707827499708713</v>
      </c>
      <c r="T489" s="4" t="str">
        <f t="shared" si="290"/>
        <v>1+0,644480622502866i</v>
      </c>
      <c r="U489" s="4">
        <f t="shared" si="299"/>
        <v>1.1896870482533133</v>
      </c>
      <c r="V489" s="4">
        <f t="shared" si="300"/>
        <v>0.57248537535380384</v>
      </c>
      <c r="W489" t="str">
        <f t="shared" si="291"/>
        <v>1-5,59444984811516i</v>
      </c>
      <c r="X489" s="4">
        <f t="shared" si="301"/>
        <v>5.6831214225173605</v>
      </c>
      <c r="Y489" s="4">
        <f t="shared" si="302"/>
        <v>-1.393915793106915</v>
      </c>
      <c r="Z489" t="str">
        <f t="shared" si="292"/>
        <v>-0,0521071967581499+4,79668129977393i</v>
      </c>
      <c r="AA489" s="4">
        <f t="shared" si="303"/>
        <v>4.7969643162686655</v>
      </c>
      <c r="AB489" s="4">
        <f t="shared" si="304"/>
        <v>1.5816590762559568</v>
      </c>
      <c r="AC489" s="48" t="str">
        <f t="shared" si="305"/>
        <v>-0,00418119566379695+0,00459283643043521i</v>
      </c>
      <c r="AD489" s="20">
        <f t="shared" si="306"/>
        <v>-44.13676686451241</v>
      </c>
      <c r="AE489" s="44">
        <f t="shared" si="307"/>
        <v>132.31389209576764</v>
      </c>
      <c r="AF489" t="str">
        <f t="shared" si="293"/>
        <v>-0,0000125211169631323</v>
      </c>
      <c r="AG489" t="str">
        <f t="shared" si="294"/>
        <v>0,0155738742427818i</v>
      </c>
      <c r="AH489">
        <f t="shared" si="308"/>
        <v>1.55738742427818E-2</v>
      </c>
      <c r="AI489">
        <f t="shared" si="309"/>
        <v>1.5707963267948966</v>
      </c>
      <c r="AJ489" t="str">
        <f t="shared" si="295"/>
        <v>1+24,9247180039842i</v>
      </c>
      <c r="AK489">
        <f t="shared" si="310"/>
        <v>24.944770345267447</v>
      </c>
      <c r="AL489">
        <f t="shared" si="311"/>
        <v>1.530697018247982</v>
      </c>
      <c r="AM489" t="str">
        <f t="shared" si="296"/>
        <v>1+3650,33824585623i</v>
      </c>
      <c r="AN489">
        <f t="shared" si="312"/>
        <v>3650.3383828298352</v>
      </c>
      <c r="AO489">
        <f t="shared" si="313"/>
        <v>1.570522379585725</v>
      </c>
      <c r="AP489" s="42" t="str">
        <f t="shared" si="314"/>
        <v>-0,00468430257620893+0,117558902911556i</v>
      </c>
      <c r="AQ489">
        <f t="shared" si="315"/>
        <v>-18.587999520367656</v>
      </c>
      <c r="AR489" s="44">
        <f t="shared" si="316"/>
        <v>92.281825122236157</v>
      </c>
      <c r="AS489" s="42" t="str">
        <f t="shared" si="317"/>
        <v>-0,000520342826394633-0,000513051010617718i</v>
      </c>
      <c r="AT489" s="20">
        <f t="shared" si="318"/>
        <v>-62.724766384880077</v>
      </c>
      <c r="AU489" s="44">
        <f t="shared" si="319"/>
        <v>-135.40428278199622</v>
      </c>
    </row>
    <row r="490" spans="14:47" x14ac:dyDescent="0.3">
      <c r="N490" s="8">
        <v>72</v>
      </c>
      <c r="O490" s="35">
        <f t="shared" si="320"/>
        <v>524807.46024977288</v>
      </c>
      <c r="P490" s="34" t="str">
        <f t="shared" si="288"/>
        <v>324,571428571429</v>
      </c>
      <c r="Q490" s="4" t="str">
        <f t="shared" si="289"/>
        <v>1+75370,5719620482i</v>
      </c>
      <c r="R490" s="4">
        <f t="shared" si="297"/>
        <v>75370.571968682081</v>
      </c>
      <c r="S490" s="4">
        <f t="shared" si="298"/>
        <v>1.5707830590171166</v>
      </c>
      <c r="T490" s="4" t="str">
        <f t="shared" si="290"/>
        <v>1+0,659492504667922i</v>
      </c>
      <c r="U490" s="4">
        <f t="shared" si="299"/>
        <v>1.1978857890939223</v>
      </c>
      <c r="V490" s="4">
        <f t="shared" si="300"/>
        <v>0.5830194170350963</v>
      </c>
      <c r="W490" t="str">
        <f t="shared" si="291"/>
        <v>1-5,72476132524238i</v>
      </c>
      <c r="X490" s="4">
        <f t="shared" si="301"/>
        <v>5.8114449348669632</v>
      </c>
      <c r="Y490" s="4">
        <f t="shared" si="302"/>
        <v>-1.3978613901767323</v>
      </c>
      <c r="Z490" t="str">
        <f t="shared" si="292"/>
        <v>-0,10169148133527+4,90841036026281i</v>
      </c>
      <c r="AA490" s="4">
        <f t="shared" si="303"/>
        <v>4.9094636593126388</v>
      </c>
      <c r="AB490" s="4">
        <f t="shared" si="304"/>
        <v>1.5915111668406456</v>
      </c>
      <c r="AC490" s="48" t="str">
        <f t="shared" si="305"/>
        <v>-0,00409591193947376+0,0045287623991371i</v>
      </c>
      <c r="AD490" s="20">
        <f t="shared" si="306"/>
        <v>-44.284520676112791</v>
      </c>
      <c r="AE490" s="44">
        <f t="shared" si="307"/>
        <v>132.12688124863223</v>
      </c>
      <c r="AF490" t="str">
        <f t="shared" si="293"/>
        <v>-0,0000125211169631323</v>
      </c>
      <c r="AG490" t="str">
        <f t="shared" si="294"/>
        <v>0,0159366363753003i</v>
      </c>
      <c r="AH490">
        <f t="shared" si="308"/>
        <v>1.5936636375300298E-2</v>
      </c>
      <c r="AI490">
        <f t="shared" si="309"/>
        <v>1.5707963267948966</v>
      </c>
      <c r="AJ490" t="str">
        <f t="shared" si="295"/>
        <v>1+25,505289268051i</v>
      </c>
      <c r="AK490">
        <f t="shared" si="310"/>
        <v>25.524885516823726</v>
      </c>
      <c r="AL490">
        <f t="shared" si="311"/>
        <v>1.5316088449029288</v>
      </c>
      <c r="AM490" t="str">
        <f t="shared" si="296"/>
        <v>1+3735,36554643911i</v>
      </c>
      <c r="AN490">
        <f t="shared" si="312"/>
        <v>3735.3656802948158</v>
      </c>
      <c r="AO490">
        <f t="shared" si="313"/>
        <v>1.5705286153852158</v>
      </c>
      <c r="AP490" s="42" t="str">
        <f t="shared" si="314"/>
        <v>-0,00447379782565649+0,114891188956226i</v>
      </c>
      <c r="AQ490">
        <f t="shared" si="315"/>
        <v>-18.787685393720896</v>
      </c>
      <c r="AR490" s="44">
        <f t="shared" si="316"/>
        <v>92.229938588252892</v>
      </c>
      <c r="AS490" s="42" t="str">
        <f t="shared" si="317"/>
        <v>-0,000501990614608214-0,000490844959960316i</v>
      </c>
      <c r="AT490" s="20">
        <f t="shared" si="318"/>
        <v>-63.072206069833697</v>
      </c>
      <c r="AU490" s="44">
        <f t="shared" si="319"/>
        <v>-135.64318016311489</v>
      </c>
    </row>
    <row r="491" spans="14:47" x14ac:dyDescent="0.3">
      <c r="N491" s="8">
        <v>73</v>
      </c>
      <c r="O491" s="35">
        <f t="shared" si="320"/>
        <v>537031.7963702539</v>
      </c>
      <c r="P491" s="34" t="str">
        <f t="shared" si="288"/>
        <v>324,571428571429</v>
      </c>
      <c r="Q491" s="4" t="str">
        <f t="shared" si="289"/>
        <v>1+77126,1781129563i</v>
      </c>
      <c r="R491" s="4">
        <f t="shared" si="297"/>
        <v>77126.178119439181</v>
      </c>
      <c r="S491" s="4">
        <f t="shared" si="298"/>
        <v>1.5707833610286106</v>
      </c>
      <c r="T491" s="4" t="str">
        <f t="shared" si="290"/>
        <v>1+0,674854058488368i</v>
      </c>
      <c r="U491" s="4">
        <f t="shared" si="299"/>
        <v>1.2064112069515194</v>
      </c>
      <c r="V491" s="4">
        <f t="shared" si="300"/>
        <v>0.59364939954820295</v>
      </c>
      <c r="W491" t="str">
        <f t="shared" si="291"/>
        <v>1-5,85810814660042i</v>
      </c>
      <c r="X491" s="4">
        <f t="shared" si="301"/>
        <v>5.9428470497957644</v>
      </c>
      <c r="Y491" s="4">
        <f t="shared" si="302"/>
        <v>-1.4017224369844117</v>
      </c>
      <c r="Z491" t="str">
        <f t="shared" si="292"/>
        <v>-0,15361260125065+5,02274192489519i</v>
      </c>
      <c r="AA491" s="4">
        <f t="shared" si="303"/>
        <v>5.0250903748452949</v>
      </c>
      <c r="AB491" s="4">
        <f t="shared" si="304"/>
        <v>1.601370211895911</v>
      </c>
      <c r="AC491" s="48" t="str">
        <f t="shared" si="305"/>
        <v>-0,00401367824913177+0,00446550099329407i</v>
      </c>
      <c r="AD491" s="20">
        <f t="shared" si="306"/>
        <v>-44.430909697819239</v>
      </c>
      <c r="AE491" s="44">
        <f t="shared" si="307"/>
        <v>131.9498137206686</v>
      </c>
      <c r="AF491" t="str">
        <f t="shared" si="293"/>
        <v>-0,0000125211169631323</v>
      </c>
      <c r="AG491" t="str">
        <f t="shared" si="294"/>
        <v>0,0163078483233714i</v>
      </c>
      <c r="AH491">
        <f t="shared" si="308"/>
        <v>1.6307848323371399E-2</v>
      </c>
      <c r="AI491">
        <f t="shared" si="309"/>
        <v>1.5707963267948966</v>
      </c>
      <c r="AJ491" t="str">
        <f t="shared" si="295"/>
        <v>1+26,0993837740902i</v>
      </c>
      <c r="AK491">
        <f t="shared" si="310"/>
        <v>26.118534288647261</v>
      </c>
      <c r="AL491">
        <f t="shared" si="311"/>
        <v>1.5324999788520692</v>
      </c>
      <c r="AM491" t="str">
        <f t="shared" si="296"/>
        <v>1+3822,37338727812i</v>
      </c>
      <c r="AN491">
        <f t="shared" si="312"/>
        <v>3822.373518086898</v>
      </c>
      <c r="AO491">
        <f t="shared" si="313"/>
        <v>1.5705347092406008</v>
      </c>
      <c r="AP491" s="42" t="str">
        <f t="shared" si="314"/>
        <v>-0,00427273891846901+0,11228364979618i</v>
      </c>
      <c r="AQ491">
        <f t="shared" si="315"/>
        <v>-18.987385383888732</v>
      </c>
      <c r="AR491" s="44">
        <f t="shared" si="316"/>
        <v>92.179229526180819</v>
      </c>
      <c r="AS491" s="42" t="str">
        <f t="shared" si="317"/>
        <v>-0,000484253350434247-0,000469750362804566i</v>
      </c>
      <c r="AT491" s="20">
        <f t="shared" si="318"/>
        <v>-63.418295081707967</v>
      </c>
      <c r="AU491" s="44">
        <f t="shared" si="319"/>
        <v>-135.87095675315058</v>
      </c>
    </row>
    <row r="492" spans="14:47" x14ac:dyDescent="0.3">
      <c r="N492" s="8">
        <v>74</v>
      </c>
      <c r="O492" s="35">
        <f t="shared" si="320"/>
        <v>549540.87385762564</v>
      </c>
      <c r="P492" s="34" t="str">
        <f t="shared" si="288"/>
        <v>324,571428571429</v>
      </c>
      <c r="Q492" s="4" t="str">
        <f t="shared" si="289"/>
        <v>1+78922,6775843854i</v>
      </c>
      <c r="R492" s="4">
        <f t="shared" si="297"/>
        <v>78922.677590720719</v>
      </c>
      <c r="S492" s="4">
        <f t="shared" si="298"/>
        <v>1.5707836561654838</v>
      </c>
      <c r="T492" s="4" t="str">
        <f t="shared" si="290"/>
        <v>1+0,690573428863372i</v>
      </c>
      <c r="U492" s="4">
        <f t="shared" si="299"/>
        <v>1.2152743149808256</v>
      </c>
      <c r="V492" s="4">
        <f t="shared" si="300"/>
        <v>0.60437134975166118</v>
      </c>
      <c r="W492" t="str">
        <f t="shared" si="291"/>
        <v>1-5,99456101443899i</v>
      </c>
      <c r="X492" s="4">
        <f t="shared" si="301"/>
        <v>6.0773976137679036</v>
      </c>
      <c r="Y492" s="4">
        <f t="shared" si="302"/>
        <v>-1.405500520003808</v>
      </c>
      <c r="Z492" t="str">
        <f t="shared" si="292"/>
        <v>-0,20798068816081+5,13973661377999i</v>
      </c>
      <c r="AA492" s="4">
        <f t="shared" si="303"/>
        <v>5.1439428870933659</v>
      </c>
      <c r="AB492" s="4">
        <f t="shared" si="304"/>
        <v>1.6112395044970287</v>
      </c>
      <c r="AC492" s="48" t="str">
        <f t="shared" si="305"/>
        <v>-0,00393436384044609+0,00440310143374572i</v>
      </c>
      <c r="AD492" s="20">
        <f t="shared" si="306"/>
        <v>-44.575913837885537</v>
      </c>
      <c r="AE492" s="44">
        <f t="shared" si="307"/>
        <v>131.78218228089389</v>
      </c>
      <c r="AF492" t="str">
        <f t="shared" si="293"/>
        <v>-0,0000125211169631323</v>
      </c>
      <c r="AG492" t="str">
        <f t="shared" si="294"/>
        <v>0,0166877069084834i</v>
      </c>
      <c r="AH492">
        <f t="shared" si="308"/>
        <v>1.66877069084834E-2</v>
      </c>
      <c r="AI492">
        <f t="shared" si="309"/>
        <v>1.5707963267948966</v>
      </c>
      <c r="AJ492" t="str">
        <f t="shared" si="295"/>
        <v>1+26,7073165188725i</v>
      </c>
      <c r="AK492">
        <f t="shared" si="310"/>
        <v>26.726031423300391</v>
      </c>
      <c r="AL492">
        <f t="shared" si="311"/>
        <v>1.5333708869218521</v>
      </c>
      <c r="AM492" t="str">
        <f t="shared" si="296"/>
        <v>1+3911,40790108214i</v>
      </c>
      <c r="AN492">
        <f t="shared" si="312"/>
        <v>3911.4080289133472</v>
      </c>
      <c r="AO492">
        <f t="shared" si="313"/>
        <v>1.5705406643829207</v>
      </c>
      <c r="AP492" s="42" t="str">
        <f t="shared" si="314"/>
        <v>-0,00408070321791324+0,109734952263572i</v>
      </c>
      <c r="AQ492">
        <f t="shared" si="315"/>
        <v>-19.187098857373751</v>
      </c>
      <c r="AR492" s="44">
        <f t="shared" si="316"/>
        <v>92.129671373959738</v>
      </c>
      <c r="AS492" s="42" t="str">
        <f t="shared" si="317"/>
        <v>-0,000467119154459602-0,00044970497840836i</v>
      </c>
      <c r="AT492" s="20">
        <f t="shared" si="318"/>
        <v>-63.763012695259292</v>
      </c>
      <c r="AU492" s="44">
        <f t="shared" si="319"/>
        <v>-136.08814634514636</v>
      </c>
    </row>
    <row r="493" spans="14:47" x14ac:dyDescent="0.3">
      <c r="N493" s="8">
        <v>75</v>
      </c>
      <c r="O493" s="35">
        <f t="shared" si="320"/>
        <v>562341.32519035018</v>
      </c>
      <c r="P493" s="34" t="str">
        <f t="shared" si="288"/>
        <v>324,571428571429</v>
      </c>
      <c r="Q493" s="4" t="str">
        <f t="shared" si="289"/>
        <v>1+80761,0229041351i</v>
      </c>
      <c r="R493" s="4">
        <f t="shared" si="297"/>
        <v>80761.02291032621</v>
      </c>
      <c r="S493" s="4">
        <f t="shared" si="298"/>
        <v>1.5707839445842213</v>
      </c>
      <c r="T493" s="4" t="str">
        <f t="shared" si="290"/>
        <v>1+0,706658950411182i</v>
      </c>
      <c r="U493" s="4">
        <f t="shared" si="299"/>
        <v>1.2244863707678553</v>
      </c>
      <c r="V493" s="4">
        <f t="shared" si="300"/>
        <v>0.61518109178817149</v>
      </c>
      <c r="W493" t="str">
        <f t="shared" si="291"/>
        <v>1-6,13419227787484i</v>
      </c>
      <c r="X493" s="4">
        <f t="shared" si="301"/>
        <v>6.2151681314296985</v>
      </c>
      <c r="Y493" s="4">
        <f t="shared" si="302"/>
        <v>-1.4091972107833362</v>
      </c>
      <c r="Z493" t="str">
        <f t="shared" si="292"/>
        <v>-0,26491106406736+5,25945645904989i</v>
      </c>
      <c r="AA493" s="4">
        <f t="shared" si="303"/>
        <v>5.2661238227473257</v>
      </c>
      <c r="AB493" s="4">
        <f t="shared" si="304"/>
        <v>1.6211223217141877</v>
      </c>
      <c r="AC493" s="48" t="str">
        <f t="shared" si="305"/>
        <v>-0,00385784123951307+0,00434160778878329i</v>
      </c>
      <c r="AD493" s="20">
        <f t="shared" si="306"/>
        <v>-44.719515067468485</v>
      </c>
      <c r="AE493" s="44">
        <f t="shared" si="307"/>
        <v>131.62346985596031</v>
      </c>
      <c r="AF493" t="str">
        <f t="shared" si="293"/>
        <v>-0,0000125211169631323</v>
      </c>
      <c r="AG493" t="str">
        <f t="shared" si="294"/>
        <v>0,0170764135366862i</v>
      </c>
      <c r="AH493">
        <f t="shared" si="308"/>
        <v>1.7076413536686201E-2</v>
      </c>
      <c r="AI493">
        <f t="shared" si="309"/>
        <v>1.5707963267948966</v>
      </c>
      <c r="AJ493" t="str">
        <f t="shared" si="295"/>
        <v>1+27,3294098363863i</v>
      </c>
      <c r="AK493">
        <f t="shared" si="310"/>
        <v>27.34769902578951</v>
      </c>
      <c r="AL493">
        <f t="shared" si="311"/>
        <v>1.5342220255917112</v>
      </c>
      <c r="AM493" t="str">
        <f t="shared" si="296"/>
        <v>1+4002,51629512893i</v>
      </c>
      <c r="AN493">
        <f t="shared" si="312"/>
        <v>4002.5164200503436</v>
      </c>
      <c r="AO493">
        <f t="shared" si="313"/>
        <v>1.5705464839696694</v>
      </c>
      <c r="AP493" s="42" t="str">
        <f t="shared" si="314"/>
        <v>-0,00389728689009196+0,107243791108588i</v>
      </c>
      <c r="AQ493">
        <f t="shared" si="315"/>
        <v>-19.38682520902686</v>
      </c>
      <c r="AR493" s="44">
        <f t="shared" si="316"/>
        <v>92.081238158155628</v>
      </c>
      <c r="AS493" s="42" t="str">
        <f t="shared" si="317"/>
        <v>-0,000450575364688883-0,000430650011137582i</v>
      </c>
      <c r="AT493" s="20">
        <f t="shared" si="318"/>
        <v>-64.106340276495345</v>
      </c>
      <c r="AU493" s="44">
        <f t="shared" si="319"/>
        <v>-136.29529198588403</v>
      </c>
    </row>
    <row r="494" spans="14:47" x14ac:dyDescent="0.3">
      <c r="N494" s="8">
        <v>76</v>
      </c>
      <c r="O494" s="35">
        <f t="shared" si="320"/>
        <v>575439.93733715697</v>
      </c>
      <c r="P494" s="34" t="str">
        <f t="shared" si="288"/>
        <v>324,571428571429</v>
      </c>
      <c r="Q494" s="4" t="str">
        <f t="shared" si="289"/>
        <v>1+82642,1887872267i</v>
      </c>
      <c r="R494" s="4">
        <f t="shared" si="297"/>
        <v>82642.188793276888</v>
      </c>
      <c r="S494" s="4">
        <f t="shared" si="298"/>
        <v>1.570784226437747</v>
      </c>
      <c r="T494" s="4" t="str">
        <f t="shared" si="290"/>
        <v>1+0,723119151888234i</v>
      </c>
      <c r="U494" s="4">
        <f t="shared" si="299"/>
        <v>1.2340588753489676</v>
      </c>
      <c r="V494" s="4">
        <f t="shared" si="300"/>
        <v>0.62607425223402813</v>
      </c>
      <c r="W494" t="str">
        <f t="shared" si="291"/>
        <v>1-6,27707597125203i</v>
      </c>
      <c r="X494" s="4">
        <f t="shared" si="301"/>
        <v>6.3562318042114869</v>
      </c>
      <c r="Y494" s="4">
        <f t="shared" si="302"/>
        <v>-1.4128140650151424</v>
      </c>
      <c r="Z494" t="str">
        <f t="shared" si="292"/>
        <v>-0,32452448593037+5,38196493775149i</v>
      </c>
      <c r="AA494" s="4">
        <f t="shared" si="303"/>
        <v>5.3917402323512187</v>
      </c>
      <c r="AB494" s="4">
        <f t="shared" si="304"/>
        <v>1.6310219193932629</v>
      </c>
      <c r="AC494" s="48" t="str">
        <f t="shared" si="305"/>
        <v>-0,00378398625595203+0,00428105924145556i</v>
      </c>
      <c r="AD494" s="20">
        <f t="shared" si="306"/>
        <v>-44.861697547996123</v>
      </c>
      <c r="AE494" s="44">
        <f t="shared" si="307"/>
        <v>131.47315017756407</v>
      </c>
      <c r="AF494" t="str">
        <f t="shared" si="293"/>
        <v>-0,0000125211169631323</v>
      </c>
      <c r="AG494" t="str">
        <f t="shared" si="294"/>
        <v>0,0174741743053792i</v>
      </c>
      <c r="AH494">
        <f t="shared" si="308"/>
        <v>1.74741743053792E-2</v>
      </c>
      <c r="AI494">
        <f t="shared" si="309"/>
        <v>1.5707963267948966</v>
      </c>
      <c r="AJ494" t="str">
        <f t="shared" si="295"/>
        <v>1+27,9659935687427i</v>
      </c>
      <c r="AK494">
        <f t="shared" si="310"/>
        <v>27.983866714358079</v>
      </c>
      <c r="AL494">
        <f t="shared" si="311"/>
        <v>1.5350538412110486</v>
      </c>
      <c r="AM494" t="str">
        <f t="shared" si="296"/>
        <v>1+4095,74687629496i</v>
      </c>
      <c r="AN494">
        <f t="shared" si="312"/>
        <v>4095.7469983728147</v>
      </c>
      <c r="AO494">
        <f t="shared" si="313"/>
        <v>1.5705521710864672</v>
      </c>
      <c r="AP494" s="42" t="str">
        <f t="shared" si="314"/>
        <v>-0,00372210407685342+0,104808888524658i</v>
      </c>
      <c r="AQ494">
        <f t="shared" si="315"/>
        <v>-19.586563860785876</v>
      </c>
      <c r="AR494" s="44">
        <f t="shared" si="316"/>
        <v>92.033904481624646</v>
      </c>
      <c r="AS494" s="42" t="str">
        <f t="shared" si="317"/>
        <v>-0,000434608670135136-0,000412529941734787i</v>
      </c>
      <c r="AT494" s="20">
        <f t="shared" si="318"/>
        <v>-64.448261408782002</v>
      </c>
      <c r="AU494" s="44">
        <f t="shared" si="319"/>
        <v>-136.49294534081127</v>
      </c>
    </row>
    <row r="495" spans="14:47" x14ac:dyDescent="0.3">
      <c r="N495" s="8">
        <v>77</v>
      </c>
      <c r="O495" s="35">
        <f t="shared" si="320"/>
        <v>588843.65535558888</v>
      </c>
      <c r="P495" s="34" t="str">
        <f t="shared" si="288"/>
        <v>324,571428571429</v>
      </c>
      <c r="Q495" s="4" t="str">
        <f t="shared" si="289"/>
        <v>1+84567,1726527122i</v>
      </c>
      <c r="R495" s="4">
        <f t="shared" si="297"/>
        <v>84567.172658624651</v>
      </c>
      <c r="S495" s="4">
        <f t="shared" si="298"/>
        <v>1.5707845018755031</v>
      </c>
      <c r="T495" s="4" t="str">
        <f t="shared" si="290"/>
        <v>1+0,739962760711232i</v>
      </c>
      <c r="U495" s="4">
        <f t="shared" si="299"/>
        <v>1.2440035720364262</v>
      </c>
      <c r="V495" s="4">
        <f t="shared" si="300"/>
        <v>0.63704626624139327</v>
      </c>
      <c r="W495" t="str">
        <f t="shared" si="291"/>
        <v>1-6,42328785339611i</v>
      </c>
      <c r="X495" s="4">
        <f t="shared" si="301"/>
        <v>6.50066356978932</v>
      </c>
      <c r="Y495" s="4">
        <f t="shared" si="302"/>
        <v>-1.4163526216956159</v>
      </c>
      <c r="Z495" t="str">
        <f t="shared" si="292"/>
        <v>-0,38694740181013+5,50732700550182i</v>
      </c>
      <c r="AA495" s="4">
        <f t="shared" si="303"/>
        <v>5.5209038243114916</v>
      </c>
      <c r="AB495" s="4">
        <f t="shared" si="304"/>
        <v>1.640941526886357</v>
      </c>
      <c r="AC495" s="48" t="str">
        <f t="shared" si="305"/>
        <v>-0,00371267797871381+0,0042214903442106i</v>
      </c>
      <c r="AD495" s="20">
        <f t="shared" si="306"/>
        <v>-45.00244775602971</v>
      </c>
      <c r="AE495" s="44">
        <f t="shared" si="307"/>
        <v>131.33068848438413</v>
      </c>
      <c r="AF495" t="str">
        <f t="shared" si="293"/>
        <v>-0,0000125211169631323</v>
      </c>
      <c r="AG495" t="str">
        <f t="shared" si="294"/>
        <v>0,0178812001125869i</v>
      </c>
      <c r="AH495">
        <f t="shared" si="308"/>
        <v>1.7881200112586901E-2</v>
      </c>
      <c r="AI495">
        <f t="shared" si="309"/>
        <v>1.5707963267948966</v>
      </c>
      <c r="AJ495" t="str">
        <f t="shared" si="295"/>
        <v>1+28,6174052410631i</v>
      </c>
      <c r="AK495">
        <f t="shared" si="310"/>
        <v>28.634871795264353</v>
      </c>
      <c r="AL495">
        <f t="shared" si="311"/>
        <v>1.5358667702125062</v>
      </c>
      <c r="AM495" t="str">
        <f t="shared" si="296"/>
        <v>1+4191,14907666842i</v>
      </c>
      <c r="AN495">
        <f t="shared" si="312"/>
        <v>4191.149195967444</v>
      </c>
      <c r="AO495">
        <f t="shared" si="313"/>
        <v>1.5705577287486971</v>
      </c>
      <c r="AP495" s="42" t="str">
        <f t="shared" si="314"/>
        <v>-0,00355478610424944+0,102428993673899i</v>
      </c>
      <c r="AQ495">
        <f t="shared" si="315"/>
        <v>-19.786314260469762</v>
      </c>
      <c r="AR495" s="44">
        <f t="shared" si="316"/>
        <v>91.987645511387072</v>
      </c>
      <c r="AS495" s="42" t="str">
        <f t="shared" si="317"/>
        <v>-0,000419205231673288-0,000395292364409724i</v>
      </c>
      <c r="AT495" s="20">
        <f t="shared" si="318"/>
        <v>-64.788762016499476</v>
      </c>
      <c r="AU495" s="44">
        <f t="shared" si="319"/>
        <v>-136.68166600422879</v>
      </c>
    </row>
    <row r="496" spans="14:47" x14ac:dyDescent="0.3">
      <c r="N496" s="8">
        <v>78</v>
      </c>
      <c r="O496" s="35">
        <f t="shared" si="320"/>
        <v>602559.58607435878</v>
      </c>
      <c r="P496" s="34" t="str">
        <f t="shared" si="288"/>
        <v>324,571428571429</v>
      </c>
      <c r="Q496" s="4" t="str">
        <f t="shared" si="289"/>
        <v>1+86536,995152517i</v>
      </c>
      <c r="R496" s="4">
        <f t="shared" si="297"/>
        <v>86536.995158294885</v>
      </c>
      <c r="S496" s="4">
        <f t="shared" si="298"/>
        <v>1.5707847710435305</v>
      </c>
      <c r="T496" s="4" t="str">
        <f t="shared" si="290"/>
        <v>1+0,757198707584524i</v>
      </c>
      <c r="U496" s="4">
        <f t="shared" si="299"/>
        <v>1.2543324450749385</v>
      </c>
      <c r="V496" s="4">
        <f t="shared" si="300"/>
        <v>0.6480923846733514</v>
      </c>
      <c r="W496" t="str">
        <f t="shared" si="291"/>
        <v>1-6,57290544778233i</v>
      </c>
      <c r="X496" s="4">
        <f t="shared" si="301"/>
        <v>6.6485401424287591</v>
      </c>
      <c r="Y496" s="4">
        <f t="shared" si="302"/>
        <v>-1.4198144023719208</v>
      </c>
      <c r="Z496" t="str">
        <f t="shared" si="292"/>
        <v>-0,45231221908041+5,63560913092856i</v>
      </c>
      <c r="AA496" s="4">
        <f t="shared" si="303"/>
        <v>5.6537312122292134</v>
      </c>
      <c r="AB496" s="4">
        <f t="shared" si="304"/>
        <v>1.6508843417207586</v>
      </c>
      <c r="AC496" s="48" t="str">
        <f t="shared" si="305"/>
        <v>-0,00364379876379096+0,00416293126101784i</v>
      </c>
      <c r="AD496" s="20">
        <f t="shared" si="306"/>
        <v>-45.141754604781255</v>
      </c>
      <c r="AE496" s="44">
        <f t="shared" si="307"/>
        <v>131.19554227950161</v>
      </c>
      <c r="AF496" t="str">
        <f t="shared" si="293"/>
        <v>-0,0000125211169631323</v>
      </c>
      <c r="AG496" t="str">
        <f t="shared" si="294"/>
        <v>0,01829770676878i</v>
      </c>
      <c r="AH496">
        <f t="shared" si="308"/>
        <v>1.8297706768779998E-2</v>
      </c>
      <c r="AI496">
        <f t="shared" si="309"/>
        <v>1.5707963267948966</v>
      </c>
      <c r="AJ496" t="str">
        <f t="shared" si="295"/>
        <v>1+29,2839902404384i</v>
      </c>
      <c r="AK496">
        <f t="shared" si="310"/>
        <v>29.301059441632678</v>
      </c>
      <c r="AL496">
        <f t="shared" si="311"/>
        <v>1.5366612393215298</v>
      </c>
      <c r="AM496" t="str">
        <f t="shared" si="296"/>
        <v>1+4288,77347975874i</v>
      </c>
      <c r="AN496">
        <f t="shared" si="312"/>
        <v>4288.7735963421865</v>
      </c>
      <c r="AO496">
        <f t="shared" si="313"/>
        <v>1.570563159903104</v>
      </c>
      <c r="AP496" s="42" t="str">
        <f t="shared" si="314"/>
        <v>-0,00339498072508954+0,100102882213484i</v>
      </c>
      <c r="AQ496">
        <f t="shared" si="315"/>
        <v>-19.986075880625119</v>
      </c>
      <c r="AR496" s="44">
        <f t="shared" si="316"/>
        <v>91.942436966711895</v>
      </c>
      <c r="AS496" s="42" t="str">
        <f t="shared" si="317"/>
        <v>-0,000404350791115324-0,000378887829852433i</v>
      </c>
      <c r="AT496" s="20">
        <f t="shared" si="318"/>
        <v>-65.127830485406378</v>
      </c>
      <c r="AU496" s="44">
        <f t="shared" si="319"/>
        <v>-136.86202075378654</v>
      </c>
    </row>
    <row r="497" spans="14:47" x14ac:dyDescent="0.3">
      <c r="N497" s="8">
        <v>79</v>
      </c>
      <c r="O497" s="35">
        <f t="shared" si="320"/>
        <v>616595.00186148309</v>
      </c>
      <c r="P497" s="34" t="str">
        <f t="shared" si="288"/>
        <v>324,571428571429</v>
      </c>
      <c r="Q497" s="4" t="str">
        <f t="shared" si="289"/>
        <v>1+88552,7007126043i</v>
      </c>
      <c r="R497" s="4">
        <f t="shared" si="297"/>
        <v>88552.700718250664</v>
      </c>
      <c r="S497" s="4">
        <f t="shared" si="298"/>
        <v>1.5707850340845455</v>
      </c>
      <c r="T497" s="4" t="str">
        <f t="shared" si="290"/>
        <v>1+0,774836131235288i</v>
      </c>
      <c r="U497" s="4">
        <f t="shared" si="299"/>
        <v>1.2650577181566336</v>
      </c>
      <c r="V497" s="4">
        <f t="shared" si="300"/>
        <v>0.6592076822230567</v>
      </c>
      <c r="W497" t="str">
        <f t="shared" si="291"/>
        <v>1-6,72600808363965i</v>
      </c>
      <c r="X497" s="4">
        <f t="shared" si="301"/>
        <v>6.799940054234737</v>
      </c>
      <c r="Y497" s="4">
        <f t="shared" si="302"/>
        <v>-1.4232009104694558</v>
      </c>
      <c r="Z497" t="str">
        <f t="shared" si="292"/>
        <v>-0,52075758528225+5,76687933091263i</v>
      </c>
      <c r="AA497" s="4">
        <f t="shared" si="303"/>
        <v>5.7903441762935222</v>
      </c>
      <c r="AB497" s="4">
        <f t="shared" si="304"/>
        <v>1.6608535241956479</v>
      </c>
      <c r="AC497" s="48" t="str">
        <f t="shared" si="305"/>
        <v>-0,00357723421495721+0,00410540799717807i</v>
      </c>
      <c r="AD497" s="20">
        <f t="shared" si="306"/>
        <v>-45.279609561427762</v>
      </c>
      <c r="AE497" s="44">
        <f t="shared" si="307"/>
        <v>131.06716214370914</v>
      </c>
      <c r="AF497" t="str">
        <f t="shared" si="293"/>
        <v>-0,0000125211169631323</v>
      </c>
      <c r="AG497" t="str">
        <f t="shared" si="294"/>
        <v>0,0187239151113007i</v>
      </c>
      <c r="AH497">
        <f t="shared" si="308"/>
        <v>1.8723915111300699E-2</v>
      </c>
      <c r="AI497">
        <f t="shared" si="309"/>
        <v>1.5707963267948966</v>
      </c>
      <c r="AJ497" t="str">
        <f t="shared" si="295"/>
        <v>1+29,9661019990586i</v>
      </c>
      <c r="AK497">
        <f t="shared" si="310"/>
        <v>29.982782876477359</v>
      </c>
      <c r="AL497">
        <f t="shared" si="311"/>
        <v>1.5374376657622337</v>
      </c>
      <c r="AM497" t="str">
        <f t="shared" si="296"/>
        <v>1+4388,67184731667i</v>
      </c>
      <c r="AN497">
        <f t="shared" si="312"/>
        <v>4388.671961246353</v>
      </c>
      <c r="AO497">
        <f t="shared" si="313"/>
        <v>1.5705684674293565</v>
      </c>
      <c r="AP497" s="42" t="str">
        <f t="shared" si="314"/>
        <v>-0,00324235139418879+0,0978293558235375i</v>
      </c>
      <c r="AQ497">
        <f t="shared" si="315"/>
        <v>-20.185848217424702</v>
      </c>
      <c r="AR497" s="44">
        <f t="shared" si="316"/>
        <v>91.898255107411131</v>
      </c>
      <c r="AS497" s="42" t="str">
        <f t="shared" si="317"/>
        <v>-0,000390030769412523-0,000363269694222546i</v>
      </c>
      <c r="AT497" s="20">
        <f t="shared" si="318"/>
        <v>-65.465457778852468</v>
      </c>
      <c r="AU497" s="44">
        <f t="shared" si="319"/>
        <v>-137.0345827488797</v>
      </c>
    </row>
    <row r="498" spans="14:47" x14ac:dyDescent="0.3">
      <c r="N498" s="8">
        <v>80</v>
      </c>
      <c r="O498" s="35">
        <f t="shared" si="320"/>
        <v>630957.34448019415</v>
      </c>
      <c r="P498" s="34" t="str">
        <f t="shared" si="288"/>
        <v>324,571428571429</v>
      </c>
      <c r="Q498" s="4" t="str">
        <f t="shared" si="289"/>
        <v>1+90615,3580867429i</v>
      </c>
      <c r="R498" s="4">
        <f t="shared" si="297"/>
        <v>90615.358092260722</v>
      </c>
      <c r="S498" s="4">
        <f t="shared" si="298"/>
        <v>1.570785291138016</v>
      </c>
      <c r="T498" s="4" t="str">
        <f t="shared" si="290"/>
        <v>1+0,792884383259i</v>
      </c>
      <c r="U498" s="4">
        <f t="shared" si="299"/>
        <v>1.2761918528246468</v>
      </c>
      <c r="V498" s="4">
        <f t="shared" si="300"/>
        <v>0.67038706649917934</v>
      </c>
      <c r="W498" t="str">
        <f t="shared" si="291"/>
        <v>1-6,88267693801215i</v>
      </c>
      <c r="X498" s="4">
        <f t="shared" si="301"/>
        <v>6.9549436973310073</v>
      </c>
      <c r="Y498" s="4">
        <f t="shared" si="302"/>
        <v>-1.4265136306953312</v>
      </c>
      <c r="Z498" t="str">
        <f t="shared" si="292"/>
        <v>-0,59242868221399+5,90120720665161i</v>
      </c>
      <c r="AA498" s="4">
        <f t="shared" si="303"/>
        <v>5.93086993950691</v>
      </c>
      <c r="AB498" s="4">
        <f t="shared" si="304"/>
        <v>1.6708521918965979</v>
      </c>
      <c r="AC498" s="48" t="str">
        <f t="shared" si="305"/>
        <v>-0,00351287315859907+0,00404894261708883i</v>
      </c>
      <c r="AD498" s="20">
        <f t="shared" si="306"/>
        <v>-45.416006759344057</v>
      </c>
      <c r="AE498" s="44">
        <f t="shared" si="307"/>
        <v>130.94499260453847</v>
      </c>
      <c r="AF498" t="str">
        <f t="shared" si="293"/>
        <v>-0,0000125211169631323</v>
      </c>
      <c r="AG498" t="str">
        <f t="shared" si="294"/>
        <v>0,0191600511214538i</v>
      </c>
      <c r="AH498">
        <f t="shared" si="308"/>
        <v>1.9160051121453799E-2</v>
      </c>
      <c r="AI498">
        <f t="shared" si="309"/>
        <v>1.5707963267948966</v>
      </c>
      <c r="AJ498" t="str">
        <f t="shared" si="295"/>
        <v>1+30,6641021816069i</v>
      </c>
      <c r="AK498">
        <f t="shared" si="310"/>
        <v>30.680403559992964</v>
      </c>
      <c r="AL498">
        <f t="shared" si="311"/>
        <v>1.5381964574595788</v>
      </c>
      <c r="AM498" t="str">
        <f t="shared" si="296"/>
        <v>1+4490,89714677898i</v>
      </c>
      <c r="AN498">
        <f t="shared" si="312"/>
        <v>4490.8972581153075</v>
      </c>
      <c r="AO498">
        <f t="shared" si="313"/>
        <v>1.570573654141574</v>
      </c>
      <c r="AP498" s="42" t="str">
        <f t="shared" si="314"/>
        <v>-0,00309657657496036+0,0956072417371493i</v>
      </c>
      <c r="AQ498">
        <f t="shared" si="315"/>
        <v>-20.38563078961381</v>
      </c>
      <c r="AR498" s="44">
        <f t="shared" si="316"/>
        <v>91.855076722343284</v>
      </c>
      <c r="AS498" s="42" t="str">
        <f t="shared" si="317"/>
        <v>-0,000376230354838133-0,00034839397412756i</v>
      </c>
      <c r="AT498" s="20">
        <f t="shared" si="318"/>
        <v>-65.801637548957871</v>
      </c>
      <c r="AU498" s="44">
        <f t="shared" si="319"/>
        <v>-137.19993067311827</v>
      </c>
    </row>
    <row r="499" spans="14:47" x14ac:dyDescent="0.3">
      <c r="N499" s="8">
        <v>81</v>
      </c>
      <c r="O499" s="35">
        <f t="shared" si="320"/>
        <v>645654.22903465747</v>
      </c>
      <c r="P499" s="34" t="str">
        <f t="shared" si="288"/>
        <v>324,571428571429</v>
      </c>
      <c r="Q499" s="4" t="str">
        <f t="shared" si="289"/>
        <v>1+92726,0609231753i</v>
      </c>
      <c r="R499" s="4">
        <f t="shared" si="297"/>
        <v>92726.060928567531</v>
      </c>
      <c r="S499" s="4">
        <f t="shared" si="298"/>
        <v>1.5707855423402353</v>
      </c>
      <c r="T499" s="4" t="str">
        <f t="shared" si="290"/>
        <v>1+0,811353033077784i</v>
      </c>
      <c r="U499" s="4">
        <f t="shared" si="299"/>
        <v>1.2877475467980979</v>
      </c>
      <c r="V499" s="4">
        <f t="shared" si="300"/>
        <v>0.68162528805066391</v>
      </c>
      <c r="W499" t="str">
        <f t="shared" si="291"/>
        <v>1-7,04299507880021i</v>
      </c>
      <c r="X499" s="4">
        <f t="shared" si="301"/>
        <v>7.1136333669935494</v>
      </c>
      <c r="Y499" s="4">
        <f t="shared" si="302"/>
        <v>-1.4297540285131585</v>
      </c>
      <c r="Z499" t="str">
        <f t="shared" si="292"/>
        <v>-0,66747753388135+6,03866398056329i</v>
      </c>
      <c r="AA499" s="4">
        <f t="shared" si="303"/>
        <v>6.0754414595475126</v>
      </c>
      <c r="AB499" s="4">
        <f t="shared" si="304"/>
        <v>1.6808834141188003</v>
      </c>
      <c r="AC499" s="48" t="str">
        <f t="shared" si="305"/>
        <v>-0,0034506076136362+0,00399355345028197i</v>
      </c>
      <c r="AD499" s="20">
        <f t="shared" si="306"/>
        <v>-45.550943104374319</v>
      </c>
      <c r="AE499" s="44">
        <f t="shared" si="307"/>
        <v>130.82847306024959</v>
      </c>
      <c r="AF499" t="str">
        <f t="shared" si="293"/>
        <v>-0,0000125211169631323</v>
      </c>
      <c r="AG499" t="str">
        <f t="shared" si="294"/>
        <v>0,0196063460443247i</v>
      </c>
      <c r="AH499">
        <f t="shared" si="308"/>
        <v>1.96063460443247E-2</v>
      </c>
      <c r="AI499">
        <f t="shared" si="309"/>
        <v>1.5707963267948966</v>
      </c>
      <c r="AJ499" t="str">
        <f t="shared" si="295"/>
        <v>1+31,3783608770194i</v>
      </c>
      <c r="AK499">
        <f t="shared" si="310"/>
        <v>31.394291381212312</v>
      </c>
      <c r="AL499">
        <f t="shared" si="311"/>
        <v>1.5389380132378847</v>
      </c>
      <c r="AM499" t="str">
        <f t="shared" si="296"/>
        <v>1+4595,50357935257i</v>
      </c>
      <c r="AN499">
        <f t="shared" si="312"/>
        <v>4595.5036881545739</v>
      </c>
      <c r="AO499">
        <f t="shared" si="313"/>
        <v>1.5705787227898189</v>
      </c>
      <c r="AP499" s="42" t="str">
        <f t="shared" si="314"/>
        <v>-0,0029573490760529+0,0934353922730122i</v>
      </c>
      <c r="AQ499">
        <f t="shared" si="315"/>
        <v>-20.585423137503398</v>
      </c>
      <c r="AR499" s="44">
        <f t="shared" si="316"/>
        <v>91.812879118125096</v>
      </c>
      <c r="AS499" s="42" t="str">
        <f t="shared" si="317"/>
        <v>-0,000362934581952329-0,0003342192075667i</v>
      </c>
      <c r="AT499" s="20">
        <f t="shared" si="318"/>
        <v>-66.13636624187771</v>
      </c>
      <c r="AU499" s="44">
        <f t="shared" si="319"/>
        <v>-137.35864782162528</v>
      </c>
    </row>
    <row r="500" spans="14:47" x14ac:dyDescent="0.3">
      <c r="N500" s="8">
        <v>82</v>
      </c>
      <c r="O500" s="35">
        <f t="shared" si="320"/>
        <v>660693.44800759677</v>
      </c>
      <c r="P500" s="34" t="str">
        <f t="shared" si="288"/>
        <v>324,571428571429</v>
      </c>
      <c r="Q500" s="4" t="str">
        <f t="shared" si="289"/>
        <v>1+94885,9283444834i</v>
      </c>
      <c r="R500" s="4">
        <f t="shared" si="297"/>
        <v>94885.928349752881</v>
      </c>
      <c r="S500" s="4">
        <f t="shared" si="298"/>
        <v>1.5707857878243938</v>
      </c>
      <c r="T500" s="4" t="str">
        <f t="shared" si="290"/>
        <v>1+0,83025187301423i</v>
      </c>
      <c r="U500" s="4">
        <f t="shared" si="299"/>
        <v>1.2997377322535639</v>
      </c>
      <c r="V500" s="4">
        <f t="shared" si="300"/>
        <v>0.69291695129445097</v>
      </c>
      <c r="W500" t="str">
        <f t="shared" si="291"/>
        <v>1-7,20704750880408i</v>
      </c>
      <c r="X500" s="4">
        <f t="shared" si="301"/>
        <v>7.2760933057623083</v>
      </c>
      <c r="Y500" s="4">
        <f t="shared" si="302"/>
        <v>-1.4329235496846449</v>
      </c>
      <c r="Z500" t="str">
        <f t="shared" si="292"/>
        <v>-0,74606332896067+6,17932253404861i</v>
      </c>
      <c r="AA500" s="4">
        <f t="shared" si="303"/>
        <v>6.224197737108037</v>
      </c>
      <c r="AB500" s="4">
        <f t="shared" si="304"/>
        <v>1.6909502061909492</v>
      </c>
      <c r="AC500" s="48" t="str">
        <f t="shared" si="305"/>
        <v>-0,00339033275746486+0,00393925528609749i</v>
      </c>
      <c r="AD500" s="20">
        <f t="shared" si="306"/>
        <v>-45.684418374261796</v>
      </c>
      <c r="AE500" s="44">
        <f t="shared" si="307"/>
        <v>130.7170387574219</v>
      </c>
      <c r="AF500" t="str">
        <f t="shared" si="293"/>
        <v>-0,0000125211169631323</v>
      </c>
      <c r="AG500" t="str">
        <f t="shared" si="294"/>
        <v>0,0200630365113889i</v>
      </c>
      <c r="AH500">
        <f t="shared" si="308"/>
        <v>2.0063036511388899E-2</v>
      </c>
      <c r="AI500">
        <f t="shared" si="309"/>
        <v>1.5707963267948966</v>
      </c>
      <c r="AJ500" t="str">
        <f t="shared" si="295"/>
        <v>1+32,1092567947105i</v>
      </c>
      <c r="AK500">
        <f t="shared" si="310"/>
        <v>32.124824854132086</v>
      </c>
      <c r="AL500">
        <f t="shared" si="311"/>
        <v>1.5396627230156936</v>
      </c>
      <c r="AM500" t="str">
        <f t="shared" si="296"/>
        <v>1+4702,5466087526i</v>
      </c>
      <c r="AN500">
        <f t="shared" si="312"/>
        <v>4702.5467150779668</v>
      </c>
      <c r="AO500">
        <f t="shared" si="313"/>
        <v>1.5705836760615546</v>
      </c>
      <c r="AP500" s="42" t="str">
        <f t="shared" si="314"/>
        <v>-0,00282437541678216+0,0913126843711535i</v>
      </c>
      <c r="AQ500">
        <f t="shared" si="315"/>
        <v>-20.785224822007791</v>
      </c>
      <c r="AR500" s="44">
        <f t="shared" si="316"/>
        <v>91.771640108050022</v>
      </c>
      <c r="AS500" s="42" t="str">
        <f t="shared" si="317"/>
        <v>-0,000350128402101923-0,000320706320786054i</v>
      </c>
      <c r="AT500" s="20">
        <f t="shared" si="318"/>
        <v>-66.469643196269587</v>
      </c>
      <c r="AU500" s="44">
        <f t="shared" si="319"/>
        <v>-137.51132113452809</v>
      </c>
    </row>
    <row r="501" spans="14:47" x14ac:dyDescent="0.3">
      <c r="N501" s="8">
        <v>83</v>
      </c>
      <c r="O501" s="35">
        <f t="shared" si="320"/>
        <v>676082.97539198259</v>
      </c>
      <c r="P501" s="34" t="str">
        <f t="shared" si="288"/>
        <v>324,571428571429</v>
      </c>
      <c r="Q501" s="4" t="str">
        <f t="shared" si="289"/>
        <v>1+97096,1055409637i</v>
      </c>
      <c r="R501" s="4">
        <f t="shared" si="297"/>
        <v>97096.105546113235</v>
      </c>
      <c r="S501" s="4">
        <f t="shared" si="298"/>
        <v>1.5707860277206507</v>
      </c>
      <c r="T501" s="4" t="str">
        <f t="shared" si="290"/>
        <v>1+0,849590923483432i</v>
      </c>
      <c r="U501" s="4">
        <f t="shared" si="299"/>
        <v>1.3121755741002921</v>
      </c>
      <c r="V501" s="4">
        <f t="shared" si="300"/>
        <v>0.70425652630062774</v>
      </c>
      <c r="W501" t="str">
        <f t="shared" si="291"/>
        <v>1-7,37492121079368i</v>
      </c>
      <c r="X501" s="4">
        <f t="shared" si="301"/>
        <v>7.4424097485568828</v>
      </c>
      <c r="Y501" s="4">
        <f t="shared" si="302"/>
        <v>-1.4360236198736951</v>
      </c>
      <c r="Z501" t="str">
        <f t="shared" si="292"/>
        <v>-0,82835275845951+6,3232574461345i</v>
      </c>
      <c r="AA501" s="4">
        <f t="shared" si="303"/>
        <v>6.3772841415874577</v>
      </c>
      <c r="AB501" s="4">
        <f t="shared" si="304"/>
        <v>1.7010555236929086</v>
      </c>
      <c r="AC501" s="48" t="str">
        <f t="shared" si="305"/>
        <v>-0,00333194688879465+0,00388605955739797i</v>
      </c>
      <c r="AD501" s="20">
        <f t="shared" si="306"/>
        <v>-45.816435310371666</v>
      </c>
      <c r="AE501" s="44">
        <f t="shared" si="307"/>
        <v>130.61012182017592</v>
      </c>
      <c r="AF501" t="str">
        <f t="shared" si="293"/>
        <v>-0,0000125211169631323</v>
      </c>
      <c r="AG501" t="str">
        <f t="shared" si="294"/>
        <v>0,0205303646659772i</v>
      </c>
      <c r="AH501">
        <f t="shared" si="308"/>
        <v>2.0530364665977199E-2</v>
      </c>
      <c r="AI501">
        <f t="shared" si="309"/>
        <v>1.5707963267948966</v>
      </c>
      <c r="AJ501" t="str">
        <f t="shared" si="295"/>
        <v>1+32,8571774653704i</v>
      </c>
      <c r="AK501">
        <f t="shared" si="310"/>
        <v>32.872391318412546</v>
      </c>
      <c r="AL501">
        <f t="shared" si="311"/>
        <v>1.5403709679970155</v>
      </c>
      <c r="AM501" t="str">
        <f t="shared" si="296"/>
        <v>1+4812,08299061016i</v>
      </c>
      <c r="AN501">
        <f t="shared" si="312"/>
        <v>4812.0830945152657</v>
      </c>
      <c r="AO501">
        <f t="shared" si="313"/>
        <v>1.5705885165830702</v>
      </c>
      <c r="AP501" s="42" t="str">
        <f t="shared" si="314"/>
        <v>-0,00269737522015352+0,0892380191321855i</v>
      </c>
      <c r="AQ501">
        <f t="shared" si="315"/>
        <v>-20.985035423724998</v>
      </c>
      <c r="AR501" s="44">
        <f t="shared" si="316"/>
        <v>91.731338001212436</v>
      </c>
      <c r="AS501" s="42" t="str">
        <f t="shared" si="317"/>
        <v>-0,00033779674615919-0,000307818500963849i</v>
      </c>
      <c r="AT501" s="20">
        <f t="shared" si="318"/>
        <v>-66.801470734096668</v>
      </c>
      <c r="AU501" s="44">
        <f t="shared" si="319"/>
        <v>-137.65854017861167</v>
      </c>
    </row>
    <row r="502" spans="14:47" x14ac:dyDescent="0.3">
      <c r="N502" s="8">
        <v>84</v>
      </c>
      <c r="O502" s="35">
        <f t="shared" si="320"/>
        <v>691830.97091893724</v>
      </c>
      <c r="P502" s="34" t="str">
        <f t="shared" si="288"/>
        <v>324,571428571429</v>
      </c>
      <c r="Q502" s="4" t="str">
        <f t="shared" si="289"/>
        <v>1+99357,7643778206i</v>
      </c>
      <c r="R502" s="4">
        <f t="shared" si="297"/>
        <v>99357.764382852911</v>
      </c>
      <c r="S502" s="4">
        <f t="shared" si="298"/>
        <v>1.5707862621562021</v>
      </c>
      <c r="T502" s="4" t="str">
        <f t="shared" si="290"/>
        <v>1+0,86938043830593i</v>
      </c>
      <c r="U502" s="4">
        <f t="shared" si="299"/>
        <v>1.3250744682881075</v>
      </c>
      <c r="V502" s="4">
        <f t="shared" si="300"/>
        <v>0.71563836138035886</v>
      </c>
      <c r="W502" t="str">
        <f t="shared" si="291"/>
        <v>1-7,54670519362787i</v>
      </c>
      <c r="X502" s="4">
        <f t="shared" si="301"/>
        <v>7.6126709688209875</v>
      </c>
      <c r="Y502" s="4">
        <f t="shared" si="302"/>
        <v>-1.4390556443089024</v>
      </c>
      <c r="Z502" t="str">
        <f t="shared" si="292"/>
        <v>-0,91452036929056+6,47054503301653i</v>
      </c>
      <c r="AA502" s="4">
        <f t="shared" si="303"/>
        <v>6.5348527550467601</v>
      </c>
      <c r="AB502" s="4">
        <f t="shared" si="304"/>
        <v>1.7112022565615133</v>
      </c>
      <c r="AC502" s="48" t="str">
        <f t="shared" si="305"/>
        <v>-0,00327535138818791+0,0038339745137641i</v>
      </c>
      <c r="AD502" s="20">
        <f t="shared" si="306"/>
        <v>-45.946999700863827</v>
      </c>
      <c r="AE502" s="44">
        <f t="shared" si="307"/>
        <v>130.50715232845513</v>
      </c>
      <c r="AF502" t="str">
        <f t="shared" si="293"/>
        <v>-0,0000125211169631323</v>
      </c>
      <c r="AG502" t="str">
        <f t="shared" si="294"/>
        <v>0,0210085782916628i</v>
      </c>
      <c r="AH502">
        <f t="shared" si="308"/>
        <v>2.1008578291662802E-2</v>
      </c>
      <c r="AI502">
        <f t="shared" si="309"/>
        <v>1.5707963267948966</v>
      </c>
      <c r="AJ502" t="str">
        <f t="shared" si="295"/>
        <v>1+33,6225194464387i</v>
      </c>
      <c r="AK502">
        <f t="shared" si="310"/>
        <v>33.637387144755294</v>
      </c>
      <c r="AL502">
        <f t="shared" si="311"/>
        <v>1.5410631208589813</v>
      </c>
      <c r="AM502" t="str">
        <f t="shared" si="296"/>
        <v>1+4924,17080256479i</v>
      </c>
      <c r="AN502">
        <f t="shared" si="312"/>
        <v>4924.1709041047279</v>
      </c>
      <c r="AO502">
        <f t="shared" si="313"/>
        <v>1.5705932469208737</v>
      </c>
      <c r="AP502" s="42" t="str">
        <f t="shared" si="314"/>
        <v>-0,00257608063231836+0,0872103213604586i</v>
      </c>
      <c r="AQ502">
        <f t="shared" si="315"/>
        <v>-21.184854542057536</v>
      </c>
      <c r="AR502" s="44">
        <f t="shared" si="316"/>
        <v>91.691951591835689</v>
      </c>
      <c r="AS502" s="42" t="str">
        <f t="shared" si="317"/>
        <v>-0,000325924580158027-0,000295521074622002i</v>
      </c>
      <c r="AT502" s="20">
        <f t="shared" si="318"/>
        <v>-67.131854242921364</v>
      </c>
      <c r="AU502" s="44">
        <f t="shared" si="319"/>
        <v>-137.8008960797091</v>
      </c>
    </row>
    <row r="503" spans="14:47" x14ac:dyDescent="0.3">
      <c r="N503" s="8">
        <v>85</v>
      </c>
      <c r="O503" s="35">
        <f t="shared" si="320"/>
        <v>707945.78438413853</v>
      </c>
      <c r="P503" s="34" t="str">
        <f t="shared" si="288"/>
        <v>324,571428571429</v>
      </c>
      <c r="Q503" s="4" t="str">
        <f t="shared" si="289"/>
        <v>1+101672,104016506i</v>
      </c>
      <c r="R503" s="4">
        <f t="shared" si="297"/>
        <v>101672.10402142376</v>
      </c>
      <c r="S503" s="4">
        <f t="shared" si="298"/>
        <v>1.5707864912553489</v>
      </c>
      <c r="T503" s="4" t="str">
        <f t="shared" si="290"/>
        <v>1+0,88963091014443i</v>
      </c>
      <c r="U503" s="4">
        <f t="shared" si="299"/>
        <v>1.3384480401884888</v>
      </c>
      <c r="V503" s="4">
        <f t="shared" si="300"/>
        <v>0.72705669641334181</v>
      </c>
      <c r="W503" t="str">
        <f t="shared" si="291"/>
        <v>1-7,72249053944818i</v>
      </c>
      <c r="X503" s="4">
        <f t="shared" si="301"/>
        <v>7.786967325722296</v>
      </c>
      <c r="Y503" s="4">
        <f t="shared" si="302"/>
        <v>-1.4420210075005246</v>
      </c>
      <c r="Z503" t="str">
        <f t="shared" si="292"/>
        <v>-1,0047489345091+6,62126338852286i</v>
      </c>
      <c r="AA503" s="4">
        <f t="shared" si="303"/>
        <v>6.6970627353781298</v>
      </c>
      <c r="AB503" s="4">
        <f t="shared" si="304"/>
        <v>1.7213932230803735</v>
      </c>
      <c r="AC503" s="48" t="str">
        <f t="shared" si="305"/>
        <v>-0,00322045067705045+0,00378300538464419i</v>
      </c>
      <c r="AD503" s="20">
        <f t="shared" si="306"/>
        <v>-46.076120454505592</v>
      </c>
      <c r="AE503" s="44">
        <f t="shared" si="307"/>
        <v>130.4075594422041</v>
      </c>
      <c r="AF503" t="str">
        <f t="shared" si="293"/>
        <v>-0,0000125211169631323</v>
      </c>
      <c r="AG503" t="str">
        <f t="shared" si="294"/>
        <v>0,0214979309436401i</v>
      </c>
      <c r="AH503">
        <f t="shared" si="308"/>
        <v>2.1497930943640099E-2</v>
      </c>
      <c r="AI503">
        <f t="shared" si="309"/>
        <v>1.5707963267948966</v>
      </c>
      <c r="AJ503" t="str">
        <f t="shared" si="295"/>
        <v>1+34,4056885323641i</v>
      </c>
      <c r="AK503">
        <f t="shared" si="310"/>
        <v>34.420217945069005</v>
      </c>
      <c r="AL503">
        <f t="shared" si="311"/>
        <v>1.5417395459359342</v>
      </c>
      <c r="AM503" t="str">
        <f t="shared" si="296"/>
        <v>1+5038,86947505805i</v>
      </c>
      <c r="AN503">
        <f t="shared" si="312"/>
        <v>5038.8695742866566</v>
      </c>
      <c r="AO503">
        <f t="shared" si="313"/>
        <v>1.5705978695830516</v>
      </c>
      <c r="AP503" s="42" t="str">
        <f t="shared" si="314"/>
        <v>-0,00246023576735175+0,0852285391114557i</v>
      </c>
      <c r="AQ503">
        <f t="shared" si="315"/>
        <v>-21.384681794372575</v>
      </c>
      <c r="AR503" s="44">
        <f t="shared" si="316"/>
        <v>91.653460148802395</v>
      </c>
      <c r="AS503" s="42" t="str">
        <f t="shared" si="317"/>
        <v>-0,000314496954441323-0,000283781391640894i</v>
      </c>
      <c r="AT503" s="20">
        <f t="shared" si="318"/>
        <v>-67.460802248878181</v>
      </c>
      <c r="AU503" s="44">
        <f t="shared" si="319"/>
        <v>-137.9389804089935</v>
      </c>
    </row>
    <row r="504" spans="14:47" x14ac:dyDescent="0.3">
      <c r="N504" s="8">
        <v>86</v>
      </c>
      <c r="O504" s="35">
        <f t="shared" si="320"/>
        <v>724435.96007499192</v>
      </c>
      <c r="P504" s="34" t="str">
        <f t="shared" si="288"/>
        <v>324,571428571429</v>
      </c>
      <c r="Q504" s="4" t="str">
        <f t="shared" si="289"/>
        <v>1+104040,351550531i</v>
      </c>
      <c r="R504" s="4">
        <f t="shared" si="297"/>
        <v>104040.35155533683</v>
      </c>
      <c r="S504" s="4">
        <f t="shared" si="298"/>
        <v>1.5707867151395623</v>
      </c>
      <c r="T504" s="4" t="str">
        <f t="shared" si="290"/>
        <v>1+0,910353076067146i</v>
      </c>
      <c r="U504" s="4">
        <f t="shared" si="299"/>
        <v>1.3523101430903026</v>
      </c>
      <c r="V504" s="4">
        <f t="shared" si="300"/>
        <v>0.7385056768432976</v>
      </c>
      <c r="W504" t="str">
        <f t="shared" si="291"/>
        <v>1-7,90237045197175i</v>
      </c>
      <c r="X504" s="4">
        <f t="shared" si="301"/>
        <v>7.9653913124338214</v>
      </c>
      <c r="Y504" s="4">
        <f t="shared" si="302"/>
        <v>-1.4449210730082174</v>
      </c>
      <c r="Z504" t="str">
        <f t="shared" si="292"/>
        <v>-1,09922984099911+6,77549242552058i</v>
      </c>
      <c r="AA504" s="4">
        <f t="shared" si="303"/>
        <v>6.86408069967346</v>
      </c>
      <c r="AB504" s="4">
        <f t="shared" si="304"/>
        <v>1.7316311637510726</v>
      </c>
      <c r="AC504" s="48" t="str">
        <f t="shared" si="305"/>
        <v>-0,00316715217576335+0,00373315453295894i</v>
      </c>
      <c r="AD504" s="20">
        <f t="shared" si="306"/>
        <v>-46.203809664356243</v>
      </c>
      <c r="AE504" s="44">
        <f t="shared" si="307"/>
        <v>130.31077256770925</v>
      </c>
      <c r="AF504" t="str">
        <f t="shared" si="293"/>
        <v>-0,0000125211169631323</v>
      </c>
      <c r="AG504" t="str">
        <f t="shared" si="294"/>
        <v>0,0219986820831626i</v>
      </c>
      <c r="AH504">
        <f t="shared" si="308"/>
        <v>2.19986820831626E-2</v>
      </c>
      <c r="AI504">
        <f t="shared" si="309"/>
        <v>1.5707963267948966</v>
      </c>
      <c r="AJ504" t="str">
        <f t="shared" si="295"/>
        <v>1+35,2070999697626i</v>
      </c>
      <c r="AK504">
        <f t="shared" si="310"/>
        <v>35.221298787535616</v>
      </c>
      <c r="AL504">
        <f t="shared" si="311"/>
        <v>1.5424005993999956</v>
      </c>
      <c r="AM504" t="str">
        <f t="shared" si="296"/>
        <v>1+5156,23982284431i</v>
      </c>
      <c r="AN504">
        <f t="shared" si="312"/>
        <v>5156.2399198141975</v>
      </c>
      <c r="AO504">
        <f t="shared" si="313"/>
        <v>1.5706023870205998</v>
      </c>
      <c r="AP504" s="42" t="str">
        <f t="shared" si="314"/>
        <v>-0,00234959617628243+0,0832916432437417i</v>
      </c>
      <c r="AQ504">
        <f t="shared" si="315"/>
        <v>-21.584516815199024</v>
      </c>
      <c r="AR504" s="44">
        <f t="shared" si="316"/>
        <v>91.615843405384894</v>
      </c>
      <c r="AS504" s="42" t="str">
        <f t="shared" si="317"/>
        <v>-0,000303499046891095-0,000272568714738433i</v>
      </c>
      <c r="AT504" s="20">
        <f t="shared" si="318"/>
        <v>-67.788326479555266</v>
      </c>
      <c r="AU504" s="44">
        <f t="shared" si="319"/>
        <v>-138.07338402690584</v>
      </c>
    </row>
    <row r="505" spans="14:47" x14ac:dyDescent="0.3">
      <c r="N505" s="8">
        <v>87</v>
      </c>
      <c r="O505" s="35">
        <f t="shared" si="320"/>
        <v>741310.24130091805</v>
      </c>
      <c r="P505" s="34" t="str">
        <f t="shared" si="288"/>
        <v>324,571428571429</v>
      </c>
      <c r="Q505" s="4" t="str">
        <f t="shared" si="289"/>
        <v>1+106463,762656084i</v>
      </c>
      <c r="R505" s="4">
        <f t="shared" si="297"/>
        <v>106463.76266078043</v>
      </c>
      <c r="S505" s="4">
        <f t="shared" si="298"/>
        <v>1.5707869339275489</v>
      </c>
      <c r="T505" s="4" t="str">
        <f t="shared" si="290"/>
        <v>1+0,931557923240736i</v>
      </c>
      <c r="U505" s="4">
        <f t="shared" si="299"/>
        <v>1.3666748568524238</v>
      </c>
      <c r="V505" s="4">
        <f t="shared" si="300"/>
        <v>0.74997936826251321</v>
      </c>
      <c r="W505" t="str">
        <f t="shared" si="291"/>
        <v>1-8,08644030590917i</v>
      </c>
      <c r="X505" s="4">
        <f t="shared" si="301"/>
        <v>8.1480376055239443</v>
      </c>
      <c r="Y505" s="4">
        <f t="shared" si="302"/>
        <v>-1.4477571832559897</v>
      </c>
      <c r="Z505" t="str">
        <f t="shared" si="292"/>
        <v>-1,1981634954305+6,93331391828651i</v>
      </c>
      <c r="AA505" s="4">
        <f t="shared" si="303"/>
        <v>7.0360811288164991</v>
      </c>
      <c r="AB505" s="4">
        <f t="shared" si="304"/>
        <v>1.7419187350449437</v>
      </c>
      <c r="AC505" s="48" t="str">
        <f t="shared" si="305"/>
        <v>-0,00311536626158725+0,00368442159968804i</v>
      </c>
      <c r="AD505" s="20">
        <f t="shared" si="306"/>
        <v>-46.330082660607026</v>
      </c>
      <c r="AE505" s="44">
        <f t="shared" si="307"/>
        <v>130.21622256182775</v>
      </c>
      <c r="AF505" t="str">
        <f t="shared" si="293"/>
        <v>-0,0000125211169631323</v>
      </c>
      <c r="AG505" t="str">
        <f t="shared" si="294"/>
        <v>0,0225110972151124i</v>
      </c>
      <c r="AH505">
        <f t="shared" si="308"/>
        <v>2.2511097215112401E-2</v>
      </c>
      <c r="AI505">
        <f t="shared" si="309"/>
        <v>1.5707963267948966</v>
      </c>
      <c r="AJ505" t="str">
        <f t="shared" si="295"/>
        <v>1+36,0271786775859i</v>
      </c>
      <c r="AK505">
        <f t="shared" si="310"/>
        <v>36.041054416688482</v>
      </c>
      <c r="AL505">
        <f t="shared" si="311"/>
        <v>1.5430466294381406</v>
      </c>
      <c r="AM505" t="str">
        <f t="shared" si="296"/>
        <v>1+5276,34407723553i</v>
      </c>
      <c r="AN505">
        <f t="shared" si="312"/>
        <v>5276.3441719981129</v>
      </c>
      <c r="AO505">
        <f t="shared" si="313"/>
        <v>1.5706068016287231</v>
      </c>
      <c r="AP505" s="42" t="str">
        <f t="shared" si="314"/>
        <v>-0,00224392833934803+0,0813986269757402i</v>
      </c>
      <c r="AQ505">
        <f t="shared" si="315"/>
        <v>-21.784359255460114</v>
      </c>
      <c r="AR505" s="44">
        <f t="shared" si="316"/>
        <v>91.579081549174191</v>
      </c>
      <c r="AS505" s="42" t="str">
        <f t="shared" si="317"/>
        <v>-0,000292916200772542-0,000261854114261393i</v>
      </c>
      <c r="AT505" s="20">
        <f t="shared" si="318"/>
        <v>-68.114441916067136</v>
      </c>
      <c r="AU505" s="44">
        <f t="shared" si="319"/>
        <v>-138.204695888998</v>
      </c>
    </row>
    <row r="506" spans="14:47" x14ac:dyDescent="0.3">
      <c r="N506" s="8">
        <v>88</v>
      </c>
      <c r="O506" s="35">
        <f t="shared" si="320"/>
        <v>758577.57502918423</v>
      </c>
      <c r="P506" s="34" t="str">
        <f t="shared" si="288"/>
        <v>324,571428571429</v>
      </c>
      <c r="Q506" s="4" t="str">
        <f t="shared" si="289"/>
        <v>1+108943,622257812i</v>
      </c>
      <c r="R506" s="4">
        <f t="shared" si="297"/>
        <v>108943.62226240155</v>
      </c>
      <c r="S506" s="4">
        <f t="shared" si="298"/>
        <v>1.5707871477353128</v>
      </c>
      <c r="T506" s="4" t="str">
        <f t="shared" si="290"/>
        <v>1+0,953256694755858i</v>
      </c>
      <c r="U506" s="4">
        <f t="shared" si="299"/>
        <v>1.3815564867557399</v>
      </c>
      <c r="V506" s="4">
        <f t="shared" si="300"/>
        <v>0.76147177149968881</v>
      </c>
      <c r="W506" t="str">
        <f t="shared" si="291"/>
        <v>1-8,27479769753349i</v>
      </c>
      <c r="X506" s="4">
        <f t="shared" si="301"/>
        <v>8.3350031154826532</v>
      </c>
      <c r="Y506" s="4">
        <f t="shared" si="302"/>
        <v>-1.4505306593910299</v>
      </c>
      <c r="Z506" t="str">
        <f t="shared" si="292"/>
        <v>-1,30175974934864+7,09481154586521i</v>
      </c>
      <c r="AA506" s="4">
        <f t="shared" si="303"/>
        <v>7.2132467943615035</v>
      </c>
      <c r="AB506" s="4">
        <f t="shared" si="304"/>
        <v>1.7522585030364857</v>
      </c>
      <c r="AC506" s="48" t="str">
        <f t="shared" si="305"/>
        <v>-0,00306500622691271+0,00363680363998679i</v>
      </c>
      <c r="AD506" s="20">
        <f t="shared" si="306"/>
        <v>-46.454958051922041</v>
      </c>
      <c r="AE506" s="44">
        <f t="shared" si="307"/>
        <v>130.12334296931994</v>
      </c>
      <c r="AF506" t="str">
        <f t="shared" si="293"/>
        <v>-0,0000125211169631323</v>
      </c>
      <c r="AG506" t="str">
        <f t="shared" si="294"/>
        <v>0,0230354480287753i</v>
      </c>
      <c r="AH506">
        <f t="shared" si="308"/>
        <v>2.3035448028775302E-2</v>
      </c>
      <c r="AI506">
        <f t="shared" si="309"/>
        <v>1.5707963267948966</v>
      </c>
      <c r="AJ506" t="str">
        <f t="shared" si="295"/>
        <v>1+36,8663594724202i</v>
      </c>
      <c r="AK506">
        <f t="shared" si="310"/>
        <v>36.879919478622867</v>
      </c>
      <c r="AL506">
        <f t="shared" si="311"/>
        <v>1.5436779764258219</v>
      </c>
      <c r="AM506" t="str">
        <f t="shared" si="296"/>
        <v>1+5399,24591909718i</v>
      </c>
      <c r="AN506">
        <f t="shared" si="312"/>
        <v>5399.246011702704</v>
      </c>
      <c r="AO506">
        <f t="shared" si="313"/>
        <v>1.5706111157481042</v>
      </c>
      <c r="AP506" s="42" t="str">
        <f t="shared" si="314"/>
        <v>-0,00214300918048867+0,0795485054475734i</v>
      </c>
      <c r="AQ506">
        <f t="shared" si="315"/>
        <v>-21.984208781740875</v>
      </c>
      <c r="AR506" s="44">
        <f t="shared" si="316"/>
        <v>91.54315521220461</v>
      </c>
      <c r="AS506" s="42" t="str">
        <f t="shared" si="317"/>
        <v>-0,000282733957684715-0,000251610368126538i</v>
      </c>
      <c r="AT506" s="20">
        <f t="shared" si="318"/>
        <v>-68.439166833662924</v>
      </c>
      <c r="AU506" s="44">
        <f t="shared" si="319"/>
        <v>-138.33350181847553</v>
      </c>
    </row>
    <row r="507" spans="14:47" x14ac:dyDescent="0.3">
      <c r="N507" s="8">
        <v>89</v>
      </c>
      <c r="O507" s="35">
        <f t="shared" si="320"/>
        <v>776247.11662869214</v>
      </c>
      <c r="P507" s="34" t="str">
        <f t="shared" si="288"/>
        <v>324,571428571429</v>
      </c>
      <c r="Q507" s="4" t="str">
        <f t="shared" si="289"/>
        <v>1+111481,245210101i</v>
      </c>
      <c r="R507" s="4">
        <f t="shared" si="297"/>
        <v>111481.24521458604</v>
      </c>
      <c r="S507" s="4">
        <f t="shared" si="298"/>
        <v>1.570787356676218</v>
      </c>
      <c r="T507" s="4" t="str">
        <f t="shared" si="290"/>
        <v>1+0,975460895588384i</v>
      </c>
      <c r="U507" s="4">
        <f t="shared" si="299"/>
        <v>1.3969695625968708</v>
      </c>
      <c r="V507" s="4">
        <f t="shared" si="300"/>
        <v>0.77297683811946316</v>
      </c>
      <c r="W507" t="str">
        <f t="shared" si="291"/>
        <v>1-8,46754249642694i</v>
      </c>
      <c r="X507" s="4">
        <f t="shared" si="301"/>
        <v>8.5263870384117677</v>
      </c>
      <c r="Y507" s="4">
        <f t="shared" si="302"/>
        <v>-1.4532428011832175</v>
      </c>
      <c r="Z507" t="str">
        <f t="shared" si="292"/>
        <v>-1,41023834429744+7,26007093643646i</v>
      </c>
      <c r="AA507" s="4">
        <f t="shared" si="303"/>
        <v>7.3957692087987823</v>
      </c>
      <c r="AB507" s="4">
        <f t="shared" si="304"/>
        <v>1.7626529369214827</v>
      </c>
      <c r="AC507" s="48" t="str">
        <f t="shared" si="305"/>
        <v>-0,00301598823837515+0,00359029525140118i</v>
      </c>
      <c r="AD507" s="20">
        <f t="shared" si="306"/>
        <v>-46.578457754690803</v>
      </c>
      <c r="AE507" s="44">
        <f t="shared" si="307"/>
        <v>130.03157128804628</v>
      </c>
      <c r="AF507" t="str">
        <f t="shared" si="293"/>
        <v>-0,0000125211169631323</v>
      </c>
      <c r="AG507" t="str">
        <f t="shared" si="294"/>
        <v>0,0235720125418933i</v>
      </c>
      <c r="AH507">
        <f t="shared" si="308"/>
        <v>2.3572012541893301E-2</v>
      </c>
      <c r="AI507">
        <f t="shared" si="309"/>
        <v>1.5707963267948966</v>
      </c>
      <c r="AJ507" t="str">
        <f t="shared" si="295"/>
        <v>1+37,7250872990309i</v>
      </c>
      <c r="AK507">
        <f t="shared" si="310"/>
        <v>37.738338751454101</v>
      </c>
      <c r="AL507">
        <f t="shared" si="311"/>
        <v>1.5442949730971827</v>
      </c>
      <c r="AM507" t="str">
        <f t="shared" si="296"/>
        <v>1+5525,01051261261i</v>
      </c>
      <c r="AN507">
        <f t="shared" si="312"/>
        <v>5525.010603110175</v>
      </c>
      <c r="AO507">
        <f t="shared" si="313"/>
        <v>1.5706153316661458</v>
      </c>
      <c r="AP507" s="42" t="str">
        <f t="shared" si="314"/>
        <v>-0,00204662560313217+0,0777403152881958i</v>
      </c>
      <c r="AQ507">
        <f t="shared" si="315"/>
        <v>-22.184065075587142</v>
      </c>
      <c r="AR507" s="44">
        <f t="shared" si="316"/>
        <v>91.508045461272559</v>
      </c>
      <c r="AS507" s="42" t="str">
        <f t="shared" si="317"/>
        <v>-0,000272938086074236-0,000241811866741096i</v>
      </c>
      <c r="AT507" s="20">
        <f t="shared" si="318"/>
        <v>-68.762522830277945</v>
      </c>
      <c r="AU507" s="44">
        <f t="shared" si="319"/>
        <v>-138.46038325068113</v>
      </c>
    </row>
    <row r="508" spans="14:47" x14ac:dyDescent="0.3">
      <c r="N508" s="8">
        <v>90</v>
      </c>
      <c r="O508" s="35">
        <f t="shared" si="320"/>
        <v>794328.23472428333</v>
      </c>
      <c r="P508" s="34" t="str">
        <f t="shared" si="288"/>
        <v>324,571428571429</v>
      </c>
      <c r="Q508" s="4" t="str">
        <f t="shared" si="289"/>
        <v>1+114077,976994229i</v>
      </c>
      <c r="R508" s="4">
        <f t="shared" si="297"/>
        <v>114077.97699861196</v>
      </c>
      <c r="S508" s="4">
        <f t="shared" si="298"/>
        <v>1.5707875608610475</v>
      </c>
      <c r="T508" s="4" t="str">
        <f t="shared" si="290"/>
        <v>1+0,998182298699504i</v>
      </c>
      <c r="U508" s="4">
        <f t="shared" si="299"/>
        <v>1.4129288380654652</v>
      </c>
      <c r="V508" s="4">
        <f t="shared" si="300"/>
        <v>0.7844884862372169</v>
      </c>
      <c r="W508" t="str">
        <f t="shared" si="291"/>
        <v>1-8,66477689843319i</v>
      </c>
      <c r="X508" s="4">
        <f t="shared" si="301"/>
        <v>8.7222909089081355</v>
      </c>
      <c r="Y508" s="4">
        <f t="shared" si="302"/>
        <v>-1.4558948869623209</v>
      </c>
      <c r="Z508" t="str">
        <f t="shared" si="292"/>
        <v>-1,52382937792079+7,42917971271661i</v>
      </c>
      <c r="AA508" s="4">
        <f t="shared" si="303"/>
        <v>7.5838491003483526</v>
      </c>
      <c r="AB508" s="4">
        <f t="shared" si="304"/>
        <v>1.7731044024252063</v>
      </c>
      <c r="AC508" s="48" t="str">
        <f t="shared" si="305"/>
        <v>-0,00296823129729485+0,00354488869476564i</v>
      </c>
      <c r="AD508" s="20">
        <f t="shared" si="306"/>
        <v>-46.700607009682436</v>
      </c>
      <c r="AE508" s="44">
        <f t="shared" si="307"/>
        <v>129.94035025636495</v>
      </c>
      <c r="AF508" t="str">
        <f t="shared" si="293"/>
        <v>-0,0000125211169631323</v>
      </c>
      <c r="AG508" t="str">
        <f t="shared" si="294"/>
        <v>0,0241210752480735i</v>
      </c>
      <c r="AH508">
        <f t="shared" si="308"/>
        <v>2.4121075248073501E-2</v>
      </c>
      <c r="AI508">
        <f t="shared" si="309"/>
        <v>1.5707963267948966</v>
      </c>
      <c r="AJ508" t="str">
        <f t="shared" si="295"/>
        <v>1+38,603817466278i</v>
      </c>
      <c r="AK508">
        <f t="shared" si="310"/>
        <v>38.616767381148186</v>
      </c>
      <c r="AL508">
        <f t="shared" si="311"/>
        <v>1.5448979447118982</v>
      </c>
      <c r="AM508" t="str">
        <f t="shared" si="296"/>
        <v>1+5653,70453983399i</v>
      </c>
      <c r="AN508">
        <f t="shared" si="312"/>
        <v>5653.7046282715783</v>
      </c>
      <c r="AO508">
        <f t="shared" si="313"/>
        <v>1.5706194516181826</v>
      </c>
      <c r="AP508" s="42" t="str">
        <f t="shared" si="314"/>
        <v>-0,00195457404636146+0,0759731141879974i</v>
      </c>
      <c r="AQ508">
        <f t="shared" si="315"/>
        <v>-22.383927832836203</v>
      </c>
      <c r="AR508" s="44">
        <f t="shared" si="316"/>
        <v>91.473733788446694</v>
      </c>
      <c r="AS508" s="42" t="str">
        <f t="shared" si="317"/>
        <v>-0,000263514605733881-0,000232434522725798i</v>
      </c>
      <c r="AT508" s="20">
        <f t="shared" si="318"/>
        <v>-69.084534842518636</v>
      </c>
      <c r="AU508" s="44">
        <f t="shared" si="319"/>
        <v>-138.58591595518843</v>
      </c>
    </row>
    <row r="509" spans="14:47" x14ac:dyDescent="0.3">
      <c r="N509" s="8">
        <v>91</v>
      </c>
      <c r="O509" s="35">
        <f t="shared" si="320"/>
        <v>812830.51616410096</v>
      </c>
      <c r="P509" s="34" t="str">
        <f t="shared" si="288"/>
        <v>324,571428571429</v>
      </c>
      <c r="Q509" s="4" t="str">
        <f t="shared" si="289"/>
        <v>1+116735,19443176i</v>
      </c>
      <c r="R509" s="4">
        <f t="shared" si="297"/>
        <v>116735.1944360432</v>
      </c>
      <c r="S509" s="4">
        <f t="shared" si="298"/>
        <v>1.5707877603980629</v>
      </c>
      <c r="T509" s="4" t="str">
        <f t="shared" si="290"/>
        <v>1+1,0214329512779i</v>
      </c>
      <c r="U509" s="4">
        <f t="shared" si="299"/>
        <v>1.4294492904458977</v>
      </c>
      <c r="V509" s="4">
        <f t="shared" si="300"/>
        <v>0.79600061654894549</v>
      </c>
      <c r="W509" t="str">
        <f t="shared" si="291"/>
        <v>1-8,86660547984285i</v>
      </c>
      <c r="X509" s="4">
        <f t="shared" si="301"/>
        <v>8.9228186541686068</v>
      </c>
      <c r="Y509" s="4">
        <f t="shared" si="302"/>
        <v>-1.4584881735900308</v>
      </c>
      <c r="Z509" t="str">
        <f t="shared" si="292"/>
        <v>-1,6427737920304+7,60222753841725i</v>
      </c>
      <c r="AA509" s="4">
        <f t="shared" si="303"/>
        <v>7.7776969134604075</v>
      </c>
      <c r="AB509" s="4">
        <f t="shared" si="304"/>
        <v>1.7836151551082746</v>
      </c>
      <c r="AC509" s="48" t="str">
        <f t="shared" si="305"/>
        <v>-0,00292165720184879+0,00350057400838212i</v>
      </c>
      <c r="AD509" s="20">
        <f t="shared" si="306"/>
        <v>-46.821434385670706</v>
      </c>
      <c r="AE509" s="44">
        <f t="shared" si="307"/>
        <v>129.8491291567218</v>
      </c>
      <c r="AF509" t="str">
        <f t="shared" si="293"/>
        <v>-0,0000125211169631323</v>
      </c>
      <c r="AG509" t="str">
        <f t="shared" si="294"/>
        <v>0,0246829272676303i</v>
      </c>
      <c r="AH509">
        <f t="shared" si="308"/>
        <v>2.46829272676303E-2</v>
      </c>
      <c r="AI509">
        <f t="shared" si="309"/>
        <v>1.5707963267948966</v>
      </c>
      <c r="AJ509" t="str">
        <f t="shared" si="295"/>
        <v>1+39,5030158885277i</v>
      </c>
      <c r="AK509">
        <f t="shared" si="310"/>
        <v>39.515671122850385</v>
      </c>
      <c r="AL509">
        <f t="shared" si="311"/>
        <v>1.5454872092186935</v>
      </c>
      <c r="AM509" t="str">
        <f t="shared" si="296"/>
        <v>1+5785,396236038i</v>
      </c>
      <c r="AN509">
        <f t="shared" si="312"/>
        <v>5785.3963224625031</v>
      </c>
      <c r="AO509">
        <f t="shared" si="313"/>
        <v>1.5706234777886674</v>
      </c>
      <c r="AP509" s="42" t="str">
        <f t="shared" si="314"/>
        <v>-0,00186666006059113+0,0742459804770423i</v>
      </c>
      <c r="AQ509">
        <f t="shared" si="315"/>
        <v>-22.583796762977443</v>
      </c>
      <c r="AR509" s="44">
        <f t="shared" si="316"/>
        <v>91.440202101766843</v>
      </c>
      <c r="AS509" s="42" t="str">
        <f t="shared" si="317"/>
        <v>-0,000254449808675351-0,000223455685259666i</v>
      </c>
      <c r="AT509" s="20">
        <f t="shared" si="318"/>
        <v>-69.405231148648141</v>
      </c>
      <c r="AU509" s="44">
        <f t="shared" si="319"/>
        <v>-138.71066874151128</v>
      </c>
    </row>
    <row r="510" spans="14:47" x14ac:dyDescent="0.3">
      <c r="N510" s="8">
        <v>92</v>
      </c>
      <c r="O510" s="35">
        <f t="shared" si="320"/>
        <v>831763.77110267128</v>
      </c>
      <c r="P510" s="34" t="str">
        <f t="shared" si="288"/>
        <v>324,571428571429</v>
      </c>
      <c r="Q510" s="4" t="str">
        <f t="shared" si="289"/>
        <v>1+119454,306414551i</v>
      </c>
      <c r="R510" s="4">
        <f t="shared" si="297"/>
        <v>119454.3064187367</v>
      </c>
      <c r="S510" s="4">
        <f t="shared" si="298"/>
        <v>1.570787955393061</v>
      </c>
      <c r="T510" s="4" t="str">
        <f t="shared" si="290"/>
        <v>1+1,04522518112732i</v>
      </c>
      <c r="U510" s="4">
        <f t="shared" si="299"/>
        <v>1.4465461206828627</v>
      </c>
      <c r="V510" s="4">
        <f t="shared" si="300"/>
        <v>0.80750712847346962</v>
      </c>
      <c r="W510" t="str">
        <f t="shared" si="291"/>
        <v>1-9,0731352528413i</v>
      </c>
      <c r="X510" s="4">
        <f t="shared" si="301"/>
        <v>9.1280766493468697</v>
      </c>
      <c r="Y510" s="4">
        <f t="shared" si="302"/>
        <v>-1.4610238964641511</v>
      </c>
      <c r="Z510" t="str">
        <f t="shared" si="292"/>
        <v>-1,76732388367576+7,77930616578613i</v>
      </c>
      <c r="AA510" s="4">
        <f t="shared" si="303"/>
        <v>7.9775333362417777</v>
      </c>
      <c r="AB510" s="4">
        <f t="shared" si="304"/>
        <v>1.7941873335803771</v>
      </c>
      <c r="AC510" s="48" t="str">
        <f t="shared" si="305"/>
        <v>-0,00287619051132447+0,00345733911609141i</v>
      </c>
      <c r="AD510" s="20">
        <f t="shared" si="306"/>
        <v>-46.940971769686399</v>
      </c>
      <c r="AE510" s="44">
        <f t="shared" si="307"/>
        <v>129.75736512911118</v>
      </c>
      <c r="AF510" t="str">
        <f t="shared" si="293"/>
        <v>-0,0000125211169631323</v>
      </c>
      <c r="AG510" t="str">
        <f t="shared" si="294"/>
        <v>0,0252578665019416i</v>
      </c>
      <c r="AH510">
        <f t="shared" si="308"/>
        <v>2.52578665019416E-2</v>
      </c>
      <c r="AI510">
        <f t="shared" si="309"/>
        <v>1.5707963267948966</v>
      </c>
      <c r="AJ510" t="str">
        <f t="shared" si="295"/>
        <v>1+40,4231593326856i</v>
      </c>
      <c r="AK510">
        <f t="shared" si="310"/>
        <v>40.435526587837174</v>
      </c>
      <c r="AL510">
        <f t="shared" si="311"/>
        <v>1.5460630774155772</v>
      </c>
      <c r="AM510" t="str">
        <f t="shared" si="296"/>
        <v>1+5920,15542590513i</v>
      </c>
      <c r="AN510">
        <f t="shared" si="312"/>
        <v>5920.1555103623723</v>
      </c>
      <c r="AO510">
        <f t="shared" si="313"/>
        <v>1.5706274123123285</v>
      </c>
      <c r="AP510" s="42" t="str">
        <f t="shared" si="314"/>
        <v>-0,00178269790191656+0,0725580127090903i</v>
      </c>
      <c r="AQ510">
        <f t="shared" si="315"/>
        <v>-22.783671588540994</v>
      </c>
      <c r="AR510" s="44">
        <f t="shared" si="316"/>
        <v>91.407432716129776</v>
      </c>
      <c r="AS510" s="42" t="str">
        <f t="shared" si="317"/>
        <v>-0,000245730276734945-0,000214854058862916i</v>
      </c>
      <c r="AT510" s="20">
        <f t="shared" si="318"/>
        <v>-69.724643358227397</v>
      </c>
      <c r="AU510" s="44">
        <f t="shared" si="319"/>
        <v>-138.83520215475903</v>
      </c>
    </row>
    <row r="511" spans="14:47" x14ac:dyDescent="0.3">
      <c r="N511" s="8">
        <v>93</v>
      </c>
      <c r="O511" s="35">
        <f t="shared" si="320"/>
        <v>851138.03820237669</v>
      </c>
      <c r="P511" s="34" t="str">
        <f t="shared" si="288"/>
        <v>324,571428571429</v>
      </c>
      <c r="Q511" s="4" t="str">
        <f t="shared" si="289"/>
        <v>1+122236,754651768i</v>
      </c>
      <c r="R511" s="4">
        <f t="shared" si="297"/>
        <v>122236.75465585841</v>
      </c>
      <c r="S511" s="4">
        <f t="shared" si="298"/>
        <v>1.5707881459494313</v>
      </c>
      <c r="T511" s="4" t="str">
        <f t="shared" si="290"/>
        <v>1+1,06957160320297i</v>
      </c>
      <c r="U511" s="4">
        <f t="shared" si="299"/>
        <v>1.4642347538486347</v>
      </c>
      <c r="V511" s="4">
        <f t="shared" si="300"/>
        <v>0.81900193630290474</v>
      </c>
      <c r="W511" t="str">
        <f t="shared" si="291"/>
        <v>1-9,28447572224797i</v>
      </c>
      <c r="X511" s="4">
        <f t="shared" si="301"/>
        <v>9.338173774192251</v>
      </c>
      <c r="Y511" s="4">
        <f t="shared" si="302"/>
        <v>-1.4635032695524128</v>
      </c>
      <c r="Z511" t="str">
        <f t="shared" si="292"/>
        <v>-1,89774384029997+7,9605094842554i</v>
      </c>
      <c r="AA511" s="4">
        <f t="shared" si="303"/>
        <v>8.1835898560666305</v>
      </c>
      <c r="AB511" s="4">
        <f t="shared" si="304"/>
        <v>1.8048229526345962</v>
      </c>
      <c r="AC511" s="48" t="str">
        <f t="shared" si="305"/>
        <v>-0,00283175851275117+0,00341516992985567i</v>
      </c>
      <c r="AD511" s="20">
        <f t="shared" si="306"/>
        <v>-47.0592543436452</v>
      </c>
      <c r="AE511" s="44">
        <f t="shared" si="307"/>
        <v>129.66452448786458</v>
      </c>
      <c r="AF511" t="str">
        <f t="shared" si="293"/>
        <v>-0,0000125211169631323</v>
      </c>
      <c r="AG511" t="str">
        <f t="shared" si="294"/>
        <v>0,0258461977913997i</v>
      </c>
      <c r="AH511">
        <f t="shared" si="308"/>
        <v>2.5846197791399701E-2</v>
      </c>
      <c r="AI511">
        <f t="shared" si="309"/>
        <v>1.5707963267948966</v>
      </c>
      <c r="AJ511" t="str">
        <f t="shared" si="295"/>
        <v>1+41,3647356709855i</v>
      </c>
      <c r="AK511">
        <f t="shared" si="310"/>
        <v>41.376821496225404</v>
      </c>
      <c r="AL511">
        <f t="shared" si="311"/>
        <v>1.5466258531068404</v>
      </c>
      <c r="AM511" t="str">
        <f t="shared" si="296"/>
        <v>1+6058,0535605416i</v>
      </c>
      <c r="AN511">
        <f t="shared" si="312"/>
        <v>6058.0536430763595</v>
      </c>
      <c r="AO511">
        <f t="shared" si="313"/>
        <v>1.5706312572753021</v>
      </c>
      <c r="AP511" s="42" t="str">
        <f t="shared" si="314"/>
        <v>-0,00170251014433196+0,0709083292515159i</v>
      </c>
      <c r="AQ511">
        <f t="shared" si="315"/>
        <v>-22.983552044513885</v>
      </c>
      <c r="AR511" s="44">
        <f t="shared" si="316"/>
        <v>91.37540834435859</v>
      </c>
      <c r="AS511" s="42" t="str">
        <f t="shared" si="317"/>
        <v>-0,000237342896241825-0,00020660962643314i</v>
      </c>
      <c r="AT511" s="20">
        <f t="shared" si="318"/>
        <v>-70.042806388159079</v>
      </c>
      <c r="AU511" s="44">
        <f t="shared" si="319"/>
        <v>-138.96006716777677</v>
      </c>
    </row>
    <row r="512" spans="14:47" x14ac:dyDescent="0.3">
      <c r="N512" s="8">
        <v>94</v>
      </c>
      <c r="O512" s="35">
        <f t="shared" si="320"/>
        <v>870963.58995608077</v>
      </c>
      <c r="P512" s="34" t="str">
        <f t="shared" si="288"/>
        <v>324,571428571429</v>
      </c>
      <c r="Q512" s="4" t="str">
        <f t="shared" si="289"/>
        <v>1+125084,014434296i</v>
      </c>
      <c r="R512" s="4">
        <f t="shared" si="297"/>
        <v>125084.01443829332</v>
      </c>
      <c r="S512" s="4">
        <f t="shared" si="298"/>
        <v>1.570788332168209</v>
      </c>
      <c r="T512" s="4" t="str">
        <f t="shared" si="290"/>
        <v>1+1,09448512630009i</v>
      </c>
      <c r="U512" s="4">
        <f t="shared" si="299"/>
        <v>1.4825308400475601</v>
      </c>
      <c r="V512" s="4">
        <f t="shared" si="300"/>
        <v>0.83047898525715502</v>
      </c>
      <c r="W512" t="str">
        <f t="shared" si="291"/>
        <v>1-9,50073894357714i</v>
      </c>
      <c r="X512" s="4">
        <f t="shared" si="301"/>
        <v>9.5532214710014589</v>
      </c>
      <c r="Y512" s="4">
        <f t="shared" si="302"/>
        <v>-1.4659274854535256</v>
      </c>
      <c r="Z512" t="str">
        <f t="shared" si="292"/>
        <v>-2,03431030011674+8,14593357022303i</v>
      </c>
      <c r="AA512" s="4">
        <f t="shared" si="303"/>
        <v>8.3961093446695667</v>
      </c>
      <c r="AB512" s="4">
        <f t="shared" si="304"/>
        <v>1.8155238963178728</v>
      </c>
      <c r="AC512" s="48" t="str">
        <f t="shared" si="305"/>
        <v>-0,00278829119014799+0,00337405044747892i</v>
      </c>
      <c r="AD512" s="20">
        <f t="shared" si="306"/>
        <v>-47.17632054719143</v>
      </c>
      <c r="AE512" s="44">
        <f t="shared" si="307"/>
        <v>129.57008403503687</v>
      </c>
      <c r="AF512" t="str">
        <f t="shared" si="293"/>
        <v>-0,0000125211169631323</v>
      </c>
      <c r="AG512" t="str">
        <f t="shared" si="294"/>
        <v>0,0264482330770416i</v>
      </c>
      <c r="AH512">
        <f t="shared" si="308"/>
        <v>2.64482330770416E-2</v>
      </c>
      <c r="AI512">
        <f t="shared" si="309"/>
        <v>1.5707963267948966</v>
      </c>
      <c r="AJ512" t="str">
        <f t="shared" si="295"/>
        <v>1+42,3282441396652i</v>
      </c>
      <c r="AK512">
        <f t="shared" si="310"/>
        <v>42.340054935570187</v>
      </c>
      <c r="AL512">
        <f t="shared" si="311"/>
        <v>1.5471758332568639</v>
      </c>
      <c r="AM512" t="str">
        <f t="shared" si="296"/>
        <v>1+6199,16375536369i</v>
      </c>
      <c r="AN512">
        <f t="shared" si="312"/>
        <v>6199.1638360197303</v>
      </c>
      <c r="AO512">
        <f t="shared" si="313"/>
        <v>1.5706350147162376</v>
      </c>
      <c r="AP512" s="42" t="str">
        <f t="shared" si="314"/>
        <v>-0,00162592730904726+0,0692960678812283i</v>
      </c>
      <c r="AQ512">
        <f t="shared" si="315"/>
        <v>-23.183437877782183</v>
      </c>
      <c r="AR512" s="44">
        <f t="shared" si="316"/>
        <v>91.344112088453642</v>
      </c>
      <c r="AS512" s="42" t="str">
        <f t="shared" si="317"/>
        <v>-0,00022927487005155-0,000198703576349785i</v>
      </c>
      <c r="AT512" s="20">
        <f t="shared" si="318"/>
        <v>-70.35975842497362</v>
      </c>
      <c r="AU512" s="44">
        <f t="shared" si="319"/>
        <v>-139.08580387650943</v>
      </c>
    </row>
    <row r="513" spans="14:47" x14ac:dyDescent="0.3">
      <c r="N513" s="8">
        <v>95</v>
      </c>
      <c r="O513" s="35">
        <f t="shared" si="320"/>
        <v>891250.93813374708</v>
      </c>
      <c r="P513" s="34" t="str">
        <f t="shared" si="288"/>
        <v>324,571428571429</v>
      </c>
      <c r="Q513" s="4" t="str">
        <f t="shared" si="289"/>
        <v>1+127997,59541696i</v>
      </c>
      <c r="R513" s="4">
        <f t="shared" si="297"/>
        <v>127997.59542086632</v>
      </c>
      <c r="S513" s="4">
        <f t="shared" si="298"/>
        <v>1.5707885141481299</v>
      </c>
      <c r="T513" s="4" t="str">
        <f t="shared" si="290"/>
        <v>1+1,1199789598984i</v>
      </c>
      <c r="U513" s="4">
        <f t="shared" si="299"/>
        <v>1.5014502557910807</v>
      </c>
      <c r="V513" s="4">
        <f t="shared" si="300"/>
        <v>0.84193226733945747</v>
      </c>
      <c r="W513" t="str">
        <f t="shared" si="291"/>
        <v>1-9,72203958245136i</v>
      </c>
      <c r="X513" s="4">
        <f t="shared" si="301"/>
        <v>9.7733338039151736</v>
      </c>
      <c r="Y513" s="4">
        <f t="shared" si="302"/>
        <v>-1.4682977154832257</v>
      </c>
      <c r="Z513" t="str">
        <f t="shared" si="292"/>
        <v>-2,17731293889714+8,33567673799378i</v>
      </c>
      <c r="AA513" s="4">
        <f t="shared" si="303"/>
        <v>8.615346674059003</v>
      </c>
      <c r="AB513" s="4">
        <f t="shared" si="304"/>
        <v>1.8262919109559952</v>
      </c>
      <c r="AC513" s="48" t="str">
        <f t="shared" si="305"/>
        <v>-0,00274572119657273+0,00333396284609512i</v>
      </c>
      <c r="AD513" s="20">
        <f t="shared" si="306"/>
        <v>-47.292212026694173</v>
      </c>
      <c r="AE513" s="44">
        <f t="shared" si="307"/>
        <v>129.47353236356773</v>
      </c>
      <c r="AF513" t="str">
        <f t="shared" si="293"/>
        <v>-0,0000125211169631323</v>
      </c>
      <c r="AG513" t="str">
        <f t="shared" si="294"/>
        <v>0,0270642915659448i</v>
      </c>
      <c r="AH513">
        <f t="shared" si="308"/>
        <v>2.7064291565944799E-2</v>
      </c>
      <c r="AI513">
        <f t="shared" si="309"/>
        <v>1.5707963267948966</v>
      </c>
      <c r="AJ513" t="str">
        <f t="shared" si="295"/>
        <v>1+43,3141956036683i</v>
      </c>
      <c r="AK513">
        <f t="shared" si="310"/>
        <v>43.325737625490447</v>
      </c>
      <c r="AL513">
        <f t="shared" si="311"/>
        <v>1.5477133081407848</v>
      </c>
      <c r="AM513" t="str">
        <f t="shared" si="296"/>
        <v>1+6343,56082886451i</v>
      </c>
      <c r="AN513">
        <f t="shared" si="312"/>
        <v>6343.560907684594</v>
      </c>
      <c r="AO513">
        <f t="shared" si="313"/>
        <v>1.5706386866273796</v>
      </c>
      <c r="AP513" s="42" t="str">
        <f t="shared" si="314"/>
        <v>-0,00155278751016541+0,0677203853866772i</v>
      </c>
      <c r="AQ513">
        <f t="shared" si="315"/>
        <v>-23.383328846597834</v>
      </c>
      <c r="AR513" s="44">
        <f t="shared" si="316"/>
        <v>91.313527431021896</v>
      </c>
      <c r="AS513" s="42" t="str">
        <f t="shared" si="317"/>
        <v>-0,00022151372722199-0,000191118233463046i</v>
      </c>
      <c r="AT513" s="20">
        <f t="shared" si="318"/>
        <v>-70.675540873292007</v>
      </c>
      <c r="AU513" s="44">
        <f t="shared" si="319"/>
        <v>-139.21294020541032</v>
      </c>
    </row>
    <row r="514" spans="14:47" x14ac:dyDescent="0.3">
      <c r="N514" s="8">
        <v>96</v>
      </c>
      <c r="O514" s="35">
        <f t="shared" si="320"/>
        <v>912010.83935591124</v>
      </c>
      <c r="P514" s="34" t="str">
        <f t="shared" si="288"/>
        <v>324,571428571429</v>
      </c>
      <c r="Q514" s="4" t="str">
        <f t="shared" si="289"/>
        <v>1+130979,042418962i</v>
      </c>
      <c r="R514" s="4">
        <f t="shared" si="297"/>
        <v>130979.0424227794</v>
      </c>
      <c r="S514" s="4">
        <f t="shared" si="298"/>
        <v>1.5707886919856819</v>
      </c>
      <c r="T514" s="4" t="str">
        <f t="shared" si="290"/>
        <v>1+1,14606662116592i</v>
      </c>
      <c r="U514" s="4">
        <f t="shared" si="299"/>
        <v>1.5210091058736857</v>
      </c>
      <c r="V514" s="4">
        <f t="shared" si="300"/>
        <v>0.85335583689225447</v>
      </c>
      <c r="W514" t="str">
        <f t="shared" si="291"/>
        <v>1-9,94849497539858i</v>
      </c>
      <c r="X514" s="4">
        <f t="shared" si="301"/>
        <v>9.998627519591416</v>
      </c>
      <c r="Y514" s="4">
        <f t="shared" si="302"/>
        <v>-1.4706151097832068</v>
      </c>
      <c r="Z514" t="str">
        <f t="shared" si="292"/>
        <v>-2,3270550844107+8,52983959190673i</v>
      </c>
      <c r="AA514" s="4">
        <f t="shared" si="303"/>
        <v>8.8415693646287288</v>
      </c>
      <c r="AB514" s="4">
        <f t="shared" si="304"/>
        <v>1.8371285981544536</v>
      </c>
      <c r="AC514" s="48" t="str">
        <f t="shared" si="305"/>
        <v>-0,00270398382909934+0,00329488757205555i</v>
      </c>
      <c r="AD514" s="20">
        <f t="shared" si="306"/>
        <v>-47.406973570425734</v>
      </c>
      <c r="AE514" s="44">
        <f t="shared" si="307"/>
        <v>129.37437114334435</v>
      </c>
      <c r="AF514" t="str">
        <f t="shared" si="293"/>
        <v>-0,0000125211169631323</v>
      </c>
      <c r="AG514" t="str">
        <f t="shared" si="294"/>
        <v>0,0276946999004744i</v>
      </c>
      <c r="AH514">
        <f t="shared" si="308"/>
        <v>2.76946999004744E-2</v>
      </c>
      <c r="AI514">
        <f t="shared" si="309"/>
        <v>1.5707963267948966</v>
      </c>
      <c r="AJ514" t="str">
        <f t="shared" si="295"/>
        <v>1+44,3231128275116i</v>
      </c>
      <c r="AK514">
        <f t="shared" si="310"/>
        <v>44.334392188461585</v>
      </c>
      <c r="AL514">
        <f t="shared" si="311"/>
        <v>1.5482385614920662</v>
      </c>
      <c r="AM514" t="str">
        <f t="shared" si="296"/>
        <v>1+6491,32134228375i</v>
      </c>
      <c r="AN514">
        <f t="shared" si="312"/>
        <v>6491.3214193096692</v>
      </c>
      <c r="AO514">
        <f t="shared" si="313"/>
        <v>1.5706422749556239</v>
      </c>
      <c r="AP514" s="42" t="str">
        <f t="shared" si="314"/>
        <v>-0,00148293611601172+0,0661804571760077i</v>
      </c>
      <c r="AQ514">
        <f t="shared" si="315"/>
        <v>-23.583224720069616</v>
      </c>
      <c r="AR514" s="44">
        <f t="shared" si="316"/>
        <v>91.283638226882275</v>
      </c>
      <c r="AS514" s="42" t="str">
        <f t="shared" si="317"/>
        <v>-0,000214047330584899-0,000183836993785126i</v>
      </c>
      <c r="AT514" s="20">
        <f t="shared" si="318"/>
        <v>-70.990198290495357</v>
      </c>
      <c r="AU514" s="44">
        <f t="shared" si="319"/>
        <v>-139.34199062977328</v>
      </c>
    </row>
    <row r="515" spans="14:47" x14ac:dyDescent="0.3">
      <c r="N515" s="8">
        <v>97</v>
      </c>
      <c r="O515" s="35">
        <f t="shared" si="320"/>
        <v>933254.30079699249</v>
      </c>
      <c r="P515" s="34" t="str">
        <f t="shared" si="288"/>
        <v>324,571428571429</v>
      </c>
      <c r="Q515" s="4" t="str">
        <f t="shared" si="289"/>
        <v>1+134029,936242967i</v>
      </c>
      <c r="R515" s="4">
        <f t="shared" si="297"/>
        <v>134029.9362466975</v>
      </c>
      <c r="S515" s="4">
        <f t="shared" si="298"/>
        <v>1.5707888657751572</v>
      </c>
      <c r="T515" s="4" t="str">
        <f t="shared" si="290"/>
        <v>1+1,17276194212596i</v>
      </c>
      <c r="U515" s="4">
        <f t="shared" si="299"/>
        <v>1.5412237257773622</v>
      </c>
      <c r="V515" s="4">
        <f t="shared" si="300"/>
        <v>0.86474382575632658</v>
      </c>
      <c r="W515" t="str">
        <f t="shared" si="291"/>
        <v>1-10,1802251920657i</v>
      </c>
      <c r="X515" s="4">
        <f t="shared" si="301"/>
        <v>10.229222109289109</v>
      </c>
      <c r="Y515" s="4">
        <f t="shared" si="302"/>
        <v>-1.4728807974509552</v>
      </c>
      <c r="Z515" t="str">
        <f t="shared" si="292"/>
        <v>-2,48385435982434+8,72852507967709i</v>
      </c>
      <c r="AA515" s="4">
        <f t="shared" si="303"/>
        <v>9.0750582668856907</v>
      </c>
      <c r="AB515" s="4">
        <f t="shared" si="304"/>
        <v>1.8480354077995598</v>
      </c>
      <c r="AC515" s="48" t="str">
        <f t="shared" si="305"/>
        <v>-0,00266301700679467+0,00325680342784388i</v>
      </c>
      <c r="AD515" s="20">
        <f t="shared" si="306"/>
        <v>-47.520653030049274</v>
      </c>
      <c r="AE515" s="44">
        <f t="shared" si="307"/>
        <v>129.2721163833202</v>
      </c>
      <c r="AF515" t="str">
        <f t="shared" si="293"/>
        <v>-0,0000125211169631323</v>
      </c>
      <c r="AG515" t="str">
        <f t="shared" si="294"/>
        <v>0,0283397923314739i</v>
      </c>
      <c r="AH515">
        <f t="shared" si="308"/>
        <v>2.8339792331473899E-2</v>
      </c>
      <c r="AI515">
        <f t="shared" si="309"/>
        <v>1.5707963267948966</v>
      </c>
      <c r="AJ515" t="str">
        <f t="shared" si="295"/>
        <v>1+45,3555307524619i</v>
      </c>
      <c r="AK515">
        <f t="shared" si="310"/>
        <v>45.366553426919225</v>
      </c>
      <c r="AL515">
        <f t="shared" si="311"/>
        <v>1.5487518706470216</v>
      </c>
      <c r="AM515" t="str">
        <f t="shared" si="296"/>
        <v>1+6642,52364020146i</v>
      </c>
      <c r="AN515">
        <f t="shared" si="312"/>
        <v>6642.5237154740553</v>
      </c>
      <c r="AO515">
        <f t="shared" si="313"/>
        <v>1.5706457816035491</v>
      </c>
      <c r="AP515" s="42" t="str">
        <f t="shared" si="314"/>
        <v>-0,00141622542543711+0,0646754768914228i</v>
      </c>
      <c r="AQ515">
        <f t="shared" si="315"/>
        <v>-23.783125277676383</v>
      </c>
      <c r="AR515" s="44">
        <f t="shared" si="316"/>
        <v>91.254428694844236</v>
      </c>
      <c r="AS515" s="42" t="str">
        <f t="shared" si="317"/>
        <v>-0,000206863882444029-0,000176844262704578i</v>
      </c>
      <c r="AT515" s="20">
        <f t="shared" si="318"/>
        <v>-71.303778307725665</v>
      </c>
      <c r="AU515" s="44">
        <f t="shared" si="319"/>
        <v>-139.47345492183547</v>
      </c>
    </row>
    <row r="516" spans="14:47" x14ac:dyDescent="0.3">
      <c r="N516" s="8">
        <v>98</v>
      </c>
      <c r="O516" s="35">
        <f t="shared" si="320"/>
        <v>954992.58602143743</v>
      </c>
      <c r="P516" s="34" t="str">
        <f t="shared" si="288"/>
        <v>324,571428571429</v>
      </c>
      <c r="Q516" s="4" t="str">
        <f t="shared" si="289"/>
        <v>1+137151,894513265i</v>
      </c>
      <c r="R516" s="4">
        <f t="shared" si="297"/>
        <v>137151.8945169106</v>
      </c>
      <c r="S516" s="4">
        <f t="shared" si="298"/>
        <v>1.5707890356087009</v>
      </c>
      <c r="T516" s="4" t="str">
        <f t="shared" si="290"/>
        <v>1+1,20007907699107i</v>
      </c>
      <c r="U516" s="4">
        <f t="shared" si="299"/>
        <v>1.5621106846288897</v>
      </c>
      <c r="V516" s="4">
        <f t="shared" si="300"/>
        <v>0.87609045794074758</v>
      </c>
      <c r="W516" t="str">
        <f t="shared" si="291"/>
        <v>1-10,4173530988808i</v>
      </c>
      <c r="X516" s="4">
        <f t="shared" si="301"/>
        <v>10.465239872394777</v>
      </c>
      <c r="Y516" s="4">
        <f t="shared" si="302"/>
        <v>-1.4750958866886255</v>
      </c>
      <c r="Z516" t="str">
        <f t="shared" si="292"/>
        <v>-2,64804335742365+8,93183854698037i</v>
      </c>
      <c r="AA516" s="4">
        <f t="shared" si="303"/>
        <v>9.3161082782522389</v>
      </c>
      <c r="AB516" s="4">
        <f t="shared" si="304"/>
        <v>1.8590136310872634</v>
      </c>
      <c r="AC516" s="48" t="str">
        <f t="shared" si="305"/>
        <v>-0,00262276125170886+0,00321968765664271i</v>
      </c>
      <c r="AD516" s="20">
        <f t="shared" si="306"/>
        <v>-47.63330122863276</v>
      </c>
      <c r="AE516" s="44">
        <f t="shared" si="307"/>
        <v>129.1662996629284</v>
      </c>
      <c r="AF516" t="str">
        <f t="shared" si="293"/>
        <v>-0,0000125211169631323</v>
      </c>
      <c r="AG516" t="str">
        <f t="shared" si="294"/>
        <v>0,0289999108954891i</v>
      </c>
      <c r="AH516">
        <f t="shared" si="308"/>
        <v>2.89999108954891E-2</v>
      </c>
      <c r="AI516">
        <f t="shared" si="309"/>
        <v>1.5707963267948966</v>
      </c>
      <c r="AJ516" t="str">
        <f t="shared" si="295"/>
        <v>1+46,4119967801685i</v>
      </c>
      <c r="AK516">
        <f t="shared" si="310"/>
        <v>46.422768606820199</v>
      </c>
      <c r="AL516">
        <f t="shared" si="311"/>
        <v>1.5492535066863395</v>
      </c>
      <c r="AM516" t="str">
        <f t="shared" si="296"/>
        <v>1+6797,2478920774i</v>
      </c>
      <c r="AN516">
        <f t="shared" si="312"/>
        <v>6797.2479656365831</v>
      </c>
      <c r="AO516">
        <f t="shared" si="313"/>
        <v>1.5706492084304258</v>
      </c>
      <c r="AP516" s="42" t="str">
        <f t="shared" si="314"/>
        <v>-0,00135251435844455+0,0632046560297857i</v>
      </c>
      <c r="AQ516">
        <f t="shared" si="315"/>
        <v>-23.983030308802245</v>
      </c>
      <c r="AR516" s="44">
        <f t="shared" si="316"/>
        <v>91.225883409656831</v>
      </c>
      <c r="AS516" s="42" t="str">
        <f t="shared" si="317"/>
        <v>-0,000199951928609741-0,000170125396547825i</v>
      </c>
      <c r="AT516" s="20">
        <f t="shared" si="318"/>
        <v>-71.616331537435002</v>
      </c>
      <c r="AU516" s="44">
        <f t="shared" si="319"/>
        <v>-139.60781692741472</v>
      </c>
    </row>
    <row r="517" spans="14:47" x14ac:dyDescent="0.3">
      <c r="N517" s="8">
        <v>99</v>
      </c>
      <c r="O517" s="35">
        <f t="shared" si="320"/>
        <v>977237.22095581202</v>
      </c>
      <c r="P517" s="34" t="str">
        <f t="shared" si="288"/>
        <v>324,571428571429</v>
      </c>
      <c r="Q517" s="4" t="str">
        <f t="shared" si="289"/>
        <v>1+140346,572533453i</v>
      </c>
      <c r="R517" s="4">
        <f t="shared" si="297"/>
        <v>140346.5725370156</v>
      </c>
      <c r="S517" s="4">
        <f t="shared" si="298"/>
        <v>1.5707892015763614</v>
      </c>
      <c r="T517" s="4" t="str">
        <f t="shared" si="290"/>
        <v>1+1,22803250966771i</v>
      </c>
      <c r="U517" s="4">
        <f t="shared" si="299"/>
        <v>1.583686788730895</v>
      </c>
      <c r="V517" s="4">
        <f t="shared" si="300"/>
        <v>0.88739006371686935</v>
      </c>
      <c r="W517" t="str">
        <f t="shared" si="291"/>
        <v>1-10,6600044241989i</v>
      </c>
      <c r="X517" s="4">
        <f t="shared" si="301"/>
        <v>10.706805981427895</v>
      </c>
      <c r="Y517" s="4">
        <f t="shared" si="302"/>
        <v>-1.4772614649692197</v>
      </c>
      <c r="Z517" t="str">
        <f t="shared" si="292"/>
        <v>-2,81997034408576+9,13988779330813i</v>
      </c>
      <c r="AA517" s="4">
        <f t="shared" si="303"/>
        <v>9.5650290964422133</v>
      </c>
      <c r="AB517" s="4">
        <f t="shared" si="304"/>
        <v>1.8700643936102541</v>
      </c>
      <c r="AC517" s="48" t="str">
        <f t="shared" si="305"/>
        <v>-0,0025831596728358+0,00318351602516624i</v>
      </c>
      <c r="AD517" s="20">
        <f t="shared" si="306"/>
        <v>-47.744971855496004</v>
      </c>
      <c r="AE517" s="44">
        <f t="shared" si="307"/>
        <v>129.05646932616358</v>
      </c>
      <c r="AF517" t="str">
        <f t="shared" si="293"/>
        <v>-0,0000125211169631323</v>
      </c>
      <c r="AG517" t="str">
        <f t="shared" si="294"/>
        <v>0,0296754055961203i</v>
      </c>
      <c r="AH517">
        <f t="shared" si="308"/>
        <v>2.9675405596120301E-2</v>
      </c>
      <c r="AI517">
        <f t="shared" si="309"/>
        <v>1.5707963267948966</v>
      </c>
      <c r="AJ517" t="str">
        <f t="shared" si="295"/>
        <v>1+47,4930710629033i</v>
      </c>
      <c r="AK517">
        <f t="shared" si="310"/>
        <v>47.503597747812556</v>
      </c>
      <c r="AL517">
        <f t="shared" si="311"/>
        <v>1.5497437345736607</v>
      </c>
      <c r="AM517" t="str">
        <f t="shared" si="296"/>
        <v>1+6955,57613475793i</v>
      </c>
      <c r="AN517">
        <f t="shared" si="312"/>
        <v>6955.5762066427005</v>
      </c>
      <c r="AO517">
        <f t="shared" si="313"/>
        <v>1.5706525572532029</v>
      </c>
      <c r="AP517" s="42" t="str">
        <f t="shared" si="314"/>
        <v>-0,00129166816051548+0,0617672235694893i</v>
      </c>
      <c r="AQ517">
        <f t="shared" si="315"/>
        <v>-24.182939612292756</v>
      </c>
      <c r="AR517" s="44">
        <f t="shared" si="316"/>
        <v>91.19798729412517</v>
      </c>
      <c r="AS517" s="42" t="str">
        <f t="shared" si="317"/>
        <v>-0,000193300360960565-0,000163666647315936i</v>
      </c>
      <c r="AT517" s="20">
        <f t="shared" si="318"/>
        <v>-71.927911467788775</v>
      </c>
      <c r="AU517" s="44">
        <f t="shared" si="319"/>
        <v>-139.74554337971111</v>
      </c>
    </row>
    <row r="518" spans="14:47" x14ac:dyDescent="0.3">
      <c r="N518" s="8">
        <v>100</v>
      </c>
      <c r="O518" s="35">
        <f t="shared" si="320"/>
        <v>1000000</v>
      </c>
      <c r="P518" s="34" t="str">
        <f t="shared" si="288"/>
        <v>324,571428571429</v>
      </c>
      <c r="Q518" s="4" t="str">
        <f t="shared" si="289"/>
        <v>1+143615,664164105i</v>
      </c>
      <c r="R518" s="4">
        <f t="shared" si="297"/>
        <v>143615.66416758651</v>
      </c>
      <c r="S518" s="4">
        <f t="shared" si="298"/>
        <v>1.5707893637661365</v>
      </c>
      <c r="T518" s="4" t="str">
        <f t="shared" si="290"/>
        <v>1+1,25663706143592i</v>
      </c>
      <c r="U518" s="4">
        <f t="shared" si="299"/>
        <v>1.6059690856844984</v>
      </c>
      <c r="V518" s="4">
        <f t="shared" si="300"/>
        <v>0.89863709305634321</v>
      </c>
      <c r="W518" t="str">
        <f t="shared" si="291"/>
        <v>1-10,9083078249646i</v>
      </c>
      <c r="X518" s="4">
        <f t="shared" si="301"/>
        <v>10.954048548558836</v>
      </c>
      <c r="Y518" s="4">
        <f t="shared" si="302"/>
        <v>-1.4793785992184305</v>
      </c>
      <c r="Z518" t="str">
        <f t="shared" si="292"/>
        <v>-3,00000000000001+9,35278312912461i</v>
      </c>
      <c r="AA518" s="4">
        <f t="shared" si="303"/>
        <v>9.8221460109508634</v>
      </c>
      <c r="AB518" s="4">
        <f t="shared" si="304"/>
        <v>1.8811886485369791</v>
      </c>
      <c r="AC518" s="48" t="str">
        <f t="shared" si="305"/>
        <v>-0,00254415795294291+0,00314826290535971i</v>
      </c>
      <c r="AD518" s="20">
        <f t="shared" si="306"/>
        <v>-47.85572134828427</v>
      </c>
      <c r="AE518" s="44">
        <f t="shared" si="307"/>
        <v>128.94219163191423</v>
      </c>
      <c r="AF518" t="str">
        <f t="shared" si="293"/>
        <v>-0,0000125211169631323</v>
      </c>
      <c r="AG518" t="str">
        <f t="shared" si="294"/>
        <v>0,0303666345895989i</v>
      </c>
      <c r="AH518">
        <f t="shared" si="308"/>
        <v>3.0366634589598901E-2</v>
      </c>
      <c r="AI518">
        <f t="shared" si="309"/>
        <v>1.5707963267948966</v>
      </c>
      <c r="AJ518" t="str">
        <f t="shared" si="295"/>
        <v>1+48,5993268005608i</v>
      </c>
      <c r="AK518">
        <f t="shared" si="310"/>
        <v>48.609613920167142</v>
      </c>
      <c r="AL518">
        <f t="shared" si="311"/>
        <v>1.5502228132912541</v>
      </c>
      <c r="AM518" t="str">
        <f t="shared" si="296"/>
        <v>1+7117,59231597304i</v>
      </c>
      <c r="AN518">
        <f t="shared" si="312"/>
        <v>7117.5923862215141</v>
      </c>
      <c r="AO518">
        <f t="shared" si="313"/>
        <v>1.5706558298474702</v>
      </c>
      <c r="AP518" s="42" t="str">
        <f t="shared" si="314"/>
        <v>-0,00123355812003978+0,0603624256036119i</v>
      </c>
      <c r="AQ518">
        <f t="shared" si="315"/>
        <v>-24.382852996030252</v>
      </c>
      <c r="AR518" s="44">
        <f t="shared" si="316"/>
        <v>91.170725611392115</v>
      </c>
      <c r="AS518" s="42" t="str">
        <f t="shared" si="317"/>
        <v>-0,00018689841870387-0,00015745511042928i</v>
      </c>
      <c r="AT518" s="20">
        <f t="shared" si="318"/>
        <v>-72.238574344314529</v>
      </c>
      <c r="AU518" s="44">
        <f t="shared" si="319"/>
        <v>-139.8870827566937</v>
      </c>
    </row>
    <row r="519" spans="14:47" x14ac:dyDescent="0.3">
      <c r="N519" s="8">
        <v>1</v>
      </c>
      <c r="O519" s="35">
        <f>10^(6+(N519/100))</f>
        <v>1023292.9922807553</v>
      </c>
      <c r="P519" s="34" t="str">
        <f t="shared" si="288"/>
        <v>324,571428571429</v>
      </c>
      <c r="Q519" s="4" t="str">
        <f t="shared" si="289"/>
        <v>1+146960,902720875i</v>
      </c>
      <c r="R519" s="4">
        <f t="shared" si="297"/>
        <v>146960.90272427726</v>
      </c>
      <c r="S519" s="4">
        <f t="shared" si="298"/>
        <v>1.5707895222640216</v>
      </c>
      <c r="T519" s="4" t="str">
        <f t="shared" si="290"/>
        <v>1+1,28590789880766i</v>
      </c>
      <c r="U519" s="4">
        <f t="shared" si="299"/>
        <v>1.6289748691173633</v>
      </c>
      <c r="V519" s="4">
        <f t="shared" si="300"/>
        <v>0.90982612834030963</v>
      </c>
      <c r="W519" t="str">
        <f t="shared" si="291"/>
        <v>1-11,1623949549276i</v>
      </c>
      <c r="X519" s="4">
        <f t="shared" si="301"/>
        <v>11.207098693675947</v>
      </c>
      <c r="Y519" s="4">
        <f t="shared" si="302"/>
        <v>-1.4814483360106225</v>
      </c>
      <c r="Z519" t="str">
        <f t="shared" si="292"/>
        <v>-3,18851419220362+9,57063743435489i</v>
      </c>
      <c r="AA519" s="4">
        <f t="shared" si="303"/>
        <v>10.087800734241286</v>
      </c>
      <c r="AB519" s="4">
        <f t="shared" si="304"/>
        <v>1.892387169919294</v>
      </c>
      <c r="AC519" s="48" t="str">
        <f t="shared" si="305"/>
        <v>-0,00250570433811103+0,00311390135554902i</v>
      </c>
      <c r="AD519" s="20">
        <f t="shared" si="306"/>
        <v>-47.965608762742903</v>
      </c>
      <c r="AE519" s="44">
        <f t="shared" si="307"/>
        <v>128.82305185435942</v>
      </c>
      <c r="AF519" t="str">
        <f t="shared" si="293"/>
        <v>-0,0000125211169631323</v>
      </c>
      <c r="AG519" t="str">
        <f t="shared" si="294"/>
        <v>0,031073964374687i</v>
      </c>
      <c r="AH519">
        <f t="shared" si="308"/>
        <v>3.1073964374686999E-2</v>
      </c>
      <c r="AI519">
        <f t="shared" si="309"/>
        <v>1.5707963267948966</v>
      </c>
      <c r="AJ519" t="str">
        <f t="shared" si="295"/>
        <v>1+49,7313505445762i</v>
      </c>
      <c r="AK519">
        <f t="shared" si="310"/>
        <v>49.741403548628575</v>
      </c>
      <c r="AL519">
        <f t="shared" si="311"/>
        <v>1.550690995972841</v>
      </c>
      <c r="AM519" t="str">
        <f t="shared" si="296"/>
        <v>1+7283,38233884656i</v>
      </c>
      <c r="AN519">
        <f t="shared" si="312"/>
        <v>7283.382407495983</v>
      </c>
      <c r="AO519">
        <f t="shared" si="313"/>
        <v>1.5706590279484001</v>
      </c>
      <c r="AP519" s="42" t="str">
        <f t="shared" si="314"/>
        <v>-0,00117806129827672+0,0589895249793528i</v>
      </c>
      <c r="AQ519">
        <f t="shared" si="315"/>
        <v>-24.582770276529004</v>
      </c>
      <c r="AR519" s="44">
        <f t="shared" si="316"/>
        <v>91.144083957381824</v>
      </c>
      <c r="AS519" s="42" t="str">
        <f t="shared" si="317"/>
        <v>-0,000180735688490747-0,000151478675317497i</v>
      </c>
      <c r="AT519" s="20">
        <f t="shared" si="318"/>
        <v>-72.548379039271893</v>
      </c>
      <c r="AU519" s="44">
        <f t="shared" si="319"/>
        <v>-140.03286418825877</v>
      </c>
    </row>
    <row r="520" spans="14:47" x14ac:dyDescent="0.3">
      <c r="N520" s="8">
        <v>2</v>
      </c>
      <c r="O520" s="35">
        <f t="shared" ref="O520:O560" si="321">10^(6+(N520/100))</f>
        <v>1047128.5480509007</v>
      </c>
      <c r="P520" s="34" t="str">
        <f t="shared" si="288"/>
        <v>324,571428571429</v>
      </c>
      <c r="Q520" s="4" t="str">
        <f t="shared" si="289"/>
        <v>1+150384,061893525i</v>
      </c>
      <c r="R520" s="4">
        <f t="shared" si="297"/>
        <v>150384.06189684986</v>
      </c>
      <c r="S520" s="4">
        <f t="shared" si="298"/>
        <v>1.5707896771540544</v>
      </c>
      <c r="T520" s="4" t="str">
        <f t="shared" si="290"/>
        <v>1+1,31586054156834i</v>
      </c>
      <c r="U520" s="4">
        <f t="shared" si="299"/>
        <v>1.6527216840280536</v>
      </c>
      <c r="V520" s="4">
        <f t="shared" si="300"/>
        <v>0.92095189627528051</v>
      </c>
      <c r="W520" t="str">
        <f t="shared" si="291"/>
        <v>1-11,4224005344474i</v>
      </c>
      <c r="X520" s="4">
        <f t="shared" si="301"/>
        <v>11.466090614038608</v>
      </c>
      <c r="Y520" s="4">
        <f t="shared" si="302"/>
        <v>-1.4834717017775298</v>
      </c>
      <c r="Z520" t="str">
        <f t="shared" si="292"/>
        <v>-3,38591278457276+9,7935662182352i</v>
      </c>
      <c r="AA520" s="4">
        <f t="shared" si="303"/>
        <v>10.362352274251778</v>
      </c>
      <c r="AB520" s="4">
        <f t="shared" si="304"/>
        <v>1.9036605461683642</v>
      </c>
      <c r="AC520" s="48" t="str">
        <f t="shared" si="305"/>
        <v>-0,0024677496297692+0,00308040320160256i</v>
      </c>
      <c r="AD520" s="20">
        <f t="shared" si="306"/>
        <v>-48.074695630740621</v>
      </c>
      <c r="AE520" s="44">
        <f t="shared" si="307"/>
        <v>128.69865532754019</v>
      </c>
      <c r="AF520" t="str">
        <f t="shared" si="293"/>
        <v>-0,0000125211169631323</v>
      </c>
      <c r="AG520" t="str">
        <f t="shared" si="294"/>
        <v>0,031797769986999i</v>
      </c>
      <c r="AH520">
        <f t="shared" si="308"/>
        <v>3.1797769986999E-2</v>
      </c>
      <c r="AI520">
        <f t="shared" si="309"/>
        <v>1.5707963267948966</v>
      </c>
      <c r="AJ520" t="str">
        <f t="shared" si="295"/>
        <v>1+50,8897425089224i</v>
      </c>
      <c r="AK520">
        <f t="shared" si="310"/>
        <v>50.899566723346709</v>
      </c>
      <c r="AL520">
        <f t="shared" si="311"/>
        <v>1.5511485300336192</v>
      </c>
      <c r="AM520" t="str">
        <f t="shared" si="296"/>
        <v>1+7453,03410744309i</v>
      </c>
      <c r="AN520">
        <f t="shared" si="312"/>
        <v>7453.034174529862</v>
      </c>
      <c r="AO520">
        <f t="shared" si="313"/>
        <v>1.570662153251668</v>
      </c>
      <c r="AP520" s="42" t="str">
        <f t="shared" si="314"/>
        <v>-0,00112506027129989+0,057647800943753i</v>
      </c>
      <c r="AQ520">
        <f t="shared" si="315"/>
        <v>-24.782691278547595</v>
      </c>
      <c r="AR520" s="44">
        <f t="shared" si="316"/>
        <v>91.118048253402691</v>
      </c>
      <c r="AS520" s="42" t="str">
        <f t="shared" si="317"/>
        <v>-0,000174802103524515-0,000145725978697663i</v>
      </c>
      <c r="AT520" s="20">
        <f t="shared" si="318"/>
        <v>-72.857386909288238</v>
      </c>
      <c r="AU520" s="44">
        <f t="shared" si="319"/>
        <v>-140.18329641905703</v>
      </c>
    </row>
    <row r="521" spans="14:47" x14ac:dyDescent="0.3">
      <c r="N521" s="8">
        <v>3</v>
      </c>
      <c r="O521" s="35">
        <f t="shared" si="321"/>
        <v>1071519.3052376076</v>
      </c>
      <c r="P521" s="34" t="str">
        <f t="shared" si="288"/>
        <v>324,571428571429</v>
      </c>
      <c r="Q521" s="4" t="str">
        <f t="shared" si="289"/>
        <v>1+153886,956686359i</v>
      </c>
      <c r="R521" s="4">
        <f t="shared" si="297"/>
        <v>153886.95668960811</v>
      </c>
      <c r="S521" s="4">
        <f t="shared" si="298"/>
        <v>1.5707898285183597</v>
      </c>
      <c r="T521" s="4" t="str">
        <f t="shared" si="290"/>
        <v>1+1,34651087100564i</v>
      </c>
      <c r="U521" s="4">
        <f t="shared" si="299"/>
        <v>1.6772273327537823</v>
      </c>
      <c r="V521" s="4">
        <f t="shared" si="300"/>
        <v>0.93200927895964059</v>
      </c>
      <c r="W521" t="str">
        <f t="shared" si="291"/>
        <v>1-11,688462421924i</v>
      </c>
      <c r="X521" s="4">
        <f t="shared" si="301"/>
        <v>11.731161655553532</v>
      </c>
      <c r="Y521" s="4">
        <f t="shared" si="302"/>
        <v>-1.4854497030283296</v>
      </c>
      <c r="Z521" t="str">
        <f t="shared" si="292"/>
        <v>-3,59261448598754+10,0216876805576i</v>
      </c>
      <c r="AA521" s="4">
        <f t="shared" si="303"/>
        <v>10.646177849893711</v>
      </c>
      <c r="AB521" s="4">
        <f t="shared" si="304"/>
        <v>1.9150091737413004</v>
      </c>
      <c r="AC521" s="48" t="str">
        <f t="shared" si="305"/>
        <v>-0,00243024717895094+0,00304773911863811i</v>
      </c>
      <c r="AD521" s="20">
        <f t="shared" si="306"/>
        <v>-48.183045807163495</v>
      </c>
      <c r="AE521" s="44">
        <f t="shared" si="307"/>
        <v>128.56862842854167</v>
      </c>
      <c r="AF521" t="str">
        <f t="shared" si="293"/>
        <v>-0,0000125211169631323</v>
      </c>
      <c r="AG521" t="str">
        <f t="shared" si="294"/>
        <v>0,0325384351978514i</v>
      </c>
      <c r="AH521">
        <f t="shared" si="308"/>
        <v>3.2538435197851399E-2</v>
      </c>
      <c r="AI521">
        <f t="shared" si="309"/>
        <v>1.5707963267948966</v>
      </c>
      <c r="AJ521" t="str">
        <f t="shared" si="295"/>
        <v>1+52,0751168883523i</v>
      </c>
      <c r="AK521">
        <f t="shared" si="310"/>
        <v>52.08471751805471</v>
      </c>
      <c r="AL521">
        <f t="shared" si="311"/>
        <v>1.5515956572975325</v>
      </c>
      <c r="AM521" t="str">
        <f t="shared" si="296"/>
        <v>1+7626,63757337596i</v>
      </c>
      <c r="AN521">
        <f t="shared" si="312"/>
        <v>7626.6376389356501</v>
      </c>
      <c r="AO521">
        <f t="shared" si="313"/>
        <v>1.5706652074143508</v>
      </c>
      <c r="AP521" s="42" t="str">
        <f t="shared" si="314"/>
        <v>-0,00107444288340124+0,0563365487956742i</v>
      </c>
      <c r="AQ521">
        <f t="shared" si="315"/>
        <v>-24.98261583471951</v>
      </c>
      <c r="AR521" s="44">
        <f t="shared" si="316"/>
        <v>91.092604738906886</v>
      </c>
      <c r="AS521" s="42" t="str">
        <f t="shared" si="317"/>
        <v>-0,000169087941787311-0,000140186360389003i</v>
      </c>
      <c r="AT521" s="20">
        <f t="shared" si="318"/>
        <v>-73.16566164188302</v>
      </c>
      <c r="AU521" s="44">
        <f t="shared" si="319"/>
        <v>-140.33876683255153</v>
      </c>
    </row>
    <row r="522" spans="14:47" x14ac:dyDescent="0.3">
      <c r="N522" s="8">
        <v>4</v>
      </c>
      <c r="O522" s="35">
        <f t="shared" si="321"/>
        <v>1096478.196143186</v>
      </c>
      <c r="P522" s="34" t="str">
        <f t="shared" si="288"/>
        <v>324,571428571429</v>
      </c>
      <c r="Q522" s="4" t="str">
        <f t="shared" si="289"/>
        <v>1+157471,444380563i</v>
      </c>
      <c r="R522" s="4">
        <f t="shared" si="297"/>
        <v>157471.44438373818</v>
      </c>
      <c r="S522" s="4">
        <f t="shared" si="298"/>
        <v>1.5707899764371926</v>
      </c>
      <c r="T522" s="4" t="str">
        <f t="shared" si="290"/>
        <v>1+1,37787513832993i</v>
      </c>
      <c r="U522" s="4">
        <f t="shared" si="299"/>
        <v>1.7025098815653681</v>
      </c>
      <c r="V522" s="4">
        <f t="shared" si="300"/>
        <v>0.94299332405373126</v>
      </c>
      <c r="W522" t="str">
        <f t="shared" si="291"/>
        <v>1-11,9607216868917i</v>
      </c>
      <c r="X522" s="4">
        <f t="shared" si="301"/>
        <v>12.002452385711909</v>
      </c>
      <c r="Y522" s="4">
        <f t="shared" si="302"/>
        <v>-1.4873833265798457</v>
      </c>
      <c r="Z522" t="str">
        <f t="shared" si="292"/>
        <v>-3,80905773846967+10,255122774341i</v>
      </c>
      <c r="AA522" s="4">
        <f t="shared" si="303"/>
        <v>10.93967385125366</v>
      </c>
      <c r="AB522" s="4">
        <f t="shared" si="304"/>
        <v>1.9264332510836004</v>
      </c>
      <c r="AC522" s="48" t="str">
        <f t="shared" si="305"/>
        <v>-0,00239315288244371+0,00301587871377652i</v>
      </c>
      <c r="AD522" s="20">
        <f t="shared" si="306"/>
        <v>-48.290725306362788</v>
      </c>
      <c r="AE522" s="44">
        <f t="shared" si="307"/>
        <v>128.43261949407591</v>
      </c>
      <c r="AF522" t="str">
        <f t="shared" si="293"/>
        <v>-0,0000125211169631323</v>
      </c>
      <c r="AG522" t="str">
        <f t="shared" si="294"/>
        <v>0,0332963527177427i</v>
      </c>
      <c r="AH522">
        <f t="shared" si="308"/>
        <v>3.32963527177427E-2</v>
      </c>
      <c r="AI522">
        <f t="shared" si="309"/>
        <v>1.5707963267948966</v>
      </c>
      <c r="AJ522" t="str">
        <f t="shared" si="295"/>
        <v>1+53,2881021840521i</v>
      </c>
      <c r="AK522">
        <f t="shared" si="310"/>
        <v>53.297484315659574</v>
      </c>
      <c r="AL522">
        <f t="shared" si="311"/>
        <v>1.552032614121837</v>
      </c>
      <c r="AM522" t="str">
        <f t="shared" si="296"/>
        <v>1+7804,28478350071i</v>
      </c>
      <c r="AN522">
        <f t="shared" si="312"/>
        <v>7804.2848475680794</v>
      </c>
      <c r="AO522">
        <f t="shared" si="313"/>
        <v>1.5706681920558054</v>
      </c>
      <c r="AP522" s="42" t="str">
        <f t="shared" si="314"/>
        <v>-0,0010261020114523+0,0550550795440238i</v>
      </c>
      <c r="AQ522">
        <f t="shared" si="315"/>
        <v>-25.182543785199421</v>
      </c>
      <c r="AR522" s="44">
        <f t="shared" si="316"/>
        <v>91.067739964403515</v>
      </c>
      <c r="AS522" s="42" t="str">
        <f t="shared" si="317"/>
        <v>-0,000163583823495706-0,000134849821518451i</v>
      </c>
      <c r="AT522" s="20">
        <f t="shared" si="318"/>
        <v>-73.473269091562202</v>
      </c>
      <c r="AU522" s="44">
        <f t="shared" si="319"/>
        <v>-140.49964054152045</v>
      </c>
    </row>
    <row r="523" spans="14:47" x14ac:dyDescent="0.3">
      <c r="N523" s="8">
        <v>5</v>
      </c>
      <c r="O523" s="35">
        <f t="shared" si="321"/>
        <v>1122018.4543019643</v>
      </c>
      <c r="P523" s="34" t="str">
        <f t="shared" si="288"/>
        <v>324,571428571429</v>
      </c>
      <c r="Q523" s="4" t="str">
        <f t="shared" si="289"/>
        <v>1+161139,425518959i</v>
      </c>
      <c r="R523" s="4">
        <f t="shared" si="297"/>
        <v>161139.42552206194</v>
      </c>
      <c r="S523" s="4">
        <f t="shared" si="298"/>
        <v>1.5707901209889819</v>
      </c>
      <c r="T523" s="4" t="str">
        <f t="shared" si="290"/>
        <v>1+1,40996997329089i</v>
      </c>
      <c r="U523" s="4">
        <f t="shared" si="299"/>
        <v>1.7285876678901515</v>
      </c>
      <c r="V523" s="4">
        <f t="shared" si="300"/>
        <v>0.9538992540157778</v>
      </c>
      <c r="W523" t="str">
        <f t="shared" si="291"/>
        <v>1-12,2393226848168i</v>
      </c>
      <c r="X523" s="4">
        <f t="shared" si="301"/>
        <v>12.280106668228544</v>
      </c>
      <c r="Y523" s="4">
        <f t="shared" si="302"/>
        <v>-1.4892735397957344</v>
      </c>
      <c r="Z523" t="str">
        <f t="shared" si="292"/>
        <v>-4,03570164717668+10,4939952699619i</v>
      </c>
      <c r="AA523" s="4">
        <f t="shared" si="303"/>
        <v>11.243256846261554</v>
      </c>
      <c r="AB523" s="4">
        <f t="shared" si="304"/>
        <v>1.9379327728748836</v>
      </c>
      <c r="AC523" s="48" t="str">
        <f t="shared" si="305"/>
        <v>-0,0023564251804496+0,00298479061040509i</v>
      </c>
      <c r="AD523" s="20">
        <f t="shared" si="306"/>
        <v>-48.397802128898213</v>
      </c>
      <c r="AE523" s="44">
        <f t="shared" si="307"/>
        <v>128.29029966564948</v>
      </c>
      <c r="AF523" t="str">
        <f t="shared" si="293"/>
        <v>-0,0000125211169631323</v>
      </c>
      <c r="AG523" t="str">
        <f t="shared" si="294"/>
        <v>0,0340719244045744i</v>
      </c>
      <c r="AH523">
        <f t="shared" si="308"/>
        <v>3.4071924404574398E-2</v>
      </c>
      <c r="AI523">
        <f t="shared" si="309"/>
        <v>1.5707963267948966</v>
      </c>
      <c r="AJ523" t="str">
        <f t="shared" si="295"/>
        <v>1+54,5293415368812i</v>
      </c>
      <c r="AK523">
        <f t="shared" si="310"/>
        <v>54.538510141420595</v>
      </c>
      <c r="AL523">
        <f t="shared" si="311"/>
        <v>1.5524596315190125</v>
      </c>
      <c r="AM523" t="str">
        <f t="shared" si="296"/>
        <v>1+7986,0699287196i</v>
      </c>
      <c r="AN523">
        <f t="shared" si="312"/>
        <v>7986.0699913286189</v>
      </c>
      <c r="AO523">
        <f t="shared" si="313"/>
        <v>1.5706711087585283</v>
      </c>
      <c r="AP523" s="42" t="str">
        <f t="shared" si="314"/>
        <v>-0,000979935339741698+0,0538027195721858i</v>
      </c>
      <c r="AQ523">
        <f t="shared" si="315"/>
        <v>-25.382474977326002</v>
      </c>
      <c r="AR523" s="44">
        <f t="shared" si="316"/>
        <v>91.043440784522815</v>
      </c>
      <c r="AS523" s="42" t="str">
        <f t="shared" si="317"/>
        <v>-0,000158280707883539-0,000129706984977432i</v>
      </c>
      <c r="AT523" s="20">
        <f t="shared" si="318"/>
        <v>-73.780277106224204</v>
      </c>
      <c r="AU523" s="44">
        <f t="shared" si="319"/>
        <v>-140.66625954982783</v>
      </c>
    </row>
    <row r="524" spans="14:47" x14ac:dyDescent="0.3">
      <c r="N524" s="8">
        <v>6</v>
      </c>
      <c r="O524" s="35">
        <f t="shared" si="321"/>
        <v>1148153.6214968837</v>
      </c>
      <c r="P524" s="34" t="str">
        <f t="shared" si="288"/>
        <v>324,571428571429</v>
      </c>
      <c r="Q524" s="4" t="str">
        <f t="shared" si="289"/>
        <v>1+164892,844913697i</v>
      </c>
      <c r="R524" s="4">
        <f t="shared" si="297"/>
        <v>164892.84491672926</v>
      </c>
      <c r="S524" s="4">
        <f t="shared" si="298"/>
        <v>1.5707902622503707</v>
      </c>
      <c r="T524" s="4" t="str">
        <f t="shared" si="290"/>
        <v>1+1,44281239299485i</v>
      </c>
      <c r="U524" s="4">
        <f t="shared" si="299"/>
        <v>1.7554793081604594</v>
      </c>
      <c r="V524" s="4">
        <f t="shared" si="300"/>
        <v>0.96472247437516023</v>
      </c>
      <c r="W524" t="str">
        <f t="shared" si="291"/>
        <v>1-12,5244131336358i</v>
      </c>
      <c r="X524" s="4">
        <f t="shared" si="301"/>
        <v>12.564271739420034</v>
      </c>
      <c r="Y524" s="4">
        <f t="shared" si="302"/>
        <v>-1.4911212908335543</v>
      </c>
      <c r="Z524" t="str">
        <f t="shared" si="292"/>
        <v>-4,27302695422564+10,7384318207794i</v>
      </c>
      <c r="AA524" s="4">
        <f t="shared" si="303"/>
        <v>11.557364635636725</v>
      </c>
      <c r="AB524" s="4">
        <f t="shared" si="304"/>
        <v>1.9495075246275044</v>
      </c>
      <c r="AC524" s="48" t="str">
        <f t="shared" si="305"/>
        <v>-0,00232002505532269+0,00295444253436855i</v>
      </c>
      <c r="AD524" s="20">
        <f t="shared" si="306"/>
        <v>-48.504346079372738</v>
      </c>
      <c r="AE524" s="44">
        <f t="shared" si="307"/>
        <v>128.1413636589059</v>
      </c>
      <c r="AF524" t="str">
        <f t="shared" si="293"/>
        <v>-0,0000125211169631323</v>
      </c>
      <c r="AG524" t="str">
        <f t="shared" si="294"/>
        <v>0,0348655614767206i</v>
      </c>
      <c r="AH524">
        <f t="shared" si="308"/>
        <v>3.4865561476720597E-2</v>
      </c>
      <c r="AI524">
        <f t="shared" si="309"/>
        <v>1.5707963267948966</v>
      </c>
      <c r="AJ524" t="str">
        <f t="shared" si="295"/>
        <v>1+55,7994930683744i</v>
      </c>
      <c r="AK524">
        <f t="shared" si="310"/>
        <v>55.808453003891472</v>
      </c>
      <c r="AL524">
        <f t="shared" si="311"/>
        <v>1.5528769352760656</v>
      </c>
      <c r="AM524" t="str">
        <f t="shared" si="296"/>
        <v>1+8172,08939392283i</v>
      </c>
      <c r="AN524">
        <f t="shared" si="312"/>
        <v>8172.0894551066931</v>
      </c>
      <c r="AO524">
        <f t="shared" si="313"/>
        <v>1.5706739590689938</v>
      </c>
      <c r="AP524" s="42" t="str">
        <f t="shared" si="314"/>
        <v>-0,000935845144829039+0,0525788103086283i</v>
      </c>
      <c r="AQ524">
        <f t="shared" si="315"/>
        <v>-25.582409265299233</v>
      </c>
      <c r="AR524" s="44">
        <f t="shared" si="316"/>
        <v>91.019694351228694</v>
      </c>
      <c r="AS524" s="42" t="str">
        <f t="shared" si="317"/>
        <v>-0,000153169889398402-0,000124749057996542i</v>
      </c>
      <c r="AT524" s="20">
        <f t="shared" si="318"/>
        <v>-74.086755344671943</v>
      </c>
      <c r="AU524" s="44">
        <f t="shared" si="319"/>
        <v>-140.83894198986542</v>
      </c>
    </row>
    <row r="525" spans="14:47" x14ac:dyDescent="0.3">
      <c r="N525" s="8">
        <v>7</v>
      </c>
      <c r="O525" s="35">
        <f t="shared" si="321"/>
        <v>1174897.5549395324</v>
      </c>
      <c r="P525" s="34" t="str">
        <f t="shared" si="288"/>
        <v>324,571428571429</v>
      </c>
      <c r="Q525" s="4" t="str">
        <f t="shared" si="289"/>
        <v>1+168733,692677424i</v>
      </c>
      <c r="R525" s="4">
        <f t="shared" si="297"/>
        <v>168733.69268038726</v>
      </c>
      <c r="S525" s="4">
        <f t="shared" si="298"/>
        <v>1.5707904002962578</v>
      </c>
      <c r="T525" s="4" t="str">
        <f t="shared" si="290"/>
        <v>1+1,47641981092746i</v>
      </c>
      <c r="U525" s="4">
        <f t="shared" si="299"/>
        <v>1.7832037062823407</v>
      </c>
      <c r="V525" s="4">
        <f t="shared" si="300"/>
        <v>0.97545858102379013</v>
      </c>
      <c r="W525" t="str">
        <f t="shared" si="291"/>
        <v>1-12,8161441920786i</v>
      </c>
      <c r="X525" s="4">
        <f t="shared" si="301"/>
        <v>12.855098286366776</v>
      </c>
      <c r="Y525" s="4">
        <f t="shared" si="302"/>
        <v>-1.4929275088987384</v>
      </c>
      <c r="Z525" t="str">
        <f t="shared" si="292"/>
        <v>-4,52153705841158+10,9885620302882i</v>
      </c>
      <c r="AA525" s="4">
        <f t="shared" si="303"/>
        <v>11.882457357974435</v>
      </c>
      <c r="AB525" s="4">
        <f t="shared" si="304"/>
        <v>1.9611570776893852</v>
      </c>
      <c r="AC525" s="48" t="str">
        <f t="shared" si="305"/>
        <v>-0,00228391603090094+0,00292480140245742i</v>
      </c>
      <c r="AD525" s="20">
        <f t="shared" si="306"/>
        <v>-48.610428576196242</v>
      </c>
      <c r="AE525" s="44">
        <f t="shared" si="307"/>
        <v>127.98553045315329</v>
      </c>
      <c r="AF525" t="str">
        <f t="shared" si="293"/>
        <v>-0,0000125211169631323</v>
      </c>
      <c r="AG525" t="str">
        <f t="shared" si="294"/>
        <v>0,035677684731062i</v>
      </c>
      <c r="AH525">
        <f t="shared" si="308"/>
        <v>3.5677684731061997E-2</v>
      </c>
      <c r="AI525">
        <f t="shared" si="309"/>
        <v>1.5707963267948966</v>
      </c>
      <c r="AJ525" t="str">
        <f t="shared" si="295"/>
        <v>1+57,0992302296861i</v>
      </c>
      <c r="AK525">
        <f t="shared" si="310"/>
        <v>57.107986243805684</v>
      </c>
      <c r="AL525">
        <f t="shared" si="311"/>
        <v>1.5532847460712762</v>
      </c>
      <c r="AM525" t="str">
        <f t="shared" si="296"/>
        <v>1+8362,44180909312i</v>
      </c>
      <c r="AN525">
        <f t="shared" si="312"/>
        <v>8362.441868884267</v>
      </c>
      <c r="AO525">
        <f t="shared" si="313"/>
        <v>1.5706767444984737</v>
      </c>
      <c r="AP525" s="42" t="str">
        <f t="shared" si="314"/>
        <v>-0,000893738089974357+0,0513827079036378i</v>
      </c>
      <c r="AQ525">
        <f t="shared" si="315"/>
        <v>-25.782346509872639</v>
      </c>
      <c r="AR525" s="44">
        <f t="shared" si="316"/>
        <v>90.996488107176589</v>
      </c>
      <c r="AS525" s="42" t="str">
        <f t="shared" si="317"/>
        <v>-0,000148242993387501-0,000119967796711205i</v>
      </c>
      <c r="AT525" s="20">
        <f t="shared" si="318"/>
        <v>-74.392775086068895</v>
      </c>
      <c r="AU525" s="44">
        <f t="shared" si="319"/>
        <v>-141.01798143967034</v>
      </c>
    </row>
    <row r="526" spans="14:47" x14ac:dyDescent="0.3">
      <c r="N526" s="8">
        <v>8</v>
      </c>
      <c r="O526" s="35">
        <f t="shared" si="321"/>
        <v>1202264.4346174158</v>
      </c>
      <c r="P526" s="34" t="str">
        <f t="shared" si="288"/>
        <v>324,571428571429</v>
      </c>
      <c r="Q526" s="4" t="str">
        <f t="shared" si="289"/>
        <v>1+172664,005278462i</v>
      </c>
      <c r="R526" s="4">
        <f t="shared" si="297"/>
        <v>172664.00528135779</v>
      </c>
      <c r="S526" s="4">
        <f t="shared" si="298"/>
        <v>1.5707905351998368</v>
      </c>
      <c r="T526" s="4" t="str">
        <f t="shared" si="290"/>
        <v>1+1,51081004618654i</v>
      </c>
      <c r="U526" s="4">
        <f t="shared" si="299"/>
        <v>1.811780062716823</v>
      </c>
      <c r="V526" s="4">
        <f t="shared" si="300"/>
        <v>0.98610336651547881</v>
      </c>
      <c r="W526" t="str">
        <f t="shared" si="291"/>
        <v>1-13,1146705398137i</v>
      </c>
      <c r="X526" s="4">
        <f t="shared" si="301"/>
        <v>13.152740526896187</v>
      </c>
      <c r="Y526" s="4">
        <f t="shared" si="302"/>
        <v>-1.4946931045045102</v>
      </c>
      <c r="Z526" t="str">
        <f t="shared" si="292"/>
        <v>-4,78175908298375+11,2445185208363i</v>
      </c>
      <c r="AA526" s="4">
        <f t="shared" si="303"/>
        <v>12.219018646893382</v>
      </c>
      <c r="AB526" s="4">
        <f t="shared" si="304"/>
        <v>1.9728807847037331</v>
      </c>
      <c r="AC526" s="48" t="str">
        <f t="shared" si="305"/>
        <v>-0,00224806417190464+0,00289583341350511i</v>
      </c>
      <c r="AD526" s="20">
        <f t="shared" si="306"/>
        <v>-48.716122454160725</v>
      </c>
      <c r="AE526" s="44">
        <f t="shared" si="307"/>
        <v>127.82254389753594</v>
      </c>
      <c r="AF526" t="str">
        <f t="shared" si="293"/>
        <v>-0,0000125211169631323</v>
      </c>
      <c r="AG526" t="str">
        <f t="shared" si="294"/>
        <v>0,0365087247660978i</v>
      </c>
      <c r="AH526">
        <f t="shared" si="308"/>
        <v>3.6508724766097803E-2</v>
      </c>
      <c r="AI526">
        <f t="shared" si="309"/>
        <v>1.5707963267948966</v>
      </c>
      <c r="AJ526" t="str">
        <f t="shared" si="295"/>
        <v>1+58,4292421586632i</v>
      </c>
      <c r="AK526">
        <f t="shared" si="310"/>
        <v>58.43779889109193</v>
      </c>
      <c r="AL526">
        <f t="shared" si="311"/>
        <v>1.5536832795884319</v>
      </c>
      <c r="AM526" t="str">
        <f t="shared" si="296"/>
        <v>1+8557,22810160058i</v>
      </c>
      <c r="AN526">
        <f t="shared" si="312"/>
        <v>8557.228160030716</v>
      </c>
      <c r="AO526">
        <f t="shared" si="313"/>
        <v>1.5706794665238397</v>
      </c>
      <c r="AP526" s="42" t="str">
        <f t="shared" si="314"/>
        <v>-0,000853525028721839+0,0502137829121368i</v>
      </c>
      <c r="AQ526">
        <f t="shared" si="315"/>
        <v>-25.982286578058861</v>
      </c>
      <c r="AR526" s="44">
        <f t="shared" si="316"/>
        <v>90.973809779214264</v>
      </c>
      <c r="AS526" s="42" t="str">
        <f t="shared" si="317"/>
        <v>-0,000143491971338564-0,000115355472598008i</v>
      </c>
      <c r="AT526" s="20">
        <f t="shared" si="318"/>
        <v>-74.698409032219587</v>
      </c>
      <c r="AU526" s="44">
        <f t="shared" si="319"/>
        <v>-141.20364632324967</v>
      </c>
    </row>
    <row r="527" spans="14:47" x14ac:dyDescent="0.3">
      <c r="N527" s="8">
        <v>9</v>
      </c>
      <c r="O527" s="35">
        <f t="shared" si="321"/>
        <v>1230268.770812382</v>
      </c>
      <c r="P527" s="34" t="str">
        <f t="shared" si="288"/>
        <v>324,571428571429</v>
      </c>
      <c r="Q527" s="4" t="str">
        <f t="shared" si="289"/>
        <v>1+176685,866620577i</v>
      </c>
      <c r="R527" s="4">
        <f t="shared" si="297"/>
        <v>176685.86662340688</v>
      </c>
      <c r="S527" s="4">
        <f t="shared" si="298"/>
        <v>1.5707906670326355</v>
      </c>
      <c r="T527" s="4" t="str">
        <f t="shared" si="290"/>
        <v>1+1,54600133293005i</v>
      </c>
      <c r="U527" s="4">
        <f t="shared" si="299"/>
        <v>1.8412278841635794</v>
      </c>
      <c r="V527" s="4">
        <f t="shared" si="300"/>
        <v>0.99665282537194344</v>
      </c>
      <c r="W527" t="str">
        <f t="shared" si="291"/>
        <v>1-13,4201504594622i</v>
      </c>
      <c r="X527" s="4">
        <f t="shared" si="301"/>
        <v>13.457356291434191</v>
      </c>
      <c r="Y527" s="4">
        <f t="shared" si="302"/>
        <v>-1.4964189697368984</v>
      </c>
      <c r="Z527" t="str">
        <f t="shared" si="292"/>
        <v>-5,05424499374485+11,5064370039429i</v>
      </c>
      <c r="AA527" s="4">
        <f t="shared" si="303"/>
        <v>12.567556842222807</v>
      </c>
      <c r="AB527" s="4">
        <f t="shared" si="304"/>
        <v>1.9846777755792573</v>
      </c>
      <c r="AC527" s="48" t="str">
        <f t="shared" si="305"/>
        <v>-0,00221243808283414+0,00286750414234529i</v>
      </c>
      <c r="AD527" s="20">
        <f t="shared" si="306"/>
        <v>-48.821501760738776</v>
      </c>
      <c r="AE527" s="44">
        <f t="shared" si="307"/>
        <v>127.65217323074909</v>
      </c>
      <c r="AF527" t="str">
        <f t="shared" si="293"/>
        <v>-0,0000125211169631323</v>
      </c>
      <c r="AG527" t="str">
        <f t="shared" si="294"/>
        <v>0,0373591222102546i</v>
      </c>
      <c r="AH527">
        <f t="shared" si="308"/>
        <v>3.73591222102546E-2</v>
      </c>
      <c r="AI527">
        <f t="shared" si="309"/>
        <v>1.5707963267948966</v>
      </c>
      <c r="AJ527" t="str">
        <f t="shared" si="295"/>
        <v>1+59,7902340452352i</v>
      </c>
      <c r="AK527">
        <f t="shared" si="310"/>
        <v>59.798596030207953</v>
      </c>
      <c r="AL527">
        <f t="shared" si="311"/>
        <v>1.5540727466285986</v>
      </c>
      <c r="AM527" t="str">
        <f t="shared" si="296"/>
        <v>1+8756,5515497158i</v>
      </c>
      <c r="AN527">
        <f t="shared" si="312"/>
        <v>8756.5516068159031</v>
      </c>
      <c r="AO527">
        <f t="shared" si="313"/>
        <v>1.5706821265883455</v>
      </c>
      <c r="AP527" s="42" t="str">
        <f t="shared" si="314"/>
        <v>-0,000815120817234242+0,0490714199825261i</v>
      </c>
      <c r="AQ527">
        <f t="shared" si="315"/>
        <v>-26.182229342848924</v>
      </c>
      <c r="AR527" s="44">
        <f t="shared" si="316"/>
        <v>90.951647372022663</v>
      </c>
      <c r="AS527" s="42" t="str">
        <f t="shared" si="317"/>
        <v>-0,000138909095732499-0,00011090484066802i</v>
      </c>
      <c r="AT527" s="20">
        <f t="shared" si="318"/>
        <v>-75.003731103587711</v>
      </c>
      <c r="AU527" s="44">
        <f t="shared" si="319"/>
        <v>-141.39617939722822</v>
      </c>
    </row>
    <row r="528" spans="14:47" x14ac:dyDescent="0.3">
      <c r="N528" s="8">
        <v>10</v>
      </c>
      <c r="O528" s="35">
        <f t="shared" si="321"/>
        <v>1258925.4117941677</v>
      </c>
      <c r="P528" s="34" t="str">
        <f t="shared" si="288"/>
        <v>324,571428571429</v>
      </c>
      <c r="Q528" s="4" t="str">
        <f t="shared" si="289"/>
        <v>1+180801,409147888i</v>
      </c>
      <c r="R528" s="4">
        <f t="shared" si="297"/>
        <v>180801.40915065343</v>
      </c>
      <c r="S528" s="4">
        <f t="shared" si="298"/>
        <v>1.5707907958645533</v>
      </c>
      <c r="T528" s="4" t="str">
        <f t="shared" si="290"/>
        <v>1+1,58201233004402i</v>
      </c>
      <c r="U528" s="4">
        <f t="shared" si="299"/>
        <v>1.8715669938346611</v>
      </c>
      <c r="V528" s="4">
        <f t="shared" si="300"/>
        <v>1.0071031584023906</v>
      </c>
      <c r="W528" t="str">
        <f t="shared" si="291"/>
        <v>1-13,732745920521i</v>
      </c>
      <c r="X528" s="4">
        <f t="shared" si="301"/>
        <v>13.769107106765716</v>
      </c>
      <c r="Y528" s="4">
        <f t="shared" si="302"/>
        <v>-1.4981059785240334</v>
      </c>
      <c r="Z528" t="str">
        <f t="shared" si="292"/>
        <v>-5,33957276984447+11,7744563522547i</v>
      </c>
      <c r="AA528" s="4">
        <f t="shared" si="303"/>
        <v>12.92860625727366</v>
      </c>
      <c r="AB528" s="4">
        <f t="shared" si="304"/>
        <v>1.9965469540247527</v>
      </c>
      <c r="AC528" s="48" t="str">
        <f t="shared" si="305"/>
        <v>-0,00217700890576433+0,00283977863681187i</v>
      </c>
      <c r="AD528" s="20">
        <f t="shared" si="306"/>
        <v>-48.926641547050153</v>
      </c>
      <c r="AE528" s="44">
        <f t="shared" si="307"/>
        <v>127.47421351165583</v>
      </c>
      <c r="AF528" t="str">
        <f t="shared" si="293"/>
        <v>-0,0000125211169631323</v>
      </c>
      <c r="AG528" t="str">
        <f t="shared" si="294"/>
        <v>0,0382293279555139i</v>
      </c>
      <c r="AH528">
        <f t="shared" si="308"/>
        <v>3.8229327955513898E-2</v>
      </c>
      <c r="AI528">
        <f t="shared" si="309"/>
        <v>1.5707963267948966</v>
      </c>
      <c r="AJ528" t="str">
        <f t="shared" si="295"/>
        <v>1+61,1829275053153i</v>
      </c>
      <c r="AK528">
        <f t="shared" si="310"/>
        <v>61.191099173986629</v>
      </c>
      <c r="AL528">
        <f t="shared" si="311"/>
        <v>1.5544533532194762</v>
      </c>
      <c r="AM528" t="str">
        <f t="shared" si="296"/>
        <v>1+8960,51783736935i</v>
      </c>
      <c r="AN528">
        <f t="shared" si="312"/>
        <v>8960.5178931696973</v>
      </c>
      <c r="AO528">
        <f t="shared" si="313"/>
        <v>1.5706847261023922</v>
      </c>
      <c r="AP528" s="42" t="str">
        <f t="shared" si="314"/>
        <v>-0,000778444134992223+0,0479550175514994i</v>
      </c>
      <c r="AQ528">
        <f t="shared" si="315"/>
        <v>-26.382174682943543</v>
      </c>
      <c r="AR528" s="44">
        <f t="shared" si="316"/>
        <v>90.929989161894184</v>
      </c>
      <c r="AS528" s="42" t="str">
        <f t="shared" si="317"/>
        <v>-0,000134486954556168-0,000106609109310201i</v>
      </c>
      <c r="AT528" s="20">
        <f t="shared" si="318"/>
        <v>-75.30881622999371</v>
      </c>
      <c r="AU528" s="44">
        <f t="shared" si="319"/>
        <v>-141.59579732645003</v>
      </c>
    </row>
    <row r="529" spans="14:47" x14ac:dyDescent="0.3">
      <c r="N529" s="8">
        <v>11</v>
      </c>
      <c r="O529" s="35">
        <f t="shared" si="321"/>
        <v>1288249.5516931366</v>
      </c>
      <c r="P529" s="34" t="str">
        <f t="shared" si="288"/>
        <v>324,571428571429</v>
      </c>
      <c r="Q529" s="4" t="str">
        <f t="shared" si="289"/>
        <v>1+185012,81497552i</v>
      </c>
      <c r="R529" s="4">
        <f t="shared" si="297"/>
        <v>185012.81497822254</v>
      </c>
      <c r="S529" s="4">
        <f t="shared" si="298"/>
        <v>1.5707909217638985</v>
      </c>
      <c r="T529" s="4" t="str">
        <f t="shared" si="290"/>
        <v>1+1,6188621310358i</v>
      </c>
      <c r="U529" s="4">
        <f t="shared" si="299"/>
        <v>1.9028175423045091</v>
      </c>
      <c r="V529" s="4">
        <f t="shared" si="300"/>
        <v>1.0174507760515923</v>
      </c>
      <c r="W529" t="str">
        <f t="shared" si="291"/>
        <v>1-14,0526226652413i</v>
      </c>
      <c r="X529" s="4">
        <f t="shared" si="301"/>
        <v>14.088158281750438</v>
      </c>
      <c r="Y529" s="4">
        <f t="shared" si="302"/>
        <v>-1.4997549869089877</v>
      </c>
      <c r="Z529" t="str">
        <f t="shared" si="292"/>
        <v>-5,63834762975027+12,0487186731779i</v>
      </c>
      <c r="AA529" s="4">
        <f t="shared" si="303"/>
        <v>13.302728504306788</v>
      </c>
      <c r="AB529" s="4">
        <f t="shared" si="304"/>
        <v>2.0084869947018094</v>
      </c>
      <c r="AC529" s="48" t="str">
        <f t="shared" si="305"/>
        <v>-0,00214175031640568+0,00281262151789232i</v>
      </c>
      <c r="AD529" s="20">
        <f t="shared" si="306"/>
        <v>-49.031617654461037</v>
      </c>
      <c r="AE529" s="44">
        <f t="shared" si="307"/>
        <v>127.28848595861965</v>
      </c>
      <c r="AF529" t="str">
        <f t="shared" si="293"/>
        <v>-0,0000125211169631323</v>
      </c>
      <c r="AG529" t="str">
        <f t="shared" si="294"/>
        <v>0,0391198033964801i</v>
      </c>
      <c r="AH529">
        <f t="shared" si="308"/>
        <v>3.91198033964801E-2</v>
      </c>
      <c r="AI529">
        <f t="shared" si="309"/>
        <v>1.5707963267948966</v>
      </c>
      <c r="AJ529" t="str">
        <f t="shared" si="295"/>
        <v>1+62,6080609634106i</v>
      </c>
      <c r="AK529">
        <f t="shared" si="310"/>
        <v>62.616046646192359</v>
      </c>
      <c r="AL529">
        <f t="shared" si="311"/>
        <v>1.5548253007223825</v>
      </c>
      <c r="AM529" t="str">
        <f t="shared" si="296"/>
        <v>1+9169,23511018677i</v>
      </c>
      <c r="AN529">
        <f t="shared" si="312"/>
        <v>9169.2351647169435</v>
      </c>
      <c r="AO529">
        <f t="shared" si="313"/>
        <v>1.5706872664442766</v>
      </c>
      <c r="AP529" s="42" t="str">
        <f t="shared" si="314"/>
        <v>-0,000743417313488997+0,0468639875447628i</v>
      </c>
      <c r="AQ529">
        <f t="shared" si="315"/>
        <v>-26.582122482496878</v>
      </c>
      <c r="AR529" s="44">
        <f t="shared" si="316"/>
        <v>90.908823690645718</v>
      </c>
      <c r="AS529" s="42" t="str">
        <f t="shared" si="317"/>
        <v>-0,000130218445516251-0,00010246191168472i</v>
      </c>
      <c r="AT529" s="20">
        <f t="shared" si="318"/>
        <v>-75.613740136957929</v>
      </c>
      <c r="AU529" s="44">
        <f t="shared" si="319"/>
        <v>-141.80269035073476</v>
      </c>
    </row>
    <row r="530" spans="14:47" x14ac:dyDescent="0.3">
      <c r="N530" s="8">
        <v>12</v>
      </c>
      <c r="O530" s="35">
        <f t="shared" si="321"/>
        <v>1318256.7385564097</v>
      </c>
      <c r="P530" s="34" t="str">
        <f t="shared" si="288"/>
        <v>324,571428571429</v>
      </c>
      <c r="Q530" s="4" t="str">
        <f t="shared" si="289"/>
        <v>1+189322,317046586i</v>
      </c>
      <c r="R530" s="4">
        <f t="shared" si="297"/>
        <v>189322.31704922699</v>
      </c>
      <c r="S530" s="4">
        <f t="shared" si="298"/>
        <v>1.5707910447974249</v>
      </c>
      <c r="T530" s="4" t="str">
        <f t="shared" si="290"/>
        <v>1+1,65657027415762i</v>
      </c>
      <c r="U530" s="4">
        <f t="shared" si="299"/>
        <v>1.935000018920582</v>
      </c>
      <c r="V530" s="4">
        <f t="shared" si="300"/>
        <v>1.0276923007984777</v>
      </c>
      <c r="W530" t="str">
        <f t="shared" si="291"/>
        <v>1-14,3799502965072i</v>
      </c>
      <c r="X530" s="4">
        <f t="shared" si="301"/>
        <v>14.414678995038965</v>
      </c>
      <c r="Y530" s="4">
        <f t="shared" si="302"/>
        <v>-1.5013668333254664</v>
      </c>
      <c r="Z530" t="str">
        <f t="shared" si="292"/>
        <v>-5,95120331499755+12,3293693842252i</v>
      </c>
      <c r="AA530" s="4">
        <f t="shared" si="303"/>
        <v>13.690513880388403</v>
      </c>
      <c r="AB530" s="4">
        <f t="shared" si="304"/>
        <v>2.0204963410485282</v>
      </c>
      <c r="AC530" s="48" t="str">
        <f t="shared" si="305"/>
        <v>-0,00210663851778046+0,00278599708306649i</v>
      </c>
      <c r="AD530" s="20">
        <f t="shared" si="306"/>
        <v>-49.136506497802451</v>
      </c>
      <c r="AE530" s="44">
        <f t="shared" si="307"/>
        <v>127.09483819582765</v>
      </c>
      <c r="AF530" t="str">
        <f t="shared" si="293"/>
        <v>-0,0000125211169631323</v>
      </c>
      <c r="AG530" t="str">
        <f t="shared" si="294"/>
        <v>0,040031020675019i</v>
      </c>
      <c r="AH530">
        <f t="shared" si="308"/>
        <v>4.0031020675019E-2</v>
      </c>
      <c r="AI530">
        <f t="shared" si="309"/>
        <v>1.5707963267948966</v>
      </c>
      <c r="AJ530" t="str">
        <f t="shared" si="295"/>
        <v>1+64,0663900441444i</v>
      </c>
      <c r="AK530">
        <f t="shared" si="310"/>
        <v>64.074193972990756</v>
      </c>
      <c r="AL530">
        <f t="shared" si="311"/>
        <v>1.5551887859369138</v>
      </c>
      <c r="AM530" t="str">
        <f t="shared" si="296"/>
        <v>1+9382,81403282878i</v>
      </c>
      <c r="AN530">
        <f t="shared" si="312"/>
        <v>9382.814086117698</v>
      </c>
      <c r="AO530">
        <f t="shared" si="313"/>
        <v>1.5706897489609211</v>
      </c>
      <c r="AP530" s="42" t="str">
        <f t="shared" si="314"/>
        <v>-0,000709966172567206+0,0457977550835971i</v>
      </c>
      <c r="AQ530">
        <f t="shared" si="315"/>
        <v>-26.782072630871646</v>
      </c>
      <c r="AR530" s="44">
        <f t="shared" si="316"/>
        <v>90.888139759663957</v>
      </c>
      <c r="AS530" s="42" t="str">
        <f t="shared" si="317"/>
        <v>-0,000126096769988444-0,0000984572785728296i</v>
      </c>
      <c r="AT530" s="20">
        <f t="shared" si="318"/>
        <v>-75.918579128674097</v>
      </c>
      <c r="AU530" s="44">
        <f t="shared" si="319"/>
        <v>-142.01702204450842</v>
      </c>
    </row>
    <row r="531" spans="14:47" x14ac:dyDescent="0.3">
      <c r="N531" s="8">
        <v>13</v>
      </c>
      <c r="O531" s="35">
        <f t="shared" si="321"/>
        <v>1348962.8825916562</v>
      </c>
      <c r="P531" s="34" t="str">
        <f t="shared" ref="P531:P560" si="322">COMPLEX(Adc,0)</f>
        <v>324,571428571429</v>
      </c>
      <c r="Q531" s="4" t="str">
        <f t="shared" ref="Q531:Q560" si="323">IMSUM(COMPLEX(1,0),IMDIV(COMPLEX(0,2*PI()*O531),COMPLEX(wp_lf,0)))</f>
        <v>1+193732,200316126i</v>
      </c>
      <c r="R531" s="4">
        <f t="shared" si="297"/>
        <v>193732.20031870686</v>
      </c>
      <c r="S531" s="4">
        <f t="shared" si="298"/>
        <v>1.5707911650303663</v>
      </c>
      <c r="T531" s="4" t="str">
        <f t="shared" ref="T531:T560" si="324">IMSUM(COMPLEX(1,0),IMDIV(COMPLEX(0,2*PI()*O531),COMPLEX(wz_esr,0)))</f>
        <v>1+1,6951567527661i</v>
      </c>
      <c r="U531" s="4">
        <f t="shared" si="299"/>
        <v>1.968135263758187</v>
      </c>
      <c r="V531" s="4">
        <f t="shared" si="300"/>
        <v>1.0378245686340206</v>
      </c>
      <c r="W531" t="str">
        <f t="shared" ref="W531:W560" si="325">IMSUB(COMPLEX(1,0),IMDIV(COMPLEX(0,2*PI()*O531),COMPLEX(wz_rhp,0)))</f>
        <v>1-14,7149023677613i</v>
      </c>
      <c r="X531" s="4">
        <f t="shared" si="301"/>
        <v>14.748842384836415</v>
      </c>
      <c r="Y531" s="4">
        <f t="shared" si="302"/>
        <v>-1.502942338875717</v>
      </c>
      <c r="Z531" t="str">
        <f t="shared" ref="Z531:Z560" si="326">IMSUM(COMPLEX(1,0),IMDIV(COMPLEX(0,2*PI()*O531),COMPLEX(Q*(wsl/2),0)),IMDIV(IMPOWER(COMPLEX(0,2*PI()*O531),2),IMPOWER(COMPLEX(wsl/2,0),2)))</f>
        <v>-6,27880343443997+12,6165572901185i</v>
      </c>
      <c r="AA531" s="4">
        <f t="shared" si="303"/>
        <v>14.092582815906297</v>
      </c>
      <c r="AB531" s="4">
        <f t="shared" si="304"/>
        <v>2.0325732038255726</v>
      </c>
      <c r="AC531" s="48" t="str">
        <f t="shared" si="305"/>
        <v>-0,00207165223085077+0,00275986941278135i</v>
      </c>
      <c r="AD531" s="20">
        <f t="shared" si="306"/>
        <v>-49.241384846207083</v>
      </c>
      <c r="AE531" s="44">
        <f t="shared" si="307"/>
        <v>126.89314440534848</v>
      </c>
      <c r="AF531" t="str">
        <f t="shared" ref="AF531:AF560" si="327">COMPLEX(Adc_ea,0)</f>
        <v>-0,0000125211169631323</v>
      </c>
      <c r="AG531" t="str">
        <f t="shared" ref="AG531:AG560" si="328">COMPLEX(0,2*PI()*O531*wp0_ea)</f>
        <v>0,0409634629305929i</v>
      </c>
      <c r="AH531">
        <f t="shared" si="308"/>
        <v>4.09634629305929E-2</v>
      </c>
      <c r="AI531">
        <f t="shared" si="309"/>
        <v>1.5707963267948966</v>
      </c>
      <c r="AJ531" t="str">
        <f t="shared" ref="AJ531:AJ560" si="329">IMSUM(COMPLEX(1,0),IMDIV(COMPLEX(0,2*PI()*O531),COMPLEX(wp1_ea,0)))</f>
        <v>1+65,5586879728984i</v>
      </c>
      <c r="AK531">
        <f t="shared" si="310"/>
        <v>65.566314283539313</v>
      </c>
      <c r="AL531">
        <f t="shared" si="311"/>
        <v>1.5555440012033281</v>
      </c>
      <c r="AM531" t="str">
        <f t="shared" ref="AM531:AM560" si="330">IMSUM(COMPLEX(1,0),IMDIV(COMPLEX(0,2*PI()*O531),COMPLEX(wz_ea,0)))</f>
        <v>1+9601,3678476672i</v>
      </c>
      <c r="AN531">
        <f t="shared" si="312"/>
        <v>9601.3678997431125</v>
      </c>
      <c r="AO531">
        <f t="shared" si="313"/>
        <v>1.5706921749685891</v>
      </c>
      <c r="AP531" s="42" t="str">
        <f t="shared" si="314"/>
        <v>-0,000678019864059953+0,0447557581971956i</v>
      </c>
      <c r="AQ531">
        <f t="shared" si="315"/>
        <v>-26.982025022404841</v>
      </c>
      <c r="AR531" s="44">
        <f t="shared" si="316"/>
        <v>90.867926424080252</v>
      </c>
      <c r="AS531" s="42" t="str">
        <f t="shared" si="317"/>
        <v>-0,000122115426730337-0,0000945896125967151i</v>
      </c>
      <c r="AT531" s="20">
        <f t="shared" si="318"/>
        <v>-76.223409868611938</v>
      </c>
      <c r="AU531" s="44">
        <f t="shared" si="319"/>
        <v>-142.2389291705712</v>
      </c>
    </row>
    <row r="532" spans="14:47" x14ac:dyDescent="0.3">
      <c r="N532" s="8">
        <v>14</v>
      </c>
      <c r="O532" s="35">
        <f t="shared" si="321"/>
        <v>1380384.2646028849</v>
      </c>
      <c r="P532" s="34" t="str">
        <f t="shared" si="322"/>
        <v>324,571428571429</v>
      </c>
      <c r="Q532" s="4" t="str">
        <f t="shared" si="323"/>
        <v>1+198244,802962623i</v>
      </c>
      <c r="R532" s="4">
        <f t="shared" ref="R532:R560" si="331">IMABS(Q532)</f>
        <v>198244.80296514515</v>
      </c>
      <c r="S532" s="4">
        <f t="shared" ref="S532:S560" si="332">IMARGUMENT(Q532)</f>
        <v>1.5707912825264716</v>
      </c>
      <c r="T532" s="4" t="str">
        <f t="shared" si="324"/>
        <v>1+1,73464202592295i</v>
      </c>
      <c r="U532" s="4">
        <f t="shared" ref="U532:U560" si="333">IMABS(T532)</f>
        <v>2.0022444801017873</v>
      </c>
      <c r="V532" s="4">
        <f t="shared" ref="V532:V560" si="334">IMARGUMENT(T532)</f>
        <v>1.0478446296529633</v>
      </c>
      <c r="W532" t="str">
        <f t="shared" si="325"/>
        <v>1-15,0576564750256i</v>
      </c>
      <c r="X532" s="4">
        <f t="shared" ref="X532:X560" si="335">IMABS(W532)</f>
        <v>15.09082564076202</v>
      </c>
      <c r="Y532" s="4">
        <f t="shared" ref="Y532:Y560" si="336">IMARGUMENT(W532)</f>
        <v>-1.5044823076100697</v>
      </c>
      <c r="Z532" t="str">
        <f t="shared" si="326"/>
        <v>-6,621842871853+12,9104346616869i</v>
      </c>
      <c r="AA532" s="4">
        <f t="shared" ref="AA532:AA560" si="337">IMABS(Z532)</f>
        <v>14.509587388109866</v>
      </c>
      <c r="AB532" s="4">
        <f t="shared" ref="AB532:AB560" si="338">IMARGUMENT(Z532)</f>
        <v>2.0447155604337679</v>
      </c>
      <c r="AC532" s="48" t="str">
        <f t="shared" ref="AC532:AC560" si="339">(IMDIV(IMPRODUCT(P532,T532,W532),IMPRODUCT(Q532,Z532)))</f>
        <v>-0,00203677268143126+0,00273420247992805i</v>
      </c>
      <c r="AD532" s="20">
        <f t="shared" ref="AD532:AD560" si="340">20*LOG(IMABS(AC532))</f>
        <v>-49.34632960257278</v>
      </c>
      <c r="AE532" s="44">
        <f t="shared" ref="AE532:AE560" si="341">(180/PI())*IMARGUMENT(AC532)</f>
        <v>126.6833053841134</v>
      </c>
      <c r="AF532" t="str">
        <f t="shared" si="327"/>
        <v>-0,0000125211169631323</v>
      </c>
      <c r="AG532" t="str">
        <f t="shared" si="328"/>
        <v>0,0419176245564281i</v>
      </c>
      <c r="AH532">
        <f t="shared" ref="AH532:AH560" si="342">IMABS(AG532)</f>
        <v>4.1917624556428099E-2</v>
      </c>
      <c r="AI532">
        <f t="shared" ref="AI532:AI560" si="343">IMARGUMENT(AG532)</f>
        <v>1.5707963267948966</v>
      </c>
      <c r="AJ532" t="str">
        <f t="shared" si="329"/>
        <v>1+67,0857459857873i</v>
      </c>
      <c r="AK532">
        <f t="shared" ref="AK532:AK560" si="344">IMABS(AJ532)</f>
        <v>67.093198719911811</v>
      </c>
      <c r="AL532">
        <f t="shared" ref="AL532:AL560" si="345">IMARGUMENT(AJ532)</f>
        <v>1.5558911345026933</v>
      </c>
      <c r="AM532" t="str">
        <f t="shared" si="330"/>
        <v>1+9825,01243482758i</v>
      </c>
      <c r="AN532">
        <f t="shared" ref="AN532:AN560" si="346">IMABS(AM532)</f>
        <v>9825.0124857181017</v>
      </c>
      <c r="AO532">
        <f t="shared" ref="AO532:AO560" si="347">IMARGUMENT(AM532)</f>
        <v>1.5706945457535819</v>
      </c>
      <c r="AP532" s="42" t="str">
        <f t="shared" ref="AP532:AP560" si="348">IMPRODUCT(AF532,IMDIV(AM532,IMPRODUCT(AG532,AJ532)))</f>
        <v>-0,000647510722412591+0,0437374475406997i</v>
      </c>
      <c r="AQ532">
        <f t="shared" ref="AQ532:AQ560" si="349">20*LOG(IMABS(AP532))</f>
        <v>-27.181979556184768</v>
      </c>
      <c r="AR532" s="44">
        <f t="shared" ref="AR532:AR560" si="350">(180/PI())*IMARGUMENT(AP532)</f>
        <v>90.848172987072388</v>
      </c>
      <c r="AS532" s="42" t="str">
        <f t="shared" ref="AS532:AS560" si="351">IMPRODUCT(AC532,AP532)</f>
        <v>-0,00011826820538116-0,0000908536637294305i</v>
      </c>
      <c r="AT532" s="20">
        <f t="shared" ref="AT532:AT560" si="352">20*LOG(IMABS(AS532))</f>
        <v>-76.528309158757551</v>
      </c>
      <c r="AU532" s="44">
        <f t="shared" ref="AU532:AU560" si="353">(180/PI())*IMARGUMENT(AS532)</f>
        <v>-142.46852162881413</v>
      </c>
    </row>
    <row r="533" spans="14:47" x14ac:dyDescent="0.3">
      <c r="N533" s="8">
        <v>15</v>
      </c>
      <c r="O533" s="35">
        <f t="shared" si="321"/>
        <v>1412537.5446227565</v>
      </c>
      <c r="P533" s="34" t="str">
        <f t="shared" si="322"/>
        <v>324,571428571429</v>
      </c>
      <c r="Q533" s="4" t="str">
        <f t="shared" si="323"/>
        <v>1+202862,517627731i</v>
      </c>
      <c r="R533" s="4">
        <f t="shared" si="331"/>
        <v>202862.51763019574</v>
      </c>
      <c r="S533" s="4">
        <f t="shared" si="332"/>
        <v>1.5707913973480392</v>
      </c>
      <c r="T533" s="4" t="str">
        <f t="shared" si="324"/>
        <v>1+1,77504702924265i</v>
      </c>
      <c r="U533" s="4">
        <f t="shared" si="333"/>
        <v>2.0373492474348027</v>
      </c>
      <c r="V533" s="4">
        <f t="shared" si="334"/>
        <v>1.0577497477991857</v>
      </c>
      <c r="W533" t="str">
        <f t="shared" si="325"/>
        <v>1-15,4083943510646i</v>
      </c>
      <c r="X533" s="4">
        <f t="shared" si="335"/>
        <v>15.440810097851713</v>
      </c>
      <c r="Y533" s="4">
        <f t="shared" si="336"/>
        <v>-1.5059875268075607</v>
      </c>
      <c r="Z533" t="str">
        <f t="shared" si="326"/>
        <v>-6,98104925987555+13,2111573166028i</v>
      </c>
      <c r="AA533" s="4">
        <f t="shared" si="337"/>
        <v>14.94221290213858</v>
      </c>
      <c r="AB533" s="4">
        <f t="shared" si="338"/>
        <v>2.0569211550493942</v>
      </c>
      <c r="AC533" s="48" t="str">
        <f t="shared" si="339"/>
        <v>-0,00200198358272674+0,00270896026209887i</v>
      </c>
      <c r="AD533" s="20">
        <f t="shared" si="340"/>
        <v>-49.45141758266837</v>
      </c>
      <c r="AE533" s="44">
        <f t="shared" si="341"/>
        <v>126.46524850549791</v>
      </c>
      <c r="AF533" t="str">
        <f t="shared" si="327"/>
        <v>-0,0000125211169631323</v>
      </c>
      <c r="AG533" t="str">
        <f t="shared" si="328"/>
        <v>0,0428940114616486i</v>
      </c>
      <c r="AH533">
        <f t="shared" si="342"/>
        <v>4.2894011461648597E-2</v>
      </c>
      <c r="AI533">
        <f t="shared" si="343"/>
        <v>1.5707963267948966</v>
      </c>
      <c r="AJ533" t="str">
        <f t="shared" si="329"/>
        <v>1+68,648373749183i</v>
      </c>
      <c r="AK533">
        <f t="shared" si="344"/>
        <v>68.655656856573131</v>
      </c>
      <c r="AL533">
        <f t="shared" si="345"/>
        <v>1.5562303695548469</v>
      </c>
      <c r="AM533" t="str">
        <f t="shared" si="330"/>
        <v>1+10053,8663736303i</v>
      </c>
      <c r="AN533">
        <f t="shared" si="346"/>
        <v>10053.866423362409</v>
      </c>
      <c r="AO533">
        <f t="shared" si="347"/>
        <v>1.5706968625729207</v>
      </c>
      <c r="AP533" s="42" t="str">
        <f t="shared" si="348"/>
        <v>-0,000618374121976217+0,0427422861188672i</v>
      </c>
      <c r="AQ533">
        <f t="shared" si="349"/>
        <v>-27.381936135837329</v>
      </c>
      <c r="AR533" s="44">
        <f t="shared" si="350"/>
        <v>90.828868994291099</v>
      </c>
      <c r="AS533" s="42" t="str">
        <f t="shared" si="351"/>
        <v>-0,000114549179767092-0,000087244506021725i</v>
      </c>
      <c r="AT533" s="20">
        <f t="shared" si="352"/>
        <v>-76.833353718505691</v>
      </c>
      <c r="AU533" s="44">
        <f t="shared" si="353"/>
        <v>-142.705882500211</v>
      </c>
    </row>
    <row r="534" spans="14:47" x14ac:dyDescent="0.3">
      <c r="N534" s="8">
        <v>16</v>
      </c>
      <c r="O534" s="35">
        <f t="shared" si="321"/>
        <v>1445439.7707459298</v>
      </c>
      <c r="P534" s="34" t="str">
        <f t="shared" si="322"/>
        <v>324,571428571429</v>
      </c>
      <c r="Q534" s="4" t="str">
        <f t="shared" si="323"/>
        <v>1+207587,792684888i</v>
      </c>
      <c r="R534" s="4">
        <f t="shared" si="331"/>
        <v>207587.79268729663</v>
      </c>
      <c r="S534" s="4">
        <f t="shared" si="332"/>
        <v>1.5707915095559488</v>
      </c>
      <c r="T534" s="4" t="str">
        <f t="shared" si="324"/>
        <v>1+1,81639318599277i</v>
      </c>
      <c r="U534" s="4">
        <f t="shared" si="333"/>
        <v>2.0734715349193884</v>
      </c>
      <c r="V534" s="4">
        <f t="shared" si="334"/>
        <v>1.0675373998088891</v>
      </c>
      <c r="W534" t="str">
        <f t="shared" si="325"/>
        <v>1-15,7673019617428i</v>
      </c>
      <c r="X534" s="4">
        <f t="shared" si="335"/>
        <v>15.798981332756183</v>
      </c>
      <c r="Y534" s="4">
        <f t="shared" si="336"/>
        <v>-1.5074587672571491</v>
      </c>
      <c r="Z534" t="str">
        <f t="shared" si="326"/>
        <v>-7,3571845234162+13,5188847019983i</v>
      </c>
      <c r="AA534" s="4">
        <f t="shared" si="337"/>
        <v>15.391179542111725</v>
      </c>
      <c r="AB534" s="4">
        <f t="shared" si="338"/>
        <v>2.0691874996196939</v>
      </c>
      <c r="AC534" s="48" t="str">
        <f t="shared" si="339"/>
        <v>-0,00196727111285109+0,00268410685631467i</v>
      </c>
      <c r="AD534" s="20">
        <f t="shared" si="340"/>
        <v>-49.556725294898072</v>
      </c>
      <c r="AE534" s="44">
        <f t="shared" si="341"/>
        <v>126.2389275856153</v>
      </c>
      <c r="AF534" t="str">
        <f t="shared" si="327"/>
        <v>-0,0000125211169631323</v>
      </c>
      <c r="AG534" t="str">
        <f t="shared" si="328"/>
        <v>0,0438931413395153i</v>
      </c>
      <c r="AH534">
        <f t="shared" si="342"/>
        <v>4.3893141339515301E-2</v>
      </c>
      <c r="AI534">
        <f t="shared" si="343"/>
        <v>1.5707963267948966</v>
      </c>
      <c r="AJ534" t="str">
        <f t="shared" si="329"/>
        <v>1+70,2473997890091i</v>
      </c>
      <c r="AK534">
        <f t="shared" si="344"/>
        <v>70.254517129625725</v>
      </c>
      <c r="AL534">
        <f t="shared" si="345"/>
        <v>1.5565618859142101</v>
      </c>
      <c r="AM534" t="str">
        <f t="shared" si="330"/>
        <v>1+10288,0510054631i</v>
      </c>
      <c r="AN534">
        <f t="shared" si="346"/>
        <v>10288.051054063168</v>
      </c>
      <c r="AO534">
        <f t="shared" si="347"/>
        <v>1.5706991266550139</v>
      </c>
      <c r="AP534" s="42" t="str">
        <f t="shared" si="348"/>
        <v>-0,000590548340677009+0,0417697490152929i</v>
      </c>
      <c r="AQ534">
        <f t="shared" si="349"/>
        <v>-27.581894669322033</v>
      </c>
      <c r="AR534" s="44">
        <f t="shared" si="350"/>
        <v>90.810004228408459</v>
      </c>
      <c r="AS534" s="42" t="str">
        <f t="shared" si="351"/>
        <v>-0,000110952701027135-0,0000837575154790224i</v>
      </c>
      <c r="AT534" s="20">
        <f t="shared" si="352"/>
        <v>-77.138619964220084</v>
      </c>
      <c r="AU534" s="44">
        <f t="shared" si="353"/>
        <v>-142.95106818597637</v>
      </c>
    </row>
    <row r="535" spans="14:47" x14ac:dyDescent="0.3">
      <c r="N535" s="8">
        <v>17</v>
      </c>
      <c r="O535" s="35">
        <f t="shared" si="321"/>
        <v>1479108.3881682095</v>
      </c>
      <c r="P535" s="34" t="str">
        <f t="shared" si="322"/>
        <v>324,571428571429</v>
      </c>
      <c r="Q535" s="4" t="str">
        <f t="shared" si="323"/>
        <v>1+212423,133537476i</v>
      </c>
      <c r="R535" s="4">
        <f t="shared" si="331"/>
        <v>212423.13353982981</v>
      </c>
      <c r="S535" s="4">
        <f t="shared" si="332"/>
        <v>1.5707916192096947</v>
      </c>
      <c r="T535" s="4" t="str">
        <f t="shared" si="324"/>
        <v>1+1,85870241845291i</v>
      </c>
      <c r="U535" s="4">
        <f t="shared" si="333"/>
        <v>2.1106337153477615</v>
      </c>
      <c r="V535" s="4">
        <f t="shared" si="334"/>
        <v>1.0772052733994419</v>
      </c>
      <c r="W535" t="str">
        <f t="shared" si="325"/>
        <v>1-16,134569604626i</v>
      </c>
      <c r="X535" s="4">
        <f t="shared" si="335"/>
        <v>16.165529262183817</v>
      </c>
      <c r="Y535" s="4">
        <f t="shared" si="336"/>
        <v>-1.5088967835390652</v>
      </c>
      <c r="Z535" t="str">
        <f t="shared" si="326"/>
        <v>-7,75104649579824+13,8337799790063i</v>
      </c>
      <c r="AA535" s="4">
        <f t="shared" si="337"/>
        <v>15.85724409497381</v>
      </c>
      <c r="AB535" s="4">
        <f t="shared" si="338"/>
        <v>2.0815118757566129</v>
      </c>
      <c r="AC535" s="48" t="str">
        <f t="shared" si="339"/>
        <v>-0,0019326238867131+0,00265960659582441i</v>
      </c>
      <c r="AD535" s="20">
        <f t="shared" si="340"/>
        <v>-49.66232872173839</v>
      </c>
      <c r="AE535" s="44">
        <f t="shared" si="341"/>
        <v>126.00432265492083</v>
      </c>
      <c r="AF535" t="str">
        <f t="shared" si="327"/>
        <v>-0,0000125211169631323</v>
      </c>
      <c r="AG535" t="str">
        <f t="shared" si="328"/>
        <v>0,0449155439419147i</v>
      </c>
      <c r="AH535">
        <f t="shared" si="342"/>
        <v>4.4915543941914701E-2</v>
      </c>
      <c r="AI535">
        <f t="shared" si="343"/>
        <v>1.5707963267948966</v>
      </c>
      <c r="AJ535" t="str">
        <f t="shared" si="329"/>
        <v>1+71,8836719300375i</v>
      </c>
      <c r="AK535">
        <f t="shared" si="344"/>
        <v>71.890627276059149</v>
      </c>
      <c r="AL535">
        <f t="shared" si="345"/>
        <v>1.5568858590635</v>
      </c>
      <c r="AM535" t="str">
        <f t="shared" si="330"/>
        <v>1+10527,6904981173i</v>
      </c>
      <c r="AN535">
        <f t="shared" si="346"/>
        <v>10527.690545611096</v>
      </c>
      <c r="AO535">
        <f t="shared" si="347"/>
        <v>1.5707013392003077</v>
      </c>
      <c r="AP535" s="42" t="str">
        <f t="shared" si="348"/>
        <v>-0,000563974429778527+0,040819323127101i</v>
      </c>
      <c r="AQ535">
        <f t="shared" si="349"/>
        <v>-27.781855068737901</v>
      </c>
      <c r="AR535" s="44">
        <f t="shared" si="350"/>
        <v>90.791568703785913</v>
      </c>
      <c r="AS535" s="42" t="str">
        <f t="shared" si="351"/>
        <v>-0,00010747339057144-0,0000803883490282111i</v>
      </c>
      <c r="AT535" s="20">
        <f t="shared" si="352"/>
        <v>-77.444183790476316</v>
      </c>
      <c r="AU535" s="44">
        <f t="shared" si="353"/>
        <v>-143.20410864129317</v>
      </c>
    </row>
    <row r="536" spans="14:47" x14ac:dyDescent="0.3">
      <c r="N536" s="8">
        <v>18</v>
      </c>
      <c r="O536" s="35">
        <f t="shared" si="321"/>
        <v>1513561.2484362102</v>
      </c>
      <c r="P536" s="34" t="str">
        <f t="shared" si="322"/>
        <v>324,571428571429</v>
      </c>
      <c r="Q536" s="4" t="str">
        <f t="shared" si="323"/>
        <v>1+217371,103947218i</v>
      </c>
      <c r="R536" s="4">
        <f t="shared" si="331"/>
        <v>217371.10394951823</v>
      </c>
      <c r="S536" s="4">
        <f t="shared" si="332"/>
        <v>1.5707917263674165</v>
      </c>
      <c r="T536" s="4" t="str">
        <f t="shared" si="324"/>
        <v>1+1,90199715953816i</v>
      </c>
      <c r="U536" s="4">
        <f t="shared" si="333"/>
        <v>2.1488585795466459</v>
      </c>
      <c r="V536" s="4">
        <f t="shared" si="334"/>
        <v>1.0867512647546118</v>
      </c>
      <c r="W536" t="str">
        <f t="shared" si="325"/>
        <v>1-16,5103920098798i</v>
      </c>
      <c r="X536" s="4">
        <f t="shared" si="335"/>
        <v>16.54064824364217</v>
      </c>
      <c r="Y536" s="4">
        <f t="shared" si="336"/>
        <v>-1.5103023143058694</v>
      </c>
      <c r="Z536" t="str">
        <f t="shared" si="326"/>
        <v>-8,16347061107114+14,156010109271i</v>
      </c>
      <c r="AA536" s="4">
        <f t="shared" si="337"/>
        <v>16.341201749920504</v>
      </c>
      <c r="AB536" s="4">
        <f t="shared" si="338"/>
        <v>2.0938913375615513</v>
      </c>
      <c r="AC536" s="48" t="str">
        <f t="shared" si="339"/>
        <v>-0,00189803292169399+0,0026354241684925i</v>
      </c>
      <c r="AD536" s="20">
        <f t="shared" si="340"/>
        <v>-49.768303103855224</v>
      </c>
      <c r="AE536" s="44">
        <f t="shared" si="341"/>
        <v>125.76143963617537</v>
      </c>
      <c r="AF536" t="str">
        <f t="shared" si="327"/>
        <v>-0,0000125211169631323</v>
      </c>
      <c r="AG536" t="str">
        <f t="shared" si="328"/>
        <v>0,0459617613602396i</v>
      </c>
      <c r="AH536">
        <f t="shared" si="342"/>
        <v>4.5961761360239599E-2</v>
      </c>
      <c r="AI536">
        <f t="shared" si="343"/>
        <v>1.5707963267948966</v>
      </c>
      <c r="AJ536" t="str">
        <f t="shared" si="329"/>
        <v>1+73,5580577454162i</v>
      </c>
      <c r="AK536">
        <f t="shared" si="344"/>
        <v>73.564854783231823</v>
      </c>
      <c r="AL536">
        <f t="shared" si="345"/>
        <v>1.5572024605053822</v>
      </c>
      <c r="AM536" t="str">
        <f t="shared" si="330"/>
        <v>1+10772,9119116241i</v>
      </c>
      <c r="AN536">
        <f t="shared" si="346"/>
        <v>10772.911958036806</v>
      </c>
      <c r="AO536">
        <f t="shared" si="347"/>
        <v>1.5707035013819228</v>
      </c>
      <c r="AP536" s="42" t="str">
        <f t="shared" si="348"/>
        <v>-0,00053859608946671+0,0398905069050424i</v>
      </c>
      <c r="AQ536">
        <f t="shared" si="349"/>
        <v>-27.981817250136473</v>
      </c>
      <c r="AR536" s="44">
        <f t="shared" si="350"/>
        <v>90.773552661259373</v>
      </c>
      <c r="AS536" s="42" t="str">
        <f t="shared" si="351"/>
        <v>-0,000104106132881662-0,000077132924520068i</v>
      </c>
      <c r="AT536" s="20">
        <f t="shared" si="352"/>
        <v>-77.750120353991704</v>
      </c>
      <c r="AU536" s="44">
        <f t="shared" si="353"/>
        <v>-143.4650077025652</v>
      </c>
    </row>
    <row r="537" spans="14:47" x14ac:dyDescent="0.3">
      <c r="N537" s="8">
        <v>19</v>
      </c>
      <c r="O537" s="35">
        <f t="shared" si="321"/>
        <v>1548816.6189124861</v>
      </c>
      <c r="P537" s="34" t="str">
        <f t="shared" si="322"/>
        <v>324,571428571429</v>
      </c>
      <c r="Q537" s="4" t="str">
        <f t="shared" si="323"/>
        <v>1+222434,32739352i</v>
      </c>
      <c r="R537" s="4">
        <f t="shared" si="331"/>
        <v>222434.32739576788</v>
      </c>
      <c r="S537" s="4">
        <f t="shared" si="332"/>
        <v>1.5707918310859308</v>
      </c>
      <c r="T537" s="4" t="str">
        <f t="shared" si="324"/>
        <v>1+1,9463003646933i</v>
      </c>
      <c r="U537" s="4">
        <f t="shared" si="333"/>
        <v>2.1881693512169647</v>
      </c>
      <c r="V537" s="4">
        <f t="shared" si="334"/>
        <v>1.0961734753591088</v>
      </c>
      <c r="W537" t="str">
        <f t="shared" si="325"/>
        <v>1-16,8949684435182i</v>
      </c>
      <c r="X537" s="4">
        <f t="shared" si="335"/>
        <v>16.92453717853093</v>
      </c>
      <c r="Y537" s="4">
        <f t="shared" si="336"/>
        <v>-1.5116760825628408</v>
      </c>
      <c r="Z537" t="str">
        <f t="shared" si="326"/>
        <v>-8,59533167607804+14,4857459434725i</v>
      </c>
      <c r="AA537" s="4">
        <f t="shared" si="337"/>
        <v>16.843887976373523</v>
      </c>
      <c r="AB537" s="4">
        <f t="shared" si="338"/>
        <v>2.1063227154079893</v>
      </c>
      <c r="AC537" s="48" t="str">
        <f t="shared" si="339"/>
        <v>-0,00186349159659257+0,00261152473620682i</v>
      </c>
      <c r="AD537" s="20">
        <f t="shared" si="340"/>
        <v>-49.874722727897407</v>
      </c>
      <c r="AE537" s="44">
        <f t="shared" si="341"/>
        <v>125.51030993028083</v>
      </c>
      <c r="AF537" t="str">
        <f t="shared" si="327"/>
        <v>-0,0000125211169631323</v>
      </c>
      <c r="AG537" t="str">
        <f t="shared" si="328"/>
        <v>0,0470323483128136i</v>
      </c>
      <c r="AH537">
        <f t="shared" si="342"/>
        <v>4.7032348312813603E-2</v>
      </c>
      <c r="AI537">
        <f t="shared" si="343"/>
        <v>1.5707963267948966</v>
      </c>
      <c r="AJ537" t="str">
        <f t="shared" si="329"/>
        <v>1+75,2714450166675i</v>
      </c>
      <c r="AK537">
        <f t="shared" si="344"/>
        <v>75.278087348824144</v>
      </c>
      <c r="AL537">
        <f t="shared" si="345"/>
        <v>1.5575118578521063</v>
      </c>
      <c r="AM537" t="str">
        <f t="shared" si="330"/>
        <v>1+11023,8452656229i</v>
      </c>
      <c r="AN537">
        <f t="shared" si="346"/>
        <v>11023.845310979124</v>
      </c>
      <c r="AO537">
        <f t="shared" si="347"/>
        <v>1.5707056143462763</v>
      </c>
      <c r="AP537" s="42" t="str">
        <f t="shared" si="348"/>
        <v>-0,000514359549998683+0,0389828100988998i</v>
      </c>
      <c r="AQ537">
        <f t="shared" si="349"/>
        <v>-28.181781133344966</v>
      </c>
      <c r="AR537" s="44">
        <f t="shared" si="350"/>
        <v>90.755946563039245</v>
      </c>
      <c r="AS537" s="42" t="str">
        <f t="shared" si="351"/>
        <v>-0,00010084606816108-0,0000739874017189895i</v>
      </c>
      <c r="AT537" s="20">
        <f t="shared" si="352"/>
        <v>-78.05650386124239</v>
      </c>
      <c r="AU537" s="44">
        <f t="shared" si="353"/>
        <v>-143.73374350667987</v>
      </c>
    </row>
    <row r="538" spans="14:47" x14ac:dyDescent="0.3">
      <c r="N538" s="8">
        <v>20</v>
      </c>
      <c r="O538" s="35">
        <f t="shared" si="321"/>
        <v>1584893.1924611153</v>
      </c>
      <c r="P538" s="34" t="str">
        <f t="shared" si="322"/>
        <v>324,571428571429</v>
      </c>
      <c r="Q538" s="4" t="str">
        <f t="shared" si="323"/>
        <v>1+227615,488464472i</v>
      </c>
      <c r="R538" s="4">
        <f t="shared" si="331"/>
        <v>227615.4884666687</v>
      </c>
      <c r="S538" s="4">
        <f t="shared" si="332"/>
        <v>1.5707919334207605</v>
      </c>
      <c r="T538" s="4" t="str">
        <f t="shared" si="324"/>
        <v>1+1,99163552406413i</v>
      </c>
      <c r="U538" s="4">
        <f t="shared" si="333"/>
        <v>2.2285897021915453</v>
      </c>
      <c r="V538" s="4">
        <f t="shared" si="334"/>
        <v>1.1054702082368655</v>
      </c>
      <c r="W538" t="str">
        <f t="shared" si="325"/>
        <v>1-17,2885028130566i</v>
      </c>
      <c r="X538" s="4">
        <f t="shared" si="335"/>
        <v>17.31739961764081</v>
      </c>
      <c r="Y538" s="4">
        <f t="shared" si="336"/>
        <v>-1.5130187959473382</v>
      </c>
      <c r="Z538" t="str">
        <f t="shared" si="326"/>
        <v>-9,0475457260384+14,8231623119148i</v>
      </c>
      <c r="AA538" s="4">
        <f t="shared" si="337"/>
        <v>17.366180483633325</v>
      </c>
      <c r="AB538" s="4">
        <f t="shared" si="338"/>
        <v>2.1188026207021067</v>
      </c>
      <c r="AC538" s="48" t="str">
        <f t="shared" si="339"/>
        <v>-0,00182899560337686+0,00258787405466108i</v>
      </c>
      <c r="AD538" s="20">
        <f t="shared" si="340"/>
        <v>-49.981660718949868</v>
      </c>
      <c r="AE538" s="44">
        <f t="shared" si="341"/>
        <v>125.25098991197959</v>
      </c>
      <c r="AF538" t="str">
        <f t="shared" si="327"/>
        <v>-0,0000125211169631323</v>
      </c>
      <c r="AG538" t="str">
        <f t="shared" si="328"/>
        <v>0,0481278724390096i</v>
      </c>
      <c r="AH538">
        <f t="shared" si="342"/>
        <v>4.8127872439009602E-2</v>
      </c>
      <c r="AI538">
        <f t="shared" si="343"/>
        <v>1.5707963267948966</v>
      </c>
      <c r="AJ538" t="str">
        <f t="shared" si="329"/>
        <v>1+77,0247422044018i</v>
      </c>
      <c r="AK538">
        <f t="shared" si="344"/>
        <v>77.031233351508504</v>
      </c>
      <c r="AL538">
        <f t="shared" si="345"/>
        <v>1.5578142149131642</v>
      </c>
      <c r="AM538" t="str">
        <f t="shared" si="330"/>
        <v>1+11280,6236082992i</v>
      </c>
      <c r="AN538">
        <f t="shared" si="346"/>
        <v>11280.62365262299</v>
      </c>
      <c r="AO538">
        <f t="shared" si="347"/>
        <v>1.5707076792136898</v>
      </c>
      <c r="AP538" s="42" t="str">
        <f t="shared" si="348"/>
        <v>-0,000491213458168285+0,0380957535081324i</v>
      </c>
      <c r="AQ538">
        <f t="shared" si="349"/>
        <v>-28.381746641796546</v>
      </c>
      <c r="AR538" s="44">
        <f t="shared" si="350"/>
        <v>90.738741087722715</v>
      </c>
      <c r="AS538" s="42" t="str">
        <f t="shared" si="351"/>
        <v>-0,0000976885848411503-0,0000709481642373968i</v>
      </c>
      <c r="AT538" s="20">
        <f t="shared" si="352"/>
        <v>-78.363407360746422</v>
      </c>
      <c r="AU538" s="44">
        <f t="shared" si="353"/>
        <v>-144.01026900029768</v>
      </c>
    </row>
    <row r="539" spans="14:47" x14ac:dyDescent="0.3">
      <c r="N539" s="8">
        <v>21</v>
      </c>
      <c r="O539" s="35">
        <f t="shared" si="321"/>
        <v>1621810.0973589318</v>
      </c>
      <c r="P539" s="34" t="str">
        <f t="shared" si="322"/>
        <v>324,571428571429</v>
      </c>
      <c r="Q539" s="4" t="str">
        <f t="shared" si="323"/>
        <v>1+232917,334280254i</v>
      </c>
      <c r="R539" s="4">
        <f t="shared" si="331"/>
        <v>232917.3342824007</v>
      </c>
      <c r="S539" s="4">
        <f t="shared" si="332"/>
        <v>1.5707920334261651</v>
      </c>
      <c r="T539" s="4" t="str">
        <f t="shared" si="324"/>
        <v>1+2,03802667495222i</v>
      </c>
      <c r="U539" s="4">
        <f t="shared" si="333"/>
        <v>2.2701437680941714</v>
      </c>
      <c r="V539" s="4">
        <f t="shared" si="334"/>
        <v>1.1146399636482349</v>
      </c>
      <c r="W539" t="str">
        <f t="shared" si="325"/>
        <v>1-17,6912037756269i</v>
      </c>
      <c r="X539" s="4">
        <f t="shared" si="335"/>
        <v>17.71944386911608</v>
      </c>
      <c r="Y539" s="4">
        <f t="shared" si="336"/>
        <v>-1.5143311470068197</v>
      </c>
      <c r="Z539" t="str">
        <f t="shared" si="326"/>
        <v>-9,5210719675815+15,1684381172225i</v>
      </c>
      <c r="AA539" s="4">
        <f t="shared" si="337"/>
        <v>17.909001265505417</v>
      </c>
      <c r="AB539" s="4">
        <f t="shared" si="338"/>
        <v>2.131327451634331</v>
      </c>
      <c r="AC539" s="48" t="str">
        <f t="shared" si="339"/>
        <v>-0,0017945428913544+0,00256443859279559i</v>
      </c>
      <c r="AD539" s="20">
        <f t="shared" si="340"/>
        <v>-50.089188838606056</v>
      </c>
      <c r="AE539" s="44">
        <f t="shared" si="341"/>
        <v>124.98356033785149</v>
      </c>
      <c r="AF539" t="str">
        <f t="shared" si="327"/>
        <v>-0,0000125211169631323</v>
      </c>
      <c r="AG539" t="str">
        <f t="shared" si="328"/>
        <v>0,0492489146002206i</v>
      </c>
      <c r="AH539">
        <f t="shared" si="342"/>
        <v>4.92489146002206E-2</v>
      </c>
      <c r="AI539">
        <f t="shared" si="343"/>
        <v>1.5707963267948966</v>
      </c>
      <c r="AJ539" t="str">
        <f t="shared" si="329"/>
        <v>1+78,8188789299958i</v>
      </c>
      <c r="AK539">
        <f t="shared" si="344"/>
        <v>78.825222332584232</v>
      </c>
      <c r="AL539">
        <f t="shared" si="345"/>
        <v>1.5581096917810131</v>
      </c>
      <c r="AM539" t="str">
        <f t="shared" si="330"/>
        <v>1+11543,3830869294i</v>
      </c>
      <c r="AN539">
        <f t="shared" si="346"/>
        <v>11543.383130244256</v>
      </c>
      <c r="AO539">
        <f t="shared" si="347"/>
        <v>1.5707096970789833</v>
      </c>
      <c r="AP539" s="42" t="str">
        <f t="shared" si="348"/>
        <v>-0,000469108768851845+0,0372288687376768i</v>
      </c>
      <c r="AQ539">
        <f t="shared" si="349"/>
        <v>-28.581713702367708</v>
      </c>
      <c r="AR539" s="44">
        <f t="shared" si="350"/>
        <v>90.721927125416173</v>
      </c>
      <c r="AS539" s="42" t="str">
        <f t="shared" si="351"/>
        <v>-0,0000946293119506045-0,0000680118023774264i</v>
      </c>
      <c r="AT539" s="20">
        <f t="shared" si="352"/>
        <v>-78.670902540973756</v>
      </c>
      <c r="AU539" s="44">
        <f t="shared" si="353"/>
        <v>-144.29451253673233</v>
      </c>
    </row>
    <row r="540" spans="14:47" x14ac:dyDescent="0.3">
      <c r="N540" s="8">
        <v>22</v>
      </c>
      <c r="O540" s="35">
        <f t="shared" si="321"/>
        <v>1659586.9074375622</v>
      </c>
      <c r="P540" s="34" t="str">
        <f t="shared" si="322"/>
        <v>324,571428571429</v>
      </c>
      <c r="Q540" s="4" t="str">
        <f t="shared" si="323"/>
        <v>1+238342,675949698i</v>
      </c>
      <c r="R540" s="4">
        <f t="shared" si="331"/>
        <v>238342.67595179586</v>
      </c>
      <c r="S540" s="4">
        <f t="shared" si="332"/>
        <v>1.5707921311551691</v>
      </c>
      <c r="T540" s="4" t="str">
        <f t="shared" si="324"/>
        <v>1+2,08549841455986i</v>
      </c>
      <c r="U540" s="4">
        <f t="shared" si="333"/>
        <v>2.3128561643845669</v>
      </c>
      <c r="V540" s="4">
        <f t="shared" si="334"/>
        <v>1.1236814343015831</v>
      </c>
      <c r="W540" t="str">
        <f t="shared" si="325"/>
        <v>1-18,1032848486099i</v>
      </c>
      <c r="X540" s="4">
        <f t="shared" si="335"/>
        <v>18.130883108936221</v>
      </c>
      <c r="Y540" s="4">
        <f t="shared" si="336"/>
        <v>-1.5156138134752224</v>
      </c>
      <c r="Z540" t="str">
        <f t="shared" si="326"/>
        <v>-10,0169148133527+15,5217564291981i</v>
      </c>
      <c r="AA540" s="4">
        <f t="shared" si="337"/>
        <v>18.473318733387277</v>
      </c>
      <c r="AB540" s="4">
        <f t="shared" si="338"/>
        <v>2.1438933999267151</v>
      </c>
      <c r="AC540" s="48" t="str">
        <f t="shared" si="339"/>
        <v>-0,00176013360345719+0,002541185651115i</v>
      </c>
      <c r="AD540" s="20">
        <f t="shared" si="340"/>
        <v>-50.197377289600041</v>
      </c>
      <c r="AE540" s="44">
        <f t="shared" si="341"/>
        <v>124.70812566952462</v>
      </c>
      <c r="AF540" t="str">
        <f t="shared" si="327"/>
        <v>-0,0000125211169631323</v>
      </c>
      <c r="AG540" t="str">
        <f t="shared" si="328"/>
        <v>0,050396069187839i</v>
      </c>
      <c r="AH540">
        <f t="shared" si="342"/>
        <v>5.0396069187839003E-2</v>
      </c>
      <c r="AI540">
        <f t="shared" si="343"/>
        <v>1.5707963267948966</v>
      </c>
      <c r="AJ540" t="str">
        <f t="shared" si="329"/>
        <v>1+80,6548064684901i</v>
      </c>
      <c r="AK540">
        <f t="shared" si="344"/>
        <v>80.661005488833268</v>
      </c>
      <c r="AL540">
        <f t="shared" si="345"/>
        <v>1.5583984449149049</v>
      </c>
      <c r="AM540" t="str">
        <f t="shared" si="330"/>
        <v>1+11812,263020067i</v>
      </c>
      <c r="AN540">
        <f t="shared" si="346"/>
        <v>11812.263062395888</v>
      </c>
      <c r="AO540">
        <f t="shared" si="347"/>
        <v>1.5707116690120559</v>
      </c>
      <c r="AP540" s="42" t="str">
        <f t="shared" si="348"/>
        <v>-0,000447998641408069+0,0363816979588125i</v>
      </c>
      <c r="AQ540">
        <f t="shared" si="349"/>
        <v>-28.781682245224225</v>
      </c>
      <c r="AR540" s="44">
        <f t="shared" si="350"/>
        <v>90.70549577296552</v>
      </c>
      <c r="AS540" s="42" t="str">
        <f t="shared" si="351"/>
        <v>-0,0000916641113530887-0,0000651750968474009i</v>
      </c>
      <c r="AT540" s="20">
        <f t="shared" si="352"/>
        <v>-78.979059534824273</v>
      </c>
      <c r="AU540" s="44">
        <f t="shared" si="353"/>
        <v>-144.58637855750985</v>
      </c>
    </row>
    <row r="541" spans="14:47" x14ac:dyDescent="0.3">
      <c r="N541" s="8">
        <v>23</v>
      </c>
      <c r="O541" s="35">
        <f t="shared" si="321"/>
        <v>1698243.6524617488</v>
      </c>
      <c r="P541" s="34" t="str">
        <f t="shared" si="322"/>
        <v>324,571428571429</v>
      </c>
      <c r="Q541" s="4" t="str">
        <f t="shared" si="323"/>
        <v>1+243894,39006077i</v>
      </c>
      <c r="R541" s="4">
        <f t="shared" si="331"/>
        <v>243894.39006282011</v>
      </c>
      <c r="S541" s="4">
        <f t="shared" si="332"/>
        <v>1.5707922266595891</v>
      </c>
      <c r="T541" s="4" t="str">
        <f t="shared" si="324"/>
        <v>1+2,13407591303174i</v>
      </c>
      <c r="U541" s="4">
        <f t="shared" si="333"/>
        <v>2.3567520027746354</v>
      </c>
      <c r="V541" s="4">
        <f t="shared" si="334"/>
        <v>1.132593500134311</v>
      </c>
      <c r="W541" t="str">
        <f t="shared" si="325"/>
        <v>1-18,524964522845i</v>
      </c>
      <c r="X541" s="4">
        <f t="shared" si="335"/>
        <v>18.551935493976519</v>
      </c>
      <c r="Y541" s="4">
        <f t="shared" si="336"/>
        <v>-1.5168674585474413</v>
      </c>
      <c r="Z541" t="str">
        <f t="shared" si="326"/>
        <v>-10,5361260125066+15,8833045818873i</v>
      </c>
      <c r="AA541" s="4">
        <f t="shared" si="337"/>
        <v>19.060149941498896</v>
      </c>
      <c r="AB541" s="4">
        <f t="shared" si="338"/>
        <v>2.156496458572752</v>
      </c>
      <c r="AC541" s="48" t="str">
        <f t="shared" si="339"/>
        <v>-0,00172577000443139+0,00251808347805042i</v>
      </c>
      <c r="AD541" s="20">
        <f t="shared" si="340"/>
        <v>-50.306294527903439</v>
      </c>
      <c r="AE541" s="44">
        <f t="shared" si="341"/>
        <v>124.42481331546318</v>
      </c>
      <c r="AF541" t="str">
        <f t="shared" si="327"/>
        <v>-0,0000125211169631323</v>
      </c>
      <c r="AG541" t="str">
        <f t="shared" si="328"/>
        <v>0,0515699444384118i</v>
      </c>
      <c r="AH541">
        <f t="shared" si="342"/>
        <v>5.1569944438411799E-2</v>
      </c>
      <c r="AI541">
        <f t="shared" si="343"/>
        <v>1.5707963267948966</v>
      </c>
      <c r="AJ541" t="str">
        <f t="shared" si="329"/>
        <v>1+82,5334982529669i</v>
      </c>
      <c r="AK541">
        <f t="shared" si="344"/>
        <v>82.539556176856749</v>
      </c>
      <c r="AL541">
        <f t="shared" si="345"/>
        <v>1.5586806272228564</v>
      </c>
      <c r="AM541" t="str">
        <f t="shared" si="330"/>
        <v>1+12087,4059714118i</v>
      </c>
      <c r="AN541">
        <f t="shared" si="346"/>
        <v>12087.406012777168</v>
      </c>
      <c r="AO541">
        <f t="shared" si="347"/>
        <v>1.5707135960584522</v>
      </c>
      <c r="AP541" s="42" t="str">
        <f t="shared" si="348"/>
        <v>-0,000427838340716094+0,0355537936750224i</v>
      </c>
      <c r="AQ541">
        <f t="shared" si="349"/>
        <v>-28.98165220367261</v>
      </c>
      <c r="AR541" s="44">
        <f t="shared" si="350"/>
        <v>90.689438329292088</v>
      </c>
      <c r="AS541" s="42" t="str">
        <f t="shared" si="351"/>
        <v>-0,0000887890698599339-0,0000624350033251298i</v>
      </c>
      <c r="AT541" s="20">
        <f t="shared" si="352"/>
        <v>-79.287946731576056</v>
      </c>
      <c r="AU541" s="44">
        <f t="shared" si="353"/>
        <v>-144.88574835524474</v>
      </c>
    </row>
    <row r="542" spans="14:47" x14ac:dyDescent="0.3">
      <c r="N542" s="8">
        <v>24</v>
      </c>
      <c r="O542" s="35">
        <f t="shared" si="321"/>
        <v>1737800.8287493798</v>
      </c>
      <c r="P542" s="34" t="str">
        <f t="shared" si="322"/>
        <v>324,571428571429</v>
      </c>
      <c r="Q542" s="4" t="str">
        <f t="shared" si="323"/>
        <v>1+249575,420205774i</v>
      </c>
      <c r="R542" s="4">
        <f t="shared" si="331"/>
        <v>249575.42020777741</v>
      </c>
      <c r="S542" s="4">
        <f t="shared" si="332"/>
        <v>1.5707923199900631</v>
      </c>
      <c r="T542" s="4" t="str">
        <f t="shared" si="324"/>
        <v>1+2,18378492680052i</v>
      </c>
      <c r="U542" s="4">
        <f t="shared" si="333"/>
        <v>2.4018569080028795</v>
      </c>
      <c r="V542" s="4">
        <f t="shared" si="334"/>
        <v>1.1413752227175846</v>
      </c>
      <c r="W542" t="str">
        <f t="shared" si="325"/>
        <v>1-18,9564663784767i</v>
      </c>
      <c r="X542" s="4">
        <f t="shared" si="335"/>
        <v>18.982824277707405</v>
      </c>
      <c r="Y542" s="4">
        <f t="shared" si="336"/>
        <v>-1.5180927311516665</v>
      </c>
      <c r="Z542" t="str">
        <f t="shared" si="326"/>
        <v>-11,0798068816081+16,2532742729059i</v>
      </c>
      <c r="AA542" s="4">
        <f t="shared" si="337"/>
        <v>19.670562908163941</v>
      </c>
      <c r="AB542" s="4">
        <f t="shared" si="338"/>
        <v>2.1691324305574518</v>
      </c>
      <c r="AC542" s="48" t="str">
        <f t="shared" si="339"/>
        <v>-0,00169145640082302+0,00249510138349024i</v>
      </c>
      <c r="AD542" s="20">
        <f t="shared" si="340"/>
        <v>-50.41600708315994</v>
      </c>
      <c r="AE542" s="44">
        <f t="shared" si="341"/>
        <v>124.13377279515329</v>
      </c>
      <c r="AF542" t="str">
        <f t="shared" si="327"/>
        <v>-0,0000125211169631323</v>
      </c>
      <c r="AG542" t="str">
        <f t="shared" si="328"/>
        <v>0,0527711627561346i</v>
      </c>
      <c r="AH542">
        <f t="shared" si="342"/>
        <v>5.2771162756134603E-2</v>
      </c>
      <c r="AI542">
        <f t="shared" si="343"/>
        <v>1.5707963267948966</v>
      </c>
      <c r="AJ542" t="str">
        <f t="shared" si="329"/>
        <v>1+84,4559503906764i</v>
      </c>
      <c r="AK542">
        <f t="shared" si="344"/>
        <v>84.461870429161081</v>
      </c>
      <c r="AL542">
        <f t="shared" si="345"/>
        <v>1.5589563881418047</v>
      </c>
      <c r="AM542" t="str">
        <f t="shared" si="330"/>
        <v>1+12368,9578253981i</v>
      </c>
      <c r="AN542">
        <f t="shared" si="346"/>
        <v>12368.957865821876</v>
      </c>
      <c r="AO542">
        <f t="shared" si="347"/>
        <v>1.5707154792399176</v>
      </c>
      <c r="AP542" s="42" t="str">
        <f t="shared" si="348"/>
        <v>-0,000408585142644996+0,0347447184927516i</v>
      </c>
      <c r="AQ542">
        <f t="shared" si="349"/>
        <v>-29.181623514019609</v>
      </c>
      <c r="AR542" s="44">
        <f t="shared" si="350"/>
        <v>90.67374629083173</v>
      </c>
      <c r="AS542" s="42" t="str">
        <f t="shared" si="351"/>
        <v>-0,0000860004912254354-0,0000597886378440457i</v>
      </c>
      <c r="AT542" s="20">
        <f t="shared" si="352"/>
        <v>-79.59763059717956</v>
      </c>
      <c r="AU542" s="44">
        <f t="shared" si="353"/>
        <v>-145.19248091401496</v>
      </c>
    </row>
    <row r="543" spans="14:47" x14ac:dyDescent="0.3">
      <c r="N543" s="8">
        <v>25</v>
      </c>
      <c r="O543" s="35">
        <f t="shared" si="321"/>
        <v>1778279.4100389241</v>
      </c>
      <c r="P543" s="34" t="str">
        <f t="shared" si="322"/>
        <v>324,571428571429</v>
      </c>
      <c r="Q543" s="4" t="str">
        <f t="shared" si="323"/>
        <v>1+255388,778542091i</v>
      </c>
      <c r="R543" s="4">
        <f t="shared" si="331"/>
        <v>255388.77854404878</v>
      </c>
      <c r="S543" s="4">
        <f t="shared" si="332"/>
        <v>1.5707924111960763</v>
      </c>
      <c r="T543" s="4" t="str">
        <f t="shared" si="324"/>
        <v>1+2,2346518122433i</v>
      </c>
      <c r="U543" s="4">
        <f t="shared" si="333"/>
        <v>2.448197034954962</v>
      </c>
      <c r="V543" s="4">
        <f t="shared" si="334"/>
        <v>1.150025839337681</v>
      </c>
      <c r="W543" t="str">
        <f t="shared" si="325"/>
        <v>1-19,3980192035009i</v>
      </c>
      <c r="X543" s="4">
        <f t="shared" si="335"/>
        <v>19.423777928595399</v>
      </c>
      <c r="Y543" s="4">
        <f t="shared" si="336"/>
        <v>-1.5192902662193635</v>
      </c>
      <c r="Z543" t="str">
        <f t="shared" si="326"/>
        <v>-11,6491106406735+16,6318616650816i</v>
      </c>
      <c r="AA543" s="4">
        <f t="shared" si="337"/>
        <v>20.305679037280768</v>
      </c>
      <c r="AB543" s="4">
        <f t="shared" si="338"/>
        <v>2.1817969385363729</v>
      </c>
      <c r="AC543" s="48" t="str">
        <f t="shared" si="339"/>
        <v>-0,00165719905275945+0,00247220984857494i</v>
      </c>
      <c r="AD543" s="20">
        <f t="shared" si="340"/>
        <v>-50.52657938829023</v>
      </c>
      <c r="AE543" s="44">
        <f t="shared" si="341"/>
        <v>123.83517482995101</v>
      </c>
      <c r="AF543" t="str">
        <f t="shared" si="327"/>
        <v>-0,0000125211169631323</v>
      </c>
      <c r="AG543" t="str">
        <f t="shared" si="328"/>
        <v>0,0540003610428596i</v>
      </c>
      <c r="AH543">
        <f t="shared" si="342"/>
        <v>5.4000361042859601E-2</v>
      </c>
      <c r="AI543">
        <f t="shared" si="343"/>
        <v>1.5707963267948966</v>
      </c>
      <c r="AJ543" t="str">
        <f t="shared" si="329"/>
        <v>1+86,4231821911897i</v>
      </c>
      <c r="AK543">
        <f t="shared" si="344"/>
        <v>86.428967482271645</v>
      </c>
      <c r="AL543">
        <f t="shared" si="345"/>
        <v>1.559225873715983</v>
      </c>
      <c r="AM543" t="str">
        <f t="shared" si="330"/>
        <v>1+12657,0678645461i</v>
      </c>
      <c r="AN543">
        <f t="shared" si="346"/>
        <v>12657.067904049718</v>
      </c>
      <c r="AO543">
        <f t="shared" si="347"/>
        <v>1.5707173195549402</v>
      </c>
      <c r="AP543" s="42" t="str">
        <f t="shared" si="348"/>
        <v>-0,000390198243757356+0,0339540448969939i</v>
      </c>
      <c r="AQ543">
        <f t="shared" si="349"/>
        <v>-29.381596115436661</v>
      </c>
      <c r="AR543" s="44">
        <f t="shared" si="350"/>
        <v>90.658411347075415</v>
      </c>
      <c r="AS543" s="42" t="str">
        <f t="shared" si="351"/>
        <v>-0,0000832948880333609-0,0000572332629817637i</v>
      </c>
      <c r="AT543" s="20">
        <f t="shared" si="352"/>
        <v>-79.908175503726895</v>
      </c>
      <c r="AU543" s="44">
        <f t="shared" si="353"/>
        <v>-145.50641382297357</v>
      </c>
    </row>
    <row r="544" spans="14:47" x14ac:dyDescent="0.3">
      <c r="N544" s="8">
        <v>26</v>
      </c>
      <c r="O544" s="35">
        <f t="shared" si="321"/>
        <v>1819700.8586099846</v>
      </c>
      <c r="P544" s="34" t="str">
        <f t="shared" si="322"/>
        <v>324,571428571429</v>
      </c>
      <c r="Q544" s="4" t="str">
        <f t="shared" si="323"/>
        <v>1+261337,547389264i</v>
      </c>
      <c r="R544" s="4">
        <f t="shared" si="331"/>
        <v>261337.54739117718</v>
      </c>
      <c r="S544" s="4">
        <f t="shared" si="332"/>
        <v>1.5707925003259871</v>
      </c>
      <c r="T544" s="4" t="str">
        <f t="shared" si="324"/>
        <v>1+2,28670353965606i</v>
      </c>
      <c r="U544" s="4">
        <f t="shared" si="333"/>
        <v>2.4957990861196246</v>
      </c>
      <c r="V544" s="4">
        <f t="shared" si="334"/>
        <v>1.1585447568051497</v>
      </c>
      <c r="W544" t="str">
        <f t="shared" si="325"/>
        <v>1-19,84985711507i</v>
      </c>
      <c r="X544" s="4">
        <f t="shared" si="335"/>
        <v>19.875030251264906</v>
      </c>
      <c r="Y544" s="4">
        <f t="shared" si="336"/>
        <v>-1.5204606849526945</v>
      </c>
      <c r="Z544" t="str">
        <f t="shared" si="326"/>
        <v>-12,2452448593036+17,019267490461i</v>
      </c>
      <c r="AA544" s="4">
        <f t="shared" si="337"/>
        <v>20.966675644368706</v>
      </c>
      <c r="AB544" s="4">
        <f t="shared" si="338"/>
        <v>2.1944854354430681</v>
      </c>
      <c r="AC544" s="48" t="str">
        <f t="shared" si="339"/>
        <v>-0,0016230060776408+0,00244938063083716i</v>
      </c>
      <c r="AD544" s="20">
        <f t="shared" si="340"/>
        <v>-50.638073619048583</v>
      </c>
      <c r="AE544" s="44">
        <f t="shared" si="341"/>
        <v>123.52921036528814</v>
      </c>
      <c r="AF544" t="str">
        <f t="shared" si="327"/>
        <v>-0,0000125211169631323</v>
      </c>
      <c r="AG544" t="str">
        <f t="shared" si="328"/>
        <v>0,0552581910357888i</v>
      </c>
      <c r="AH544">
        <f t="shared" si="342"/>
        <v>5.5258191035788801E-2</v>
      </c>
      <c r="AI544">
        <f t="shared" si="343"/>
        <v>1.5707963267948966</v>
      </c>
      <c r="AJ544" t="str">
        <f t="shared" si="329"/>
        <v>1+88,4362367068474i</v>
      </c>
      <c r="AK544">
        <f t="shared" si="344"/>
        <v>88.441890317142935</v>
      </c>
      <c r="AL544">
        <f t="shared" si="345"/>
        <v>1.5594892266735545</v>
      </c>
      <c r="AM544" t="str">
        <f t="shared" si="330"/>
        <v>1+12951,8888486119i</v>
      </c>
      <c r="AN544">
        <f t="shared" si="346"/>
        <v>12951.888887216308</v>
      </c>
      <c r="AO544">
        <f t="shared" si="347"/>
        <v>1.570719117979279</v>
      </c>
      <c r="AP544" s="42" t="str">
        <f t="shared" si="348"/>
        <v>-0,00037263867505809+0,0331813550316104i</v>
      </c>
      <c r="AQ544">
        <f t="shared" si="349"/>
        <v>-29.581569949831767</v>
      </c>
      <c r="AR544" s="44">
        <f t="shared" si="350"/>
        <v>90.643425376208668</v>
      </c>
      <c r="AS544" s="42" t="str">
        <f t="shared" si="351"/>
        <v>-0,0000806689734849743-0,0000547662748336489i</v>
      </c>
      <c r="AT544" s="20">
        <f t="shared" si="352"/>
        <v>-80.219643568880358</v>
      </c>
      <c r="AU544" s="44">
        <f t="shared" si="353"/>
        <v>-145.8273642585032</v>
      </c>
    </row>
    <row r="545" spans="14:47" x14ac:dyDescent="0.3">
      <c r="N545" s="8">
        <v>27</v>
      </c>
      <c r="O545" s="35">
        <f t="shared" si="321"/>
        <v>1862087.1366628683</v>
      </c>
      <c r="P545" s="34" t="str">
        <f t="shared" si="322"/>
        <v>324,571428571429</v>
      </c>
      <c r="Q545" s="4" t="str">
        <f t="shared" si="323"/>
        <v>1+267424,880863273i</v>
      </c>
      <c r="R545" s="4">
        <f t="shared" si="331"/>
        <v>267424.88086514262</v>
      </c>
      <c r="S545" s="4">
        <f t="shared" si="332"/>
        <v>1.5707925874270534</v>
      </c>
      <c r="T545" s="4" t="str">
        <f t="shared" si="324"/>
        <v>1+2,33996770755364i</v>
      </c>
      <c r="U545" s="4">
        <f t="shared" si="333"/>
        <v>2.5446903293709116</v>
      </c>
      <c r="V545" s="4">
        <f t="shared" si="334"/>
        <v>1.1669315450410211</v>
      </c>
      <c r="W545" t="str">
        <f t="shared" si="325"/>
        <v>1-20,3122196836253i</v>
      </c>
      <c r="X545" s="4">
        <f t="shared" si="335"/>
        <v>20.336820510489222</v>
      </c>
      <c r="Y545" s="4">
        <f t="shared" si="336"/>
        <v>-1.5216045950892174</v>
      </c>
      <c r="Z545" t="str">
        <f t="shared" si="326"/>
        <v>-12,8694740181012+17,4156971567404i</v>
      </c>
      <c r="AA545" s="4">
        <f t="shared" si="337"/>
        <v>21.654788591853709</v>
      </c>
      <c r="AB545" s="4">
        <f t="shared" si="338"/>
        <v>2.2071932159852157</v>
      </c>
      <c r="AC545" s="48" t="str">
        <f t="shared" si="339"/>
        <v>-0,0015888873459712+0,00242658686376712i</v>
      </c>
      <c r="AD545" s="20">
        <f t="shared" si="340"/>
        <v>-50.750549544264061</v>
      </c>
      <c r="AE545" s="44">
        <f t="shared" si="341"/>
        <v>123.21608952934164</v>
      </c>
      <c r="AF545" t="str">
        <f t="shared" si="327"/>
        <v>-0,0000125211169631323</v>
      </c>
      <c r="AG545" t="str">
        <f t="shared" si="328"/>
        <v>0,0565453196530339i</v>
      </c>
      <c r="AH545">
        <f t="shared" si="342"/>
        <v>5.6545319653033901E-2</v>
      </c>
      <c r="AI545">
        <f t="shared" si="343"/>
        <v>1.5707963267948966</v>
      </c>
      <c r="AJ545" t="str">
        <f t="shared" si="329"/>
        <v>1+90,4961812857989i</v>
      </c>
      <c r="AK545">
        <f t="shared" si="344"/>
        <v>90.501706212160315</v>
      </c>
      <c r="AL545">
        <f t="shared" si="345"/>
        <v>1.5597465865015407</v>
      </c>
      <c r="AM545" t="str">
        <f t="shared" si="330"/>
        <v>1+13253,5770955838i</v>
      </c>
      <c r="AN545">
        <f t="shared" si="346"/>
        <v>13253.577133309464</v>
      </c>
      <c r="AO545">
        <f t="shared" si="347"/>
        <v>1.5707208754664823</v>
      </c>
      <c r="AP545" s="42" t="str">
        <f t="shared" si="348"/>
        <v>-0,000355869219608188+0,0324262404843084i</v>
      </c>
      <c r="AQ545">
        <f t="shared" si="349"/>
        <v>-29.781544961725913</v>
      </c>
      <c r="AR545" s="44">
        <f t="shared" si="350"/>
        <v>90.628780440848146</v>
      </c>
      <c r="AS545" s="42" t="str">
        <f t="shared" si="351"/>
        <v>-0,0000781196531007202-0,0000523851907564569i</v>
      </c>
      <c r="AT545" s="20">
        <f t="shared" si="352"/>
        <v>-80.532094505989974</v>
      </c>
      <c r="AU545" s="44">
        <f t="shared" si="353"/>
        <v>-146.15513002981021</v>
      </c>
    </row>
    <row r="546" spans="14:47" x14ac:dyDescent="0.3">
      <c r="N546" s="8">
        <v>28</v>
      </c>
      <c r="O546" s="35">
        <f t="shared" si="321"/>
        <v>1905460.7179632513</v>
      </c>
      <c r="P546" s="34" t="str">
        <f t="shared" si="322"/>
        <v>324,571428571429</v>
      </c>
      <c r="Q546" s="4" t="str">
        <f t="shared" si="323"/>
        <v>1+273654,006548905i</v>
      </c>
      <c r="R546" s="4">
        <f t="shared" si="331"/>
        <v>273654.00655073213</v>
      </c>
      <c r="S546" s="4">
        <f t="shared" si="332"/>
        <v>1.5707926725454573</v>
      </c>
      <c r="T546" s="4" t="str">
        <f t="shared" si="324"/>
        <v>1+2,39447255730292i</v>
      </c>
      <c r="U546" s="4">
        <f t="shared" si="333"/>
        <v>2.5948986160689955</v>
      </c>
      <c r="V546" s="4">
        <f t="shared" si="334"/>
        <v>1.1751859304869707</v>
      </c>
      <c r="W546" t="str">
        <f t="shared" si="325"/>
        <v>1-20,7853520599212i</v>
      </c>
      <c r="X546" s="4">
        <f t="shared" si="335"/>
        <v>20.80939355807541</v>
      </c>
      <c r="Y546" s="4">
        <f t="shared" si="336"/>
        <v>-1.5227225911636983</v>
      </c>
      <c r="Z546" t="str">
        <f t="shared" si="326"/>
        <v>-13,5231221908043+17,8213608561764i</v>
      </c>
      <c r="AA546" s="4">
        <f t="shared" si="337"/>
        <v>22.371315038537187</v>
      </c>
      <c r="AB546" s="4">
        <f t="shared" si="338"/>
        <v>2.2199154289804151</v>
      </c>
      <c r="AC546" s="48" t="str">
        <f t="shared" si="339"/>
        <v>-0,00155485436967874+0,00240380314989966i</v>
      </c>
      <c r="AD546" s="20">
        <f t="shared" si="340"/>
        <v>-50.864064387435945</v>
      </c>
      <c r="AE546" s="44">
        <f t="shared" si="341"/>
        <v>122.89604053367209</v>
      </c>
      <c r="AF546" t="str">
        <f t="shared" si="327"/>
        <v>-0,0000125211169631323</v>
      </c>
      <c r="AG546" t="str">
        <f t="shared" si="328"/>
        <v>0,0578624293472249i</v>
      </c>
      <c r="AH546">
        <f t="shared" si="342"/>
        <v>5.7862429347224902E-2</v>
      </c>
      <c r="AI546">
        <f t="shared" si="343"/>
        <v>1.5707963267948966</v>
      </c>
      <c r="AJ546" t="str">
        <f t="shared" si="329"/>
        <v>1+92,6041081379275i</v>
      </c>
      <c r="AK546">
        <f t="shared" si="344"/>
        <v>92.609507309028317</v>
      </c>
      <c r="AL546">
        <f t="shared" si="345"/>
        <v>1.559998089519083</v>
      </c>
      <c r="AM546" t="str">
        <f t="shared" si="330"/>
        <v>1+13562,2925645637i</v>
      </c>
      <c r="AN546">
        <f t="shared" si="346"/>
        <v>13562.292601430623</v>
      </c>
      <c r="AO546">
        <f t="shared" si="347"/>
        <v>1.5707225929483934</v>
      </c>
      <c r="AP546" s="42" t="str">
        <f t="shared" si="348"/>
        <v>-0,000339854333830781+0,0316883020761885i</v>
      </c>
      <c r="AQ546">
        <f t="shared" si="349"/>
        <v>-29.981521098135886</v>
      </c>
      <c r="AR546" s="44">
        <f t="shared" si="350"/>
        <v>90.614468783873065</v>
      </c>
      <c r="AS546" s="42" t="str">
        <f t="shared" si="351"/>
        <v>-0,0000756440163497028-0,0000500876378690311i</v>
      </c>
      <c r="AT546" s="20">
        <f t="shared" si="352"/>
        <v>-80.845585485571831</v>
      </c>
      <c r="AU546" s="44">
        <f t="shared" si="353"/>
        <v>-146.48949068245483</v>
      </c>
    </row>
    <row r="547" spans="14:47" x14ac:dyDescent="0.3">
      <c r="N547" s="8">
        <v>29</v>
      </c>
      <c r="O547" s="35">
        <f t="shared" si="321"/>
        <v>1949844.5997580495</v>
      </c>
      <c r="P547" s="34" t="str">
        <f t="shared" si="322"/>
        <v>324,571428571429</v>
      </c>
      <c r="Q547" s="4" t="str">
        <f t="shared" si="323"/>
        <v>1+280028,227211045i</v>
      </c>
      <c r="R547" s="4">
        <f t="shared" si="331"/>
        <v>280028.2272128305</v>
      </c>
      <c r="S547" s="4">
        <f t="shared" si="332"/>
        <v>1.5707927557263299</v>
      </c>
      <c r="T547" s="4" t="str">
        <f t="shared" si="324"/>
        <v>1+2,45024698809664i</v>
      </c>
      <c r="U547" s="4">
        <f t="shared" si="333"/>
        <v>2.6464523994730484</v>
      </c>
      <c r="V547" s="4">
        <f t="shared" si="334"/>
        <v>1.1833077893837591</v>
      </c>
      <c r="W547" t="str">
        <f t="shared" si="325"/>
        <v>1-21,2695051050056i</v>
      </c>
      <c r="X547" s="4">
        <f t="shared" si="335"/>
        <v>21.292999962707444</v>
      </c>
      <c r="Y547" s="4">
        <f t="shared" si="336"/>
        <v>-1.5238152547668977</v>
      </c>
      <c r="Z547" t="str">
        <f t="shared" si="326"/>
        <v>-14,2075758528224+18,2364736770317i</v>
      </c>
      <c r="AA547" s="4">
        <f t="shared" si="337"/>
        <v>23.117616308494529</v>
      </c>
      <c r="AB547" s="4">
        <f t="shared" si="338"/>
        <v>2.2326470904738067</v>
      </c>
      <c r="AC547" s="48" t="str">
        <f t="shared" si="339"/>
        <v>-0,00152092018338894+0,00238100564655005i</v>
      </c>
      <c r="AD547" s="20">
        <f t="shared" si="340"/>
        <v>-50.978672700290275</v>
      </c>
      <c r="AE547" s="44">
        <f t="shared" si="341"/>
        <v>122.56930852169445</v>
      </c>
      <c r="AF547" t="str">
        <f t="shared" si="327"/>
        <v>-0,0000125211169631323</v>
      </c>
      <c r="AG547" t="str">
        <f t="shared" si="328"/>
        <v>0,0592102184673555i</v>
      </c>
      <c r="AH547">
        <f t="shared" si="342"/>
        <v>5.9210218467355497E-2</v>
      </c>
      <c r="AI547">
        <f t="shared" si="343"/>
        <v>1.5707963267948966</v>
      </c>
      <c r="AJ547" t="str">
        <f t="shared" si="329"/>
        <v>1+94,7611349139498i</v>
      </c>
      <c r="AK547">
        <f t="shared" si="344"/>
        <v>94.76641119183418</v>
      </c>
      <c r="AL547">
        <f t="shared" si="345"/>
        <v>1.560243868949069</v>
      </c>
      <c r="AM547" t="str">
        <f t="shared" si="330"/>
        <v>1+13878,1989405794i</v>
      </c>
      <c r="AN547">
        <f t="shared" si="346"/>
        <v>13878.198976607127</v>
      </c>
      <c r="AO547">
        <f t="shared" si="347"/>
        <v>1.5707242713356435</v>
      </c>
      <c r="AP547" s="42" t="str">
        <f t="shared" si="348"/>
        <v>-0,00032456007234489+0,0309671496557833i</v>
      </c>
      <c r="AQ547">
        <f t="shared" si="349"/>
        <v>-30.18149830846184</v>
      </c>
      <c r="AR547" s="44">
        <f t="shared" si="350"/>
        <v>90.600482824349555</v>
      </c>
      <c r="AS547" s="42" t="str">
        <f t="shared" si="351"/>
        <v>-0,0000732393282232289-0,0000478713422984046i</v>
      </c>
      <c r="AT547" s="20">
        <f t="shared" si="352"/>
        <v>-81.160171008752116</v>
      </c>
      <c r="AU547" s="44">
        <f t="shared" si="353"/>
        <v>-146.83020865395594</v>
      </c>
    </row>
    <row r="548" spans="14:47" x14ac:dyDescent="0.3">
      <c r="N548" s="8">
        <v>30</v>
      </c>
      <c r="O548" s="35">
        <f t="shared" si="321"/>
        <v>1995262.31496888</v>
      </c>
      <c r="P548" s="34" t="str">
        <f t="shared" si="322"/>
        <v>324,571428571429</v>
      </c>
      <c r="Q548" s="4" t="str">
        <f t="shared" si="323"/>
        <v>1+286550,922545865i</v>
      </c>
      <c r="R548" s="4">
        <f t="shared" si="331"/>
        <v>286550.92254760989</v>
      </c>
      <c r="S548" s="4">
        <f t="shared" si="332"/>
        <v>1.5707928370137747</v>
      </c>
      <c r="T548" s="4" t="str">
        <f t="shared" si="324"/>
        <v>1+2,50732057227632i</v>
      </c>
      <c r="U548" s="4">
        <f t="shared" si="333"/>
        <v>2.6993807534618108</v>
      </c>
      <c r="V548" s="4">
        <f t="shared" si="334"/>
        <v>1.1912971409597117</v>
      </c>
      <c r="W548" t="str">
        <f t="shared" si="325"/>
        <v>1-21,7649355232319i</v>
      </c>
      <c r="X548" s="4">
        <f t="shared" si="335"/>
        <v>21.787896142823016</v>
      </c>
      <c r="Y548" s="4">
        <f t="shared" si="336"/>
        <v>-1.5248831548012201</v>
      </c>
      <c r="Z548" t="str">
        <f t="shared" si="326"/>
        <v>-14,9242868221399+18,6612557176191i</v>
      </c>
      <c r="AA548" s="4">
        <f t="shared" si="337"/>
        <v>23.895120884981313</v>
      </c>
      <c r="AB548" s="4">
        <f t="shared" si="338"/>
        <v>2.245383097571275</v>
      </c>
      <c r="AC548" s="48" t="str">
        <f t="shared" si="339"/>
        <v>-0,00148709921923003+0,00235817214337352i</v>
      </c>
      <c r="AD548" s="20">
        <f t="shared" si="340"/>
        <v>-51.094426248830622</v>
      </c>
      <c r="AE548" s="44">
        <f t="shared" si="341"/>
        <v>122.23615437117306</v>
      </c>
      <c r="AF548" t="str">
        <f t="shared" si="327"/>
        <v>-0,0000125211169631323</v>
      </c>
      <c r="AG548" t="str">
        <f t="shared" si="328"/>
        <v>0,0605894016290572i</v>
      </c>
      <c r="AH548">
        <f t="shared" si="342"/>
        <v>6.0589401629057203E-2</v>
      </c>
      <c r="AI548">
        <f t="shared" si="343"/>
        <v>1.5707963267948966</v>
      </c>
      <c r="AJ548" t="str">
        <f t="shared" si="329"/>
        <v>1+96,9684052980161i</v>
      </c>
      <c r="AK548">
        <f t="shared" si="344"/>
        <v>96.973561479613167</v>
      </c>
      <c r="AL548">
        <f t="shared" si="345"/>
        <v>1.560484054988162</v>
      </c>
      <c r="AM548" t="str">
        <f t="shared" si="330"/>
        <v>1+14201,4637213731i</v>
      </c>
      <c r="AN548">
        <f t="shared" si="346"/>
        <v>14201.463756580737</v>
      </c>
      <c r="AO548">
        <f t="shared" si="347"/>
        <v>1.570725911518136</v>
      </c>
      <c r="AP548" s="42" t="str">
        <f t="shared" si="348"/>
        <v>-0,000309954016169175+0,0302624018975011i</v>
      </c>
      <c r="AQ548">
        <f t="shared" si="349"/>
        <v>-30.381476544380472</v>
      </c>
      <c r="AR548" s="44">
        <f t="shared" si="350"/>
        <v>90.586815153546013</v>
      </c>
      <c r="AS548" s="42" t="str">
        <f t="shared" si="351"/>
        <v>-0,0000709030207708187-0,0000457341191604562i</v>
      </c>
      <c r="AT548" s="20">
        <f t="shared" si="352"/>
        <v>-81.475902793211091</v>
      </c>
      <c r="AU548" s="44">
        <f t="shared" si="353"/>
        <v>-147.1770304752809</v>
      </c>
    </row>
    <row r="549" spans="14:47" x14ac:dyDescent="0.3">
      <c r="N549" s="8">
        <v>31</v>
      </c>
      <c r="O549" s="35">
        <f t="shared" si="321"/>
        <v>2041737.9446695296</v>
      </c>
      <c r="P549" s="34" t="str">
        <f t="shared" si="322"/>
        <v>324,571428571429</v>
      </c>
      <c r="Q549" s="4" t="str">
        <f t="shared" si="323"/>
        <v>1+293225,550972768i</v>
      </c>
      <c r="R549" s="4">
        <f t="shared" si="331"/>
        <v>293225.55097447318</v>
      </c>
      <c r="S549" s="4">
        <f t="shared" si="332"/>
        <v>1.5707929164508911</v>
      </c>
      <c r="T549" s="4" t="str">
        <f t="shared" si="324"/>
        <v>1+2,56572357101172i</v>
      </c>
      <c r="U549" s="4">
        <f t="shared" si="333"/>
        <v>2.7537133915578673</v>
      </c>
      <c r="V549" s="4">
        <f t="shared" si="334"/>
        <v>1.1991541405679895</v>
      </c>
      <c r="W549" t="str">
        <f t="shared" si="325"/>
        <v>1-22,2719059983656i</v>
      </c>
      <c r="X549" s="4">
        <f t="shared" si="335"/>
        <v>22.294344502587052</v>
      </c>
      <c r="Y549" s="4">
        <f t="shared" si="336"/>
        <v>-1.5259268477331018</v>
      </c>
      <c r="Z549" t="str">
        <f t="shared" si="326"/>
        <v>-15,6747753388133+19,0959322029987i</v>
      </c>
      <c r="AA549" s="4">
        <f t="shared" si="337"/>
        <v>24.705327535246166</v>
      </c>
      <c r="AB549" s="4">
        <f t="shared" si="338"/>
        <v>2.2581182429136906</v>
      </c>
      <c r="AC549" s="48" t="str">
        <f t="shared" si="339"/>
        <v>-0,00145340717585636+0,00233528213098561i</v>
      </c>
      <c r="AD549" s="20">
        <f t="shared" si="340"/>
        <v>-51.211373912339411</v>
      </c>
      <c r="AE549" s="44">
        <f t="shared" si="341"/>
        <v>121.89685345724125</v>
      </c>
      <c r="AF549" t="str">
        <f t="shared" si="327"/>
        <v>-0,0000125211169631323</v>
      </c>
      <c r="AG549" t="str">
        <f t="shared" si="328"/>
        <v>0,0620007100934984i</v>
      </c>
      <c r="AH549">
        <f t="shared" si="342"/>
        <v>6.2000710093498397E-2</v>
      </c>
      <c r="AI549">
        <f t="shared" si="343"/>
        <v>1.5707963267948966</v>
      </c>
      <c r="AJ549" t="str">
        <f t="shared" si="329"/>
        <v>1+99,2270896140995i</v>
      </c>
      <c r="AK549">
        <f t="shared" si="344"/>
        <v>99.232128432703362</v>
      </c>
      <c r="AL549">
        <f t="shared" si="345"/>
        <v>1.5607187748752662</v>
      </c>
      <c r="AM549" t="str">
        <f t="shared" si="330"/>
        <v>1+14532,2583062104i</v>
      </c>
      <c r="AN549">
        <f t="shared" si="346"/>
        <v>14532.258340616616</v>
      </c>
      <c r="AO549">
        <f t="shared" si="347"/>
        <v>1.5707275143655171</v>
      </c>
      <c r="AP549" s="42" t="str">
        <f t="shared" si="348"/>
        <v>-0,000296005204145286+0,0295736861043981i</v>
      </c>
      <c r="AQ549">
        <f t="shared" si="349"/>
        <v>-30.581455759742283</v>
      </c>
      <c r="AR549" s="44">
        <f t="shared" si="350"/>
        <v>90.573458531037289</v>
      </c>
      <c r="AS549" s="42" t="str">
        <f t="shared" si="351"/>
        <v>-0,0000686326846191827-0,0000436738632645749i</v>
      </c>
      <c r="AT549" s="20">
        <f t="shared" si="352"/>
        <v>-81.792829672081695</v>
      </c>
      <c r="AU549" s="44">
        <f t="shared" si="353"/>
        <v>-147.52968801172148</v>
      </c>
    </row>
    <row r="550" spans="14:47" x14ac:dyDescent="0.3">
      <c r="N550" s="8">
        <v>32</v>
      </c>
      <c r="O550" s="35">
        <f t="shared" si="321"/>
        <v>2089296.1308540432</v>
      </c>
      <c r="P550" s="34" t="str">
        <f t="shared" si="322"/>
        <v>324,571428571429</v>
      </c>
      <c r="Q550" s="4" t="str">
        <f t="shared" si="323"/>
        <v>1+300055,651468098i</v>
      </c>
      <c r="R550" s="4">
        <f t="shared" si="331"/>
        <v>300055.6514697643</v>
      </c>
      <c r="S550" s="4">
        <f t="shared" si="332"/>
        <v>1.5707929940797982</v>
      </c>
      <c r="T550" s="4" t="str">
        <f t="shared" si="324"/>
        <v>1+2,62548695034586i</v>
      </c>
      <c r="U550" s="4">
        <f t="shared" si="333"/>
        <v>2.8094806862543842</v>
      </c>
      <c r="V550" s="4">
        <f t="shared" si="334"/>
        <v>1.2068790728087309</v>
      </c>
      <c r="W550" t="str">
        <f t="shared" si="325"/>
        <v>1-22,7906853328634i</v>
      </c>
      <c r="X550" s="4">
        <f t="shared" si="335"/>
        <v>22.812613571039922</v>
      </c>
      <c r="Y550" s="4">
        <f t="shared" si="336"/>
        <v>-1.5269468778420596</v>
      </c>
      <c r="Z550" t="str">
        <f t="shared" si="326"/>
        <v>-16,4606332896068+19,540733604397i</v>
      </c>
      <c r="AA550" s="4">
        <f t="shared" si="337"/>
        <v>25.549808572529891</v>
      </c>
      <c r="AB550" s="4">
        <f t="shared" si="338"/>
        <v>2.2708472297108666</v>
      </c>
      <c r="AC550" s="48" t="str">
        <f t="shared" si="339"/>
        <v>-0,00141986088247448+0,00231231685995766i</v>
      </c>
      <c r="AD550" s="20">
        <f t="shared" si="340"/>
        <v>-51.329561595705975</v>
      </c>
      <c r="AE550" s="44">
        <f t="shared" si="341"/>
        <v>121.55169438267602</v>
      </c>
      <c r="AF550" t="str">
        <f t="shared" si="327"/>
        <v>-0,0000125211169631323</v>
      </c>
      <c r="AG550" t="str">
        <f t="shared" si="328"/>
        <v>0,0634448921551076i</v>
      </c>
      <c r="AH550">
        <f t="shared" si="342"/>
        <v>6.3444892155107596E-2</v>
      </c>
      <c r="AI550">
        <f t="shared" si="343"/>
        <v>1.5707963267948966</v>
      </c>
      <c r="AJ550" t="str">
        <f t="shared" si="329"/>
        <v>1+101,538385446523i</v>
      </c>
      <c r="AK550">
        <f t="shared" si="344"/>
        <v>101.5433095732391</v>
      </c>
      <c r="AL550">
        <f t="shared" si="345"/>
        <v>1.5609481529584612</v>
      </c>
      <c r="AM550" t="str">
        <f t="shared" si="330"/>
        <v>1+14870,7580867589i</v>
      </c>
      <c r="AN550">
        <f t="shared" si="346"/>
        <v>14870.758120381934</v>
      </c>
      <c r="AO550">
        <f t="shared" si="347"/>
        <v>1.5707290807276377</v>
      </c>
      <c r="AP550" s="42" t="str">
        <f t="shared" si="348"/>
        <v>-0,000282684067436844+0,0289006380151926i</v>
      </c>
      <c r="AQ550">
        <f t="shared" si="349"/>
        <v>-30.78143591047413</v>
      </c>
      <c r="AR550" s="44">
        <f t="shared" si="350"/>
        <v>90.560405880896113</v>
      </c>
      <c r="AS550" s="42" t="str">
        <f t="shared" si="351"/>
        <v>-0,0000664260604966108-0,0000416885405315025i</v>
      </c>
      <c r="AT550" s="20">
        <f t="shared" si="352"/>
        <v>-82.110997506180112</v>
      </c>
      <c r="AU550" s="44">
        <f t="shared" si="353"/>
        <v>-147.88789973642787</v>
      </c>
    </row>
    <row r="551" spans="14:47" x14ac:dyDescent="0.3">
      <c r="N551" s="8">
        <v>33</v>
      </c>
      <c r="O551" s="35">
        <f t="shared" si="321"/>
        <v>2137962.0895022359</v>
      </c>
      <c r="P551" s="34" t="str">
        <f t="shared" si="322"/>
        <v>324,571428571429</v>
      </c>
      <c r="Q551" s="4" t="str">
        <f t="shared" si="323"/>
        <v>1+307044,845441541i</v>
      </c>
      <c r="R551" s="4">
        <f t="shared" si="331"/>
        <v>307044.84544316941</v>
      </c>
      <c r="S551" s="4">
        <f t="shared" si="332"/>
        <v>1.5707930699416557</v>
      </c>
      <c r="T551" s="4" t="str">
        <f t="shared" si="324"/>
        <v>1+2,68664239761348i</v>
      </c>
      <c r="U551" s="4">
        <f t="shared" si="333"/>
        <v>2.866713688643201</v>
      </c>
      <c r="V551" s="4">
        <f t="shared" si="334"/>
        <v>1.2144723446690082</v>
      </c>
      <c r="W551" t="str">
        <f t="shared" si="325"/>
        <v>1-23,3215485903948i</v>
      </c>
      <c r="X551" s="4">
        <f t="shared" si="335"/>
        <v>23.342978144490171</v>
      </c>
      <c r="Y551" s="4">
        <f t="shared" si="336"/>
        <v>-1.5279437774663089</v>
      </c>
      <c r="Z551" t="str">
        <f t="shared" si="326"/>
        <v>-17,2835275845951+19,9958957614045i</v>
      </c>
      <c r="AA551" s="4">
        <f t="shared" si="337"/>
        <v>26.430213261879182</v>
      </c>
      <c r="AB551" s="4">
        <f t="shared" si="338"/>
        <v>2.2835646872470257</v>
      </c>
      <c r="AC551" s="48" t="str">
        <f t="shared" si="339"/>
        <v>-0,00138647815874686+0,00228925938959317i</v>
      </c>
      <c r="AD551" s="20">
        <f t="shared" si="340"/>
        <v>-51.449032155366901</v>
      </c>
      <c r="AE551" s="44">
        <f t="shared" si="341"/>
        <v>121.20097768237464</v>
      </c>
      <c r="AF551" t="str">
        <f t="shared" si="327"/>
        <v>-0,0000125211169631323</v>
      </c>
      <c r="AG551" t="str">
        <f t="shared" si="328"/>
        <v>0,0649227135383298i</v>
      </c>
      <c r="AH551">
        <f t="shared" si="342"/>
        <v>6.4922713538329804E-2</v>
      </c>
      <c r="AI551">
        <f t="shared" si="343"/>
        <v>1.5707963267948966</v>
      </c>
      <c r="AJ551" t="str">
        <f t="shared" si="329"/>
        <v>1+103,903518274929i</v>
      </c>
      <c r="AK551">
        <f t="shared" si="344"/>
        <v>103.90833032008793</v>
      </c>
      <c r="AL551">
        <f t="shared" si="345"/>
        <v>1.5611723107604389</v>
      </c>
      <c r="AM551" t="str">
        <f t="shared" si="330"/>
        <v>1+15217,1425400827i</v>
      </c>
      <c r="AN551">
        <f t="shared" si="346"/>
        <v>15217.142572940376</v>
      </c>
      <c r="AO551">
        <f t="shared" si="347"/>
        <v>1.5707306114350039</v>
      </c>
      <c r="AP551" s="42" t="str">
        <f t="shared" si="348"/>
        <v>-0,00026996236696666+0,028242901615446i</v>
      </c>
      <c r="AQ551">
        <f t="shared" si="349"/>
        <v>-30.981416954485489</v>
      </c>
      <c r="AR551" s="44">
        <f t="shared" si="350"/>
        <v>90.547650287969617</v>
      </c>
      <c r="AS551" s="42" t="str">
        <f t="shared" si="351"/>
        <v>-0,000064281030787033-0,0000397761801128675i</v>
      </c>
      <c r="AT551" s="20">
        <f t="shared" si="352"/>
        <v>-82.43044910985239</v>
      </c>
      <c r="AU551" s="44">
        <f t="shared" si="353"/>
        <v>-148.25137202965576</v>
      </c>
    </row>
    <row r="552" spans="14:47" x14ac:dyDescent="0.3">
      <c r="N552" s="8">
        <v>34</v>
      </c>
      <c r="O552" s="35">
        <f t="shared" si="321"/>
        <v>2187761.6239495561</v>
      </c>
      <c r="P552" s="34" t="str">
        <f t="shared" si="322"/>
        <v>324,571428571429</v>
      </c>
      <c r="Q552" s="4" t="str">
        <f t="shared" si="323"/>
        <v>1+314196,838656256i</v>
      </c>
      <c r="R552" s="4">
        <f t="shared" si="331"/>
        <v>314196.83865784731</v>
      </c>
      <c r="S552" s="4">
        <f t="shared" si="332"/>
        <v>1.5707931440766865</v>
      </c>
      <c r="T552" s="4" t="str">
        <f t="shared" si="324"/>
        <v>1+2,74922233824224i</v>
      </c>
      <c r="U552" s="4">
        <f t="shared" si="333"/>
        <v>2.9254441483457052</v>
      </c>
      <c r="V552" s="4">
        <f t="shared" si="334"/>
        <v>1.2219344787107935</v>
      </c>
      <c r="W552" t="str">
        <f t="shared" si="325"/>
        <v>1-23,8647772416861i</v>
      </c>
      <c r="X552" s="4">
        <f t="shared" si="335"/>
        <v>23.885719432231863</v>
      </c>
      <c r="Y552" s="4">
        <f t="shared" si="336"/>
        <v>-1.5289180672448912</v>
      </c>
      <c r="Z552" t="str">
        <f t="shared" si="326"/>
        <v>-18,1452036929056+20,4616600070217i</v>
      </c>
      <c r="AA552" s="4">
        <f t="shared" si="337"/>
        <v>27.348271376816236</v>
      </c>
      <c r="AB552" s="4">
        <f t="shared" si="338"/>
        <v>2.296265186764435</v>
      </c>
      <c r="AC552" s="48" t="str">
        <f t="shared" si="339"/>
        <v>-0,00135327767152416+0,00226609462599304i</v>
      </c>
      <c r="AD552" s="20">
        <f t="shared" si="340"/>
        <v>-51.569825339056464</v>
      </c>
      <c r="AE552" s="44">
        <f t="shared" si="341"/>
        <v>120.84501450911449</v>
      </c>
      <c r="AF552" t="str">
        <f t="shared" si="327"/>
        <v>-0,0000125211169631323</v>
      </c>
      <c r="AG552" t="str">
        <f t="shared" si="328"/>
        <v>0,0664349578036238i</v>
      </c>
      <c r="AH552">
        <f t="shared" si="342"/>
        <v>6.6434957803623795E-2</v>
      </c>
      <c r="AI552">
        <f t="shared" si="343"/>
        <v>1.5707963267948966</v>
      </c>
      <c r="AJ552" t="str">
        <f t="shared" si="329"/>
        <v>1+106,32374212405i</v>
      </c>
      <c r="AK552">
        <f t="shared" si="344"/>
        <v>106.32844463858899</v>
      </c>
      <c r="AL552">
        <f t="shared" si="345"/>
        <v>1.5613913670424755</v>
      </c>
      <c r="AM552" t="str">
        <f t="shared" si="330"/>
        <v>1+15571,595323804i</v>
      </c>
      <c r="AN552">
        <f t="shared" si="346"/>
        <v>15571.595355913749</v>
      </c>
      <c r="AO552">
        <f t="shared" si="347"/>
        <v>1.5707321072992169</v>
      </c>
      <c r="AP552" s="42" t="str">
        <f t="shared" si="348"/>
        <v>-0,00025781313366072+0,0276001289528263i</v>
      </c>
      <c r="AQ552">
        <f t="shared" si="349"/>
        <v>-31.181398851579559</v>
      </c>
      <c r="AR552" s="44">
        <f t="shared" si="350"/>
        <v>90.535184994239216</v>
      </c>
      <c r="AS552" s="42" t="str">
        <f t="shared" si="351"/>
        <v>-0,0000621956111395059-0,0000379348671997463i</v>
      </c>
      <c r="AT552" s="20">
        <f t="shared" si="352"/>
        <v>-82.751224190636037</v>
      </c>
      <c r="AU552" s="44">
        <f t="shared" si="353"/>
        <v>-148.61980049664635</v>
      </c>
    </row>
    <row r="553" spans="14:47" x14ac:dyDescent="0.3">
      <c r="N553" s="8">
        <v>35</v>
      </c>
      <c r="O553" s="35">
        <f t="shared" si="321"/>
        <v>2238721.1385683389</v>
      </c>
      <c r="P553" s="34" t="str">
        <f t="shared" si="322"/>
        <v>324,571428571429</v>
      </c>
      <c r="Q553" s="4" t="str">
        <f t="shared" si="323"/>
        <v>1+321515,423193712i</v>
      </c>
      <c r="R553" s="4">
        <f t="shared" si="331"/>
        <v>321515.42319526721</v>
      </c>
      <c r="S553" s="4">
        <f t="shared" si="332"/>
        <v>1.5707932165241978</v>
      </c>
      <c r="T553" s="4" t="str">
        <f t="shared" si="324"/>
        <v>1+2,81325995294498i</v>
      </c>
      <c r="U553" s="4">
        <f t="shared" si="333"/>
        <v>2.9857045337481058</v>
      </c>
      <c r="V553" s="4">
        <f t="shared" si="334"/>
        <v>1.2292661063340626</v>
      </c>
      <c r="W553" t="str">
        <f t="shared" si="325"/>
        <v>1-24,4206593137585i</v>
      </c>
      <c r="X553" s="4">
        <f t="shared" si="335"/>
        <v>24.441125205658182</v>
      </c>
      <c r="Y553" s="4">
        <f t="shared" si="336"/>
        <v>-1.5298702563562445</v>
      </c>
      <c r="Z553" t="str">
        <f t="shared" si="326"/>
        <v>-19,0474893450908+20,9382732956165i</v>
      </c>
      <c r="AA553" s="4">
        <f t="shared" si="337"/>
        <v>28.305796914294334</v>
      </c>
      <c r="AB553" s="4">
        <f t="shared" si="338"/>
        <v>2.3089432576270426</v>
      </c>
      <c r="AC553" s="48" t="str">
        <f t="shared" si="339"/>
        <v>-0,00132027878942047+0,00224280934903045i</v>
      </c>
      <c r="AD553" s="20">
        <f t="shared" si="340"/>
        <v>-51.691977739471596</v>
      </c>
      <c r="AE553" s="44">
        <f t="shared" si="341"/>
        <v>120.48412530777857</v>
      </c>
      <c r="AF553" t="str">
        <f t="shared" si="327"/>
        <v>-0,0000125211169631323</v>
      </c>
      <c r="AG553" t="str">
        <f t="shared" si="328"/>
        <v>0,0679824267629156i</v>
      </c>
      <c r="AH553">
        <f t="shared" si="342"/>
        <v>6.7982426762915604E-2</v>
      </c>
      <c r="AI553">
        <f t="shared" si="343"/>
        <v>1.5707963267948966</v>
      </c>
      <c r="AJ553" t="str">
        <f t="shared" si="329"/>
        <v>1+108,800340228606i</v>
      </c>
      <c r="AK553">
        <f t="shared" si="344"/>
        <v>108.80493570541927</v>
      </c>
      <c r="AL553">
        <f t="shared" si="345"/>
        <v>1.5616054378669706</v>
      </c>
      <c r="AM553" t="str">
        <f t="shared" si="330"/>
        <v>1+15934,3043734804i</v>
      </c>
      <c r="AN553">
        <f t="shared" si="346"/>
        <v>15934.304404859238</v>
      </c>
      <c r="AO553">
        <f t="shared" si="347"/>
        <v>1.5707335691134034</v>
      </c>
      <c r="AP553" s="42" t="str">
        <f t="shared" si="348"/>
        <v>-0,000246210611373501+0,0269719799563786i</v>
      </c>
      <c r="AQ553">
        <f t="shared" si="349"/>
        <v>-31.381381563368116</v>
      </c>
      <c r="AR553" s="44">
        <f t="shared" si="350"/>
        <v>90.52300339526208</v>
      </c>
      <c r="AS553" s="42" t="str">
        <f t="shared" si="351"/>
        <v>-0,0000601679421601012-0,0000361627365060997i</v>
      </c>
      <c r="AT553" s="20">
        <f t="shared" si="352"/>
        <v>-83.073359302839705</v>
      </c>
      <c r="AU553" s="44">
        <f t="shared" si="353"/>
        <v>-148.99287129695935</v>
      </c>
    </row>
    <row r="554" spans="14:47" x14ac:dyDescent="0.3">
      <c r="N554" s="8">
        <v>36</v>
      </c>
      <c r="O554" s="35">
        <f t="shared" si="321"/>
        <v>2290867.6527677765</v>
      </c>
      <c r="P554" s="34" t="str">
        <f t="shared" si="322"/>
        <v>324,571428571429</v>
      </c>
      <c r="Q554" s="4" t="str">
        <f t="shared" si="323"/>
        <v>1+329004,479464309i</v>
      </c>
      <c r="R554" s="4">
        <f t="shared" si="331"/>
        <v>329004.47946582874</v>
      </c>
      <c r="S554" s="4">
        <f t="shared" si="332"/>
        <v>1.5707932873226025</v>
      </c>
      <c r="T554" s="4" t="str">
        <f t="shared" si="324"/>
        <v>1+2,8787891953127i</v>
      </c>
      <c r="U554" s="4">
        <f t="shared" si="333"/>
        <v>3.047528052545069</v>
      </c>
      <c r="V554" s="4">
        <f t="shared" si="334"/>
        <v>1.2364679611394764</v>
      </c>
      <c r="W554" t="str">
        <f t="shared" si="325"/>
        <v>1-24,989489542645i</v>
      </c>
      <c r="X554" s="4">
        <f t="shared" si="335"/>
        <v>25.009489950855929</v>
      </c>
      <c r="Y554" s="4">
        <f t="shared" si="336"/>
        <v>-1.5308008427531778</v>
      </c>
      <c r="Z554" t="str">
        <f t="shared" si="326"/>
        <v>-19,9922984099911+21,4259883338638i</v>
      </c>
      <c r="AA554" s="4">
        <f t="shared" si="337"/>
        <v>29.304691975808247</v>
      </c>
      <c r="AB554" s="4">
        <f t="shared" si="338"/>
        <v>2.3215934036629138</v>
      </c>
      <c r="AC554" s="48" t="str">
        <f t="shared" si="339"/>
        <v>-0,00128750143629362+0,0022193922279781i</v>
      </c>
      <c r="AD554" s="20">
        <f t="shared" si="340"/>
        <v>-51.815522761857615</v>
      </c>
      <c r="AE554" s="44">
        <f t="shared" si="341"/>
        <v>120.11863848524911</v>
      </c>
      <c r="AF554" t="str">
        <f t="shared" si="327"/>
        <v>-0,0000125211169631323</v>
      </c>
      <c r="AG554" t="str">
        <f t="shared" si="328"/>
        <v>0,0695659409047313i</v>
      </c>
      <c r="AH554">
        <f t="shared" si="342"/>
        <v>6.9565940904731297E-2</v>
      </c>
      <c r="AI554">
        <f t="shared" si="343"/>
        <v>1.5707963267948966</v>
      </c>
      <c r="AJ554" t="str">
        <f t="shared" si="329"/>
        <v>1+111,334625713695i</v>
      </c>
      <c r="AK554">
        <f t="shared" si="344"/>
        <v>111.33911658895339</v>
      </c>
      <c r="AL554">
        <f t="shared" si="345"/>
        <v>1.5618146366585834</v>
      </c>
      <c r="AM554" t="str">
        <f t="shared" si="330"/>
        <v>1+16305,4620022511i</v>
      </c>
      <c r="AN554">
        <f t="shared" si="346"/>
        <v>16305.462032915671</v>
      </c>
      <c r="AO554">
        <f t="shared" si="347"/>
        <v>1.570734997652637</v>
      </c>
      <c r="AP554" s="42" t="str">
        <f t="shared" si="348"/>
        <v>-0,000235130202374561+0,0263581222597235i</v>
      </c>
      <c r="AQ554">
        <f t="shared" si="349"/>
        <v>-31.581365053190247</v>
      </c>
      <c r="AR554" s="44">
        <f t="shared" si="350"/>
        <v>90.511099036692386</v>
      </c>
      <c r="AS554" s="42" t="str">
        <f t="shared" si="351"/>
        <v>-0,0000581962812140536-0,0000344579664111099i</v>
      </c>
      <c r="AT554" s="20">
        <f t="shared" si="352"/>
        <v>-83.396887815047847</v>
      </c>
      <c r="AU554" s="44">
        <f t="shared" si="353"/>
        <v>-149.37026247805846</v>
      </c>
    </row>
    <row r="555" spans="14:47" x14ac:dyDescent="0.3">
      <c r="N555" s="8">
        <v>37</v>
      </c>
      <c r="O555" s="35">
        <f t="shared" si="321"/>
        <v>2344228.8153199251</v>
      </c>
      <c r="P555" s="34" t="str">
        <f t="shared" si="322"/>
        <v>324,571428571429</v>
      </c>
      <c r="Q555" s="4" t="str">
        <f t="shared" si="323"/>
        <v>1+336667,978264805i</v>
      </c>
      <c r="R555" s="4">
        <f t="shared" si="331"/>
        <v>336667.9782662901</v>
      </c>
      <c r="S555" s="4">
        <f t="shared" si="332"/>
        <v>1.5707933565094387</v>
      </c>
      <c r="T555" s="4" t="str">
        <f t="shared" si="324"/>
        <v>1+2,94584480981704i</v>
      </c>
      <c r="U555" s="4">
        <f t="shared" si="333"/>
        <v>3.1109486725958684</v>
      </c>
      <c r="V555" s="4">
        <f t="shared" si="334"/>
        <v>1.2435408724121892</v>
      </c>
      <c r="W555" t="str">
        <f t="shared" si="325"/>
        <v>1-25,5715695296618i</v>
      </c>
      <c r="X555" s="4">
        <f t="shared" si="335"/>
        <v>25.5911150247567</v>
      </c>
      <c r="Y555" s="4">
        <f t="shared" si="336"/>
        <v>-1.5317103133942043</v>
      </c>
      <c r="Z555" t="str">
        <f t="shared" si="326"/>
        <v>-20,9816349543052+21,925063714732i</v>
      </c>
      <c r="AA555" s="4">
        <f t="shared" si="337"/>
        <v>30.346950822953854</v>
      </c>
      <c r="AB555" s="4">
        <f t="shared" si="338"/>
        <v>2.3342101195819422</v>
      </c>
      <c r="AC555" s="48" t="str">
        <f t="shared" si="339"/>
        <v>-0,00125496594472331+0,00219583382565668i</v>
      </c>
      <c r="AD555" s="20">
        <f t="shared" si="340"/>
        <v>-51.94049060542806</v>
      </c>
      <c r="AE555" s="44">
        <f t="shared" si="341"/>
        <v>119.74888908313457</v>
      </c>
      <c r="AF555" t="str">
        <f t="shared" si="327"/>
        <v>-0,0000125211169631323</v>
      </c>
      <c r="AG555" t="str">
        <f t="shared" si="328"/>
        <v>0,0711863398292286i</v>
      </c>
      <c r="AH555">
        <f t="shared" si="342"/>
        <v>7.1186339829228604E-2</v>
      </c>
      <c r="AI555">
        <f t="shared" si="343"/>
        <v>1.5707963267948966</v>
      </c>
      <c r="AJ555" t="str">
        <f t="shared" si="329"/>
        <v>1+113,927942291025i</v>
      </c>
      <c r="AK555">
        <f t="shared" si="344"/>
        <v>113.93233094546572</v>
      </c>
      <c r="AL555">
        <f t="shared" si="345"/>
        <v>1.5620190742639968</v>
      </c>
      <c r="AM555" t="str">
        <f t="shared" si="330"/>
        <v>1+16685,2650028037i</v>
      </c>
      <c r="AN555">
        <f t="shared" si="346"/>
        <v>16685.265032770258</v>
      </c>
      <c r="AO555">
        <f t="shared" si="347"/>
        <v>1.5707363936743477</v>
      </c>
      <c r="AP555" s="42" t="str">
        <f t="shared" si="348"/>
        <v>-0,000224548415281888+0,0257582310281084i</v>
      </c>
      <c r="AQ555">
        <f t="shared" si="349"/>
        <v>-31.781349286034146</v>
      </c>
      <c r="AR555" s="44">
        <f t="shared" si="350"/>
        <v>90.499465610880577</v>
      </c>
      <c r="AS555" s="42" t="str">
        <f t="shared" si="351"/>
        <v>-0,0000562789943664795-0,0000328187737423649i</v>
      </c>
      <c r="AT555" s="20">
        <f t="shared" si="352"/>
        <v>-83.72183989146221</v>
      </c>
      <c r="AU555" s="44">
        <f t="shared" si="353"/>
        <v>-149.75164530598485</v>
      </c>
    </row>
    <row r="556" spans="14:47" x14ac:dyDescent="0.3">
      <c r="N556" s="8">
        <v>38</v>
      </c>
      <c r="O556" s="35">
        <f t="shared" si="321"/>
        <v>2398832.9190194933</v>
      </c>
      <c r="P556" s="34" t="str">
        <f t="shared" si="322"/>
        <v>324,571428571429</v>
      </c>
      <c r="Q556" s="4" t="str">
        <f t="shared" si="323"/>
        <v>1+344509,982883703i</v>
      </c>
      <c r="R556" s="4">
        <f t="shared" si="331"/>
        <v>344509.98288515431</v>
      </c>
      <c r="S556" s="4">
        <f t="shared" si="332"/>
        <v>1.5707934241213903</v>
      </c>
      <c r="T556" s="4" t="str">
        <f t="shared" si="324"/>
        <v>1+3,0144623502324i</v>
      </c>
      <c r="U556" s="4">
        <f t="shared" si="333"/>
        <v>3.1760011430993917</v>
      </c>
      <c r="V556" s="4">
        <f t="shared" si="334"/>
        <v>1.2504857587458091</v>
      </c>
      <c r="W556" t="str">
        <f t="shared" si="325"/>
        <v>1-26,1672079013229i</v>
      </c>
      <c r="X556" s="4">
        <f t="shared" si="335"/>
        <v>26.186308814933341</v>
      </c>
      <c r="Y556" s="4">
        <f t="shared" si="336"/>
        <v>-1.5325991444712099</v>
      </c>
      <c r="Z556" t="str">
        <f t="shared" si="326"/>
        <v>-22,0175974934864+22,4357640545942i</v>
      </c>
      <c r="AA556" s="4">
        <f t="shared" si="337"/>
        <v>31.434664116204576</v>
      </c>
      <c r="AB556" s="4">
        <f t="shared" si="338"/>
        <v>2.3467879073644693</v>
      </c>
      <c r="AC556" s="48" t="str">
        <f t="shared" si="339"/>
        <v>-0,00122269291059428+0,00217212659110366i</v>
      </c>
      <c r="AD556" s="20">
        <f t="shared" si="340"/>
        <v>-52.066908258435227</v>
      </c>
      <c r="AE556" s="44">
        <f t="shared" si="341"/>
        <v>119.37521746040699</v>
      </c>
      <c r="AF556" t="str">
        <f t="shared" si="327"/>
        <v>-0,0000125211169631323</v>
      </c>
      <c r="AG556" t="str">
        <f t="shared" si="328"/>
        <v>0,0728444826933659i</v>
      </c>
      <c r="AH556">
        <f t="shared" si="342"/>
        <v>7.2844482693365895E-2</v>
      </c>
      <c r="AI556">
        <f t="shared" si="343"/>
        <v>1.5707963267948966</v>
      </c>
      <c r="AJ556" t="str">
        <f t="shared" si="329"/>
        <v>1+116,581664971372i</v>
      </c>
      <c r="AK556">
        <f t="shared" si="344"/>
        <v>116.58595373155904</v>
      </c>
      <c r="AL556">
        <f t="shared" si="345"/>
        <v>1.5622188590103405</v>
      </c>
      <c r="AM556" t="str">
        <f t="shared" si="330"/>
        <v>1+17073,9147517163i</v>
      </c>
      <c r="AN556">
        <f t="shared" si="346"/>
        <v>17073.914781000738</v>
      </c>
      <c r="AO556">
        <f t="shared" si="347"/>
        <v>1.5707377579187252</v>
      </c>
      <c r="AP556" s="42" t="str">
        <f t="shared" si="348"/>
        <v>-0,000214442815332369+0,0251719887892303i</v>
      </c>
      <c r="AQ556">
        <f t="shared" si="349"/>
        <v>-31.981334228463496</v>
      </c>
      <c r="AR556" s="44">
        <f t="shared" si="350"/>
        <v>90.488096953549032</v>
      </c>
      <c r="AS556" s="42" t="str">
        <f t="shared" si="351"/>
        <v>-0,0000544145484900156-0,0000312434091796051i</v>
      </c>
      <c r="AT556" s="20">
        <f t="shared" si="352"/>
        <v>-84.048242486898715</v>
      </c>
      <c r="AU556" s="44">
        <f t="shared" si="353"/>
        <v>-150.13668558604402</v>
      </c>
    </row>
    <row r="557" spans="14:47" x14ac:dyDescent="0.3">
      <c r="N557" s="8">
        <v>39</v>
      </c>
      <c r="O557" s="35">
        <f t="shared" si="321"/>
        <v>2454708.915685033</v>
      </c>
      <c r="P557" s="34" t="str">
        <f t="shared" si="322"/>
        <v>324,571428571429</v>
      </c>
      <c r="Q557" s="4" t="str">
        <f t="shared" si="323"/>
        <v>1+352534,651255655i</v>
      </c>
      <c r="R557" s="4">
        <f t="shared" si="331"/>
        <v>352534.65125707322</v>
      </c>
      <c r="S557" s="4">
        <f t="shared" si="332"/>
        <v>1.5707934901943059</v>
      </c>
      <c r="T557" s="4" t="str">
        <f t="shared" si="324"/>
        <v>1+3,08467819848698i</v>
      </c>
      <c r="U557" s="4">
        <f t="shared" si="333"/>
        <v>3.2427210160944897</v>
      </c>
      <c r="V557" s="4">
        <f t="shared" si="334"/>
        <v>1.2573036218228733</v>
      </c>
      <c r="W557" t="str">
        <f t="shared" si="325"/>
        <v>1-26,7767204729773i</v>
      </c>
      <c r="X557" s="4">
        <f t="shared" si="335"/>
        <v>26.795386903121248</v>
      </c>
      <c r="Y557" s="4">
        <f t="shared" si="336"/>
        <v>-1.5334678016334331</v>
      </c>
      <c r="Z557" t="str">
        <f t="shared" si="326"/>
        <v>-23,1023834429743+22,9583601335307i</v>
      </c>
      <c r="AA557" s="4">
        <f t="shared" si="337"/>
        <v>32.57002334612465</v>
      </c>
      <c r="AB557" s="4">
        <f t="shared" si="338"/>
        <v>2.3593212925166984</v>
      </c>
      <c r="AC557" s="48" t="str">
        <f t="shared" si="339"/>
        <v>-0,00119070304988785+0,00214826484089306i</v>
      </c>
      <c r="AD557" s="20">
        <f t="shared" si="340"/>
        <v>-52.194799506612917</v>
      </c>
      <c r="AE557" s="44">
        <f t="shared" si="341"/>
        <v>118.99796799284775</v>
      </c>
      <c r="AF557" t="str">
        <f t="shared" si="327"/>
        <v>-0,0000125211169631323</v>
      </c>
      <c r="AG557" t="str">
        <f t="shared" si="328"/>
        <v>0,074541248666438i</v>
      </c>
      <c r="AH557">
        <f t="shared" si="342"/>
        <v>7.4541248666438006E-2</v>
      </c>
      <c r="AI557">
        <f t="shared" si="343"/>
        <v>1.5707963267948966</v>
      </c>
      <c r="AJ557" t="str">
        <f t="shared" si="329"/>
        <v>1+119,297200793627i</v>
      </c>
      <c r="AK557">
        <f t="shared" si="344"/>
        <v>119.30139193318308</v>
      </c>
      <c r="AL557">
        <f t="shared" si="345"/>
        <v>1.5624140967623017</v>
      </c>
      <c r="AM557" t="str">
        <f t="shared" si="330"/>
        <v>1+17471,6173162303i</v>
      </c>
      <c r="AN557">
        <f t="shared" si="346"/>
        <v>17471.617344848139</v>
      </c>
      <c r="AO557">
        <f t="shared" si="347"/>
        <v>1.5707390911091093</v>
      </c>
      <c r="AP557" s="42" t="str">
        <f t="shared" si="348"/>
        <v>-0,000204791976884835+0,0245990852677609i</v>
      </c>
      <c r="AQ557">
        <f t="shared" si="349"/>
        <v>-32.181319848546394</v>
      </c>
      <c r="AR557" s="44">
        <f t="shared" si="350"/>
        <v>90.47698704054234</v>
      </c>
      <c r="AS557" s="42" t="str">
        <f t="shared" si="351"/>
        <v>-0,0000526015035673919-0,0000297301532564129i</v>
      </c>
      <c r="AT557" s="20">
        <f t="shared" si="352"/>
        <v>-84.376119355159304</v>
      </c>
      <c r="AU557" s="44">
        <f t="shared" si="353"/>
        <v>-150.5250449666099</v>
      </c>
    </row>
    <row r="558" spans="14:47" x14ac:dyDescent="0.3">
      <c r="N558" s="8">
        <v>40</v>
      </c>
      <c r="O558" s="35">
        <f t="shared" si="321"/>
        <v>2511886.431509587</v>
      </c>
      <c r="P558" s="34" t="str">
        <f t="shared" si="322"/>
        <v>324,571428571429</v>
      </c>
      <c r="Q558" s="4" t="str">
        <f t="shared" si="323"/>
        <v>1+360746,238166053i</v>
      </c>
      <c r="R558" s="4">
        <f t="shared" si="331"/>
        <v>360746.23816743901</v>
      </c>
      <c r="S558" s="4">
        <f t="shared" si="332"/>
        <v>1.5707935547632184</v>
      </c>
      <c r="T558" s="4" t="str">
        <f t="shared" si="324"/>
        <v>1+3,15652958395296i</v>
      </c>
      <c r="U558" s="4">
        <f t="shared" si="333"/>
        <v>3.311144668293768</v>
      </c>
      <c r="V558" s="4">
        <f t="shared" si="334"/>
        <v>1.2639955403658796</v>
      </c>
      <c r="W558" t="str">
        <f t="shared" si="325"/>
        <v>1-27,4004304162583i</v>
      </c>
      <c r="X558" s="4">
        <f t="shared" si="335"/>
        <v>27.418672232553732</v>
      </c>
      <c r="Y558" s="4">
        <f t="shared" si="336"/>
        <v>-1.5343167402077378</v>
      </c>
      <c r="Z558" t="str">
        <f t="shared" si="326"/>
        <v>-24,2382937792079+23,4931290388999i</v>
      </c>
      <c r="AA558" s="4">
        <f t="shared" si="337"/>
        <v>33.755325466740658</v>
      </c>
      <c r="AB558" s="4">
        <f t="shared" si="338"/>
        <v>2.3718048400904608</v>
      </c>
      <c r="AC558" s="48" t="str">
        <f t="shared" si="339"/>
        <v>-0,00115901705876423+0,0021242447293655i</v>
      </c>
      <c r="AD558" s="20">
        <f t="shared" si="340"/>
        <v>-52.32418495462332</v>
      </c>
      <c r="AE558" s="44">
        <f t="shared" si="341"/>
        <v>118.61748779598038</v>
      </c>
      <c r="AF558" t="str">
        <f t="shared" si="327"/>
        <v>-0,0000125211169631323</v>
      </c>
      <c r="AG558" t="str">
        <f t="shared" si="328"/>
        <v>0,0762775373962233i</v>
      </c>
      <c r="AH558">
        <f t="shared" si="342"/>
        <v>7.6277537396223297E-2</v>
      </c>
      <c r="AI558">
        <f t="shared" si="343"/>
        <v>1.5707963267948966</v>
      </c>
      <c r="AJ558" t="str">
        <f t="shared" si="329"/>
        <v>1+122,075989570829i</v>
      </c>
      <c r="AK558">
        <f t="shared" si="344"/>
        <v>122.08008531163938</v>
      </c>
      <c r="AL558">
        <f t="shared" si="345"/>
        <v>1.56260489097795</v>
      </c>
      <c r="AM558" t="str">
        <f t="shared" si="330"/>
        <v>1+17878,5835635096i</v>
      </c>
      <c r="AN558">
        <f t="shared" si="346"/>
        <v>17878.583591476021</v>
      </c>
      <c r="AO558">
        <f t="shared" si="347"/>
        <v>1.5707403939523756</v>
      </c>
      <c r="AP558" s="42" t="str">
        <f t="shared" si="348"/>
        <v>-0,000195575438055614+0,0240392172234966i</v>
      </c>
      <c r="AQ558">
        <f t="shared" si="349"/>
        <v>-32.381306115787766</v>
      </c>
      <c r="AR558" s="44">
        <f t="shared" si="350"/>
        <v>90.466129984650721</v>
      </c>
      <c r="AS558" s="42" t="str">
        <f t="shared" si="351"/>
        <v>-0,0000508385052161033-0,0000282773129348544i</v>
      </c>
      <c r="AT558" s="20">
        <f t="shared" si="352"/>
        <v>-84.705491070411085</v>
      </c>
      <c r="AU558" s="44">
        <f t="shared" si="353"/>
        <v>-150.91638221936893</v>
      </c>
    </row>
    <row r="559" spans="14:47" x14ac:dyDescent="0.3">
      <c r="N559" s="8">
        <v>41</v>
      </c>
      <c r="O559" s="35">
        <f t="shared" si="321"/>
        <v>2570395.782768866</v>
      </c>
      <c r="P559" s="34" t="str">
        <f t="shared" si="322"/>
        <v>324,571428571429</v>
      </c>
      <c r="Q559" s="4" t="str">
        <f t="shared" si="323"/>
        <v>1+369149,097506965i</v>
      </c>
      <c r="R559" s="4">
        <f t="shared" si="331"/>
        <v>369149.09750831942</v>
      </c>
      <c r="S559" s="4">
        <f t="shared" si="332"/>
        <v>1.5707936178623629</v>
      </c>
      <c r="T559" s="4" t="str">
        <f t="shared" si="324"/>
        <v>1+3,23005460318594i</v>
      </c>
      <c r="U559" s="4">
        <f t="shared" si="333"/>
        <v>3.3813093232596572</v>
      </c>
      <c r="V559" s="4">
        <f t="shared" si="334"/>
        <v>1.2705626642706074</v>
      </c>
      <c r="W559" t="str">
        <f t="shared" si="325"/>
        <v>1-28,0386684304335i</v>
      </c>
      <c r="X559" s="4">
        <f t="shared" si="335"/>
        <v>28.056495279200288</v>
      </c>
      <c r="Y559" s="4">
        <f t="shared" si="336"/>
        <v>-1.5351464054151811</v>
      </c>
      <c r="Z559" t="str">
        <f t="shared" si="326"/>
        <v>-25,4277379203039+24,0403543122537i</v>
      </c>
      <c r="AA559" s="4">
        <f t="shared" si="337"/>
        <v>34.992977741289124</v>
      </c>
      <c r="AB559" s="4">
        <f t="shared" si="338"/>
        <v>2.3842331703675499</v>
      </c>
      <c r="AC559" s="48" t="str">
        <f t="shared" si="339"/>
        <v>-0,00112765547798036+0,00210006420815315i</v>
      </c>
      <c r="AD559" s="20">
        <f t="shared" si="340"/>
        <v>-52.455082060051062</v>
      </c>
      <c r="AE559" s="44">
        <f t="shared" si="341"/>
        <v>118.23412547787885</v>
      </c>
      <c r="AF559" t="str">
        <f t="shared" si="327"/>
        <v>-0,0000125211169631323</v>
      </c>
      <c r="AG559" t="str">
        <f t="shared" si="328"/>
        <v>0,0780542694859883i</v>
      </c>
      <c r="AH559">
        <f t="shared" si="342"/>
        <v>7.8054269485988301E-2</v>
      </c>
      <c r="AI559">
        <f t="shared" si="343"/>
        <v>1.5707963267948966</v>
      </c>
      <c r="AJ559" t="str">
        <f t="shared" si="329"/>
        <v>1+124,919504653567i</v>
      </c>
      <c r="AK559">
        <f t="shared" si="344"/>
        <v>124.92350716695616</v>
      </c>
      <c r="AL559">
        <f t="shared" si="345"/>
        <v>1.5627913427633091</v>
      </c>
      <c r="AM559" t="str">
        <f t="shared" si="330"/>
        <v>1+18295,0292724452i</v>
      </c>
      <c r="AN559">
        <f t="shared" si="346"/>
        <v>18295.029299775026</v>
      </c>
      <c r="AO559">
        <f t="shared" si="347"/>
        <v>1.5707416671393086</v>
      </c>
      <c r="AP559" s="42" t="str">
        <f t="shared" si="348"/>
        <v>-0,000186773657391179+0,0234920882930616i</v>
      </c>
      <c r="AQ559">
        <f t="shared" si="349"/>
        <v>-32.581293001064545</v>
      </c>
      <c r="AR559" s="44">
        <f t="shared" si="350"/>
        <v>90.455520032504751</v>
      </c>
      <c r="AS559" s="42" t="str">
        <f t="shared" si="351"/>
        <v>-0,0000491242774611327-0,0000268832187257823i</v>
      </c>
      <c r="AT559" s="20">
        <f t="shared" si="352"/>
        <v>-85.036375061115606</v>
      </c>
      <c r="AU559" s="44">
        <f t="shared" si="353"/>
        <v>-151.31035448961634</v>
      </c>
    </row>
    <row r="560" spans="14:47" ht="15" thickBot="1" x14ac:dyDescent="0.35">
      <c r="N560" s="8">
        <v>42</v>
      </c>
      <c r="O560" s="35">
        <f t="shared" si="321"/>
        <v>2630267.9918953842</v>
      </c>
      <c r="P560" s="34" t="str">
        <f t="shared" si="322"/>
        <v>324,571428571429</v>
      </c>
      <c r="Q560" s="4" t="str">
        <f t="shared" si="323"/>
        <v>1+377747,684585641i</v>
      </c>
      <c r="R560" s="4">
        <f t="shared" si="331"/>
        <v>377747.68458696461</v>
      </c>
      <c r="S560" s="4">
        <f t="shared" si="332"/>
        <v>1.5707936795251958</v>
      </c>
      <c r="T560" s="4" t="str">
        <f t="shared" si="324"/>
        <v>1+3,30529224012436i</v>
      </c>
      <c r="U560" s="4">
        <f t="shared" si="333"/>
        <v>3.4532530739327965</v>
      </c>
      <c r="V560" s="4">
        <f t="shared" si="334"/>
        <v>1.2770062089313754</v>
      </c>
      <c r="W560" t="str">
        <f t="shared" si="325"/>
        <v>1-28,6917729177462i</v>
      </c>
      <c r="X560" s="4">
        <f t="shared" si="335"/>
        <v>28.709194226998331</v>
      </c>
      <c r="Y560" s="4">
        <f t="shared" si="336"/>
        <v>-1.535957232583866</v>
      </c>
      <c r="Z560" t="str">
        <f t="shared" si="326"/>
        <v>-26,6732388367575+24,6003260996756i</v>
      </c>
      <c r="AA560" s="4">
        <f t="shared" si="337"/>
        <v>36.285502811082679</v>
      </c>
      <c r="AB560" s="4">
        <f t="shared" si="338"/>
        <v>2.3966009741129577</v>
      </c>
      <c r="AC560" s="43" t="str">
        <f t="shared" si="339"/>
        <v>-0,00109663856263361+0,00207572297550189i</v>
      </c>
      <c r="AD560" s="47">
        <f t="shared" si="340"/>
        <v>-52.587505179408268</v>
      </c>
      <c r="AE560" s="46">
        <f t="shared" si="341"/>
        <v>117.8482299278869</v>
      </c>
      <c r="AF560" t="str">
        <f t="shared" si="327"/>
        <v>-0,0000125211169631323</v>
      </c>
      <c r="AG560" t="str">
        <f t="shared" si="328"/>
        <v>0,0798723869826053i</v>
      </c>
      <c r="AH560">
        <f t="shared" si="342"/>
        <v>7.9872386982605306E-2</v>
      </c>
      <c r="AI560">
        <f t="shared" si="343"/>
        <v>1.5707963267948966</v>
      </c>
      <c r="AJ560" t="str">
        <f t="shared" si="329"/>
        <v>1+127,829253711178i</v>
      </c>
      <c r="AK560">
        <f t="shared" si="344"/>
        <v>127.83316511905943</v>
      </c>
      <c r="AL560">
        <f t="shared" si="345"/>
        <v>1.562973550925699</v>
      </c>
      <c r="AM560" t="str">
        <f t="shared" si="330"/>
        <v>1+18721,1752480644i</v>
      </c>
      <c r="AN560">
        <f t="shared" si="346"/>
        <v>18721.175274772122</v>
      </c>
      <c r="AO560">
        <f t="shared" si="347"/>
        <v>1.5707429113449689</v>
      </c>
      <c r="AP560" s="45" t="str">
        <f t="shared" si="348"/>
        <v>-0,000178367972486472+0,0229574088350906i</v>
      </c>
      <c r="AQ560" s="40">
        <f t="shared" si="349"/>
        <v>-32.781280476564071</v>
      </c>
      <c r="AR560" s="46">
        <f t="shared" si="350"/>
        <v>90.445151561540172</v>
      </c>
      <c r="AS560" s="45" t="str">
        <f t="shared" si="351"/>
        <v>-0,0000474576157800202-0,0000255462223252898i</v>
      </c>
      <c r="AT560" s="47">
        <f t="shared" si="352"/>
        <v>-85.368785655972346</v>
      </c>
      <c r="AU560" s="46">
        <f t="shared" si="353"/>
        <v>-151.70661851057287</v>
      </c>
    </row>
    <row r="561" spans="14:30" x14ac:dyDescent="0.3">
      <c r="N561" s="8"/>
      <c r="P561" s="34"/>
      <c r="Q561" s="4"/>
      <c r="R561" s="4"/>
      <c r="S561" s="4"/>
      <c r="T561" s="4"/>
      <c r="U561" s="4"/>
      <c r="V561" s="4"/>
      <c r="X561" s="4"/>
      <c r="Y561" s="4"/>
      <c r="AA561" s="4"/>
      <c r="AB561" s="4"/>
      <c r="AC561" s="4"/>
      <c r="AD561" s="20"/>
    </row>
    <row r="562" spans="14:30" x14ac:dyDescent="0.3">
      <c r="N562" s="8"/>
      <c r="P562" s="34"/>
      <c r="Q562" s="4"/>
      <c r="R562" s="4"/>
      <c r="S562" s="4"/>
      <c r="T562" s="4"/>
      <c r="U562" s="4"/>
      <c r="V562" s="4"/>
      <c r="X562" s="4"/>
      <c r="Y562" s="4"/>
      <c r="AA562" s="4"/>
      <c r="AB562" s="4"/>
      <c r="AC562" s="4"/>
      <c r="AD562" s="20"/>
    </row>
    <row r="563" spans="14:30" x14ac:dyDescent="0.3">
      <c r="N563" s="8"/>
      <c r="P563" s="34"/>
      <c r="Q563" s="4"/>
      <c r="R563" s="4"/>
      <c r="S563" s="4"/>
      <c r="T563" s="4"/>
      <c r="U563" s="4"/>
      <c r="V563" s="4"/>
      <c r="X563" s="4"/>
      <c r="Y563" s="4"/>
      <c r="AA563" s="4"/>
      <c r="AB563" s="4"/>
      <c r="AC563" s="4"/>
      <c r="AD563" s="20"/>
    </row>
    <row r="564" spans="14:30" x14ac:dyDescent="0.3">
      <c r="N564" s="8"/>
      <c r="P564" s="34"/>
      <c r="Q564" s="4"/>
      <c r="R564" s="4"/>
      <c r="S564" s="4"/>
      <c r="T564" s="4"/>
      <c r="U564" s="4"/>
      <c r="V564" s="4"/>
      <c r="X564" s="4"/>
      <c r="Y564" s="4"/>
      <c r="AA564" s="4"/>
      <c r="AB564" s="4"/>
      <c r="AC564" s="4"/>
      <c r="AD564" s="20"/>
    </row>
    <row r="565" spans="14:30" x14ac:dyDescent="0.3">
      <c r="N565" s="8"/>
      <c r="P565" s="34"/>
      <c r="Q565" s="4"/>
      <c r="R565" s="4"/>
      <c r="S565" s="4"/>
      <c r="T565" s="4"/>
      <c r="U565" s="4"/>
      <c r="V565" s="4"/>
      <c r="X565" s="4"/>
      <c r="Y565" s="4"/>
      <c r="AA565" s="4"/>
      <c r="AB565" s="4"/>
      <c r="AC565" s="4"/>
      <c r="AD565" s="20"/>
    </row>
    <row r="566" spans="14:30" x14ac:dyDescent="0.3">
      <c r="N566" s="8"/>
      <c r="P566" s="34"/>
      <c r="Q566" s="4"/>
      <c r="R566" s="4"/>
      <c r="S566" s="4"/>
      <c r="T566" s="4"/>
      <c r="U566" s="4"/>
      <c r="V566" s="4"/>
      <c r="X566" s="4"/>
      <c r="Y566" s="4"/>
      <c r="AA566" s="4"/>
      <c r="AB566" s="4"/>
      <c r="AC566" s="4"/>
      <c r="AD566" s="20"/>
    </row>
    <row r="567" spans="14:30" x14ac:dyDescent="0.3">
      <c r="N567" s="8"/>
      <c r="P567" s="34"/>
      <c r="Q567" s="4"/>
      <c r="R567" s="4"/>
      <c r="S567" s="4"/>
      <c r="T567" s="4"/>
      <c r="U567" s="4"/>
      <c r="V567" s="4"/>
      <c r="X567" s="4"/>
      <c r="Y567" s="4"/>
      <c r="AA567" s="4"/>
      <c r="AB567" s="4"/>
      <c r="AC567" s="4"/>
      <c r="AD567" s="20"/>
    </row>
    <row r="568" spans="14:30" x14ac:dyDescent="0.3">
      <c r="N568" s="8"/>
      <c r="P568" s="34"/>
      <c r="Q568" s="4"/>
      <c r="R568" s="4"/>
      <c r="S568" s="4"/>
      <c r="T568" s="4"/>
      <c r="U568" s="4"/>
      <c r="V568" s="4"/>
      <c r="X568" s="4"/>
      <c r="Y568" s="4"/>
      <c r="AA568" s="4"/>
      <c r="AB568" s="4"/>
      <c r="AC568" s="4"/>
      <c r="AD568" s="20"/>
    </row>
    <row r="569" spans="14:30" x14ac:dyDescent="0.3">
      <c r="N569" s="8"/>
      <c r="P569" s="34"/>
      <c r="Q569" s="4"/>
      <c r="R569" s="4"/>
      <c r="S569" s="4"/>
      <c r="T569" s="4"/>
      <c r="U569" s="4"/>
      <c r="V569" s="4"/>
      <c r="X569" s="4"/>
      <c r="Y569" s="4"/>
      <c r="AA569" s="4"/>
      <c r="AB569" s="4"/>
      <c r="AC569" s="4"/>
      <c r="AD569" s="20"/>
    </row>
    <row r="570" spans="14:30" x14ac:dyDescent="0.3">
      <c r="N570" s="8"/>
      <c r="P570" s="34"/>
      <c r="Q570" s="4"/>
      <c r="R570" s="4"/>
      <c r="S570" s="4"/>
      <c r="T570" s="4"/>
      <c r="U570" s="4"/>
      <c r="V570" s="4"/>
      <c r="X570" s="4"/>
      <c r="Y570" s="4"/>
      <c r="AA570" s="4"/>
      <c r="AB570" s="4"/>
      <c r="AC570" s="4"/>
      <c r="AD570" s="20"/>
    </row>
    <row r="571" spans="14:30" x14ac:dyDescent="0.3">
      <c r="N571" s="8"/>
      <c r="P571" s="34"/>
      <c r="Q571" s="4"/>
      <c r="R571" s="4"/>
      <c r="S571" s="4"/>
      <c r="T571" s="4"/>
      <c r="U571" s="4"/>
      <c r="V571" s="4"/>
      <c r="X571" s="4"/>
      <c r="Y571" s="4"/>
      <c r="AA571" s="4"/>
      <c r="AB571" s="4"/>
      <c r="AC571" s="4"/>
      <c r="AD571" s="20"/>
    </row>
    <row r="572" spans="14:30" x14ac:dyDescent="0.3">
      <c r="N572" s="8"/>
      <c r="P572" s="34"/>
      <c r="Q572" s="4"/>
      <c r="R572" s="4"/>
      <c r="S572" s="4"/>
      <c r="T572" s="4"/>
      <c r="U572" s="4"/>
      <c r="V572" s="4"/>
      <c r="X572" s="4"/>
      <c r="Y572" s="4"/>
      <c r="AA572" s="4"/>
      <c r="AB572" s="4"/>
      <c r="AC572" s="4"/>
      <c r="AD572" s="20"/>
    </row>
    <row r="573" spans="14:30" x14ac:dyDescent="0.3">
      <c r="N573" s="8"/>
      <c r="P573" s="34"/>
      <c r="Q573" s="4"/>
      <c r="R573" s="4"/>
      <c r="S573" s="4"/>
      <c r="T573" s="4"/>
      <c r="U573" s="4"/>
      <c r="V573" s="4"/>
      <c r="X573" s="4"/>
      <c r="Y573" s="4"/>
      <c r="AA573" s="4"/>
      <c r="AB573" s="4"/>
      <c r="AC573" s="4"/>
      <c r="AD573" s="20"/>
    </row>
    <row r="574" spans="14:30" x14ac:dyDescent="0.3">
      <c r="N574" s="8"/>
      <c r="P574" s="34"/>
      <c r="Q574" s="4"/>
      <c r="R574" s="4"/>
      <c r="S574" s="4"/>
      <c r="T574" s="4"/>
      <c r="U574" s="4"/>
      <c r="V574" s="4"/>
      <c r="X574" s="4"/>
      <c r="Y574" s="4"/>
      <c r="AA574" s="4"/>
      <c r="AB574" s="4"/>
      <c r="AC574" s="4"/>
      <c r="AD574" s="20"/>
    </row>
    <row r="575" spans="14:30" x14ac:dyDescent="0.3">
      <c r="N575" s="8"/>
      <c r="P575" s="34"/>
      <c r="Q575" s="4"/>
      <c r="R575" s="4"/>
      <c r="S575" s="4"/>
      <c r="T575" s="4"/>
      <c r="U575" s="4"/>
      <c r="V575" s="4"/>
      <c r="X575" s="4"/>
      <c r="Y575" s="4"/>
      <c r="AA575" s="4"/>
      <c r="AB575" s="4"/>
      <c r="AC575" s="4"/>
      <c r="AD575" s="20"/>
    </row>
    <row r="576" spans="14:30" x14ac:dyDescent="0.3">
      <c r="N576" s="8"/>
      <c r="P576" s="34"/>
      <c r="Q576" s="4"/>
      <c r="R576" s="4"/>
      <c r="S576" s="4"/>
      <c r="T576" s="4"/>
      <c r="U576" s="4"/>
      <c r="V576" s="4"/>
      <c r="X576" s="4"/>
      <c r="Y576" s="4"/>
      <c r="AA576" s="4"/>
      <c r="AB576" s="4"/>
      <c r="AC576" s="4"/>
      <c r="AD576" s="20"/>
    </row>
    <row r="577" spans="14:30" x14ac:dyDescent="0.3">
      <c r="N577" s="8"/>
      <c r="P577" s="34"/>
      <c r="Q577" s="4"/>
      <c r="R577" s="4"/>
      <c r="S577" s="4"/>
      <c r="T577" s="4"/>
      <c r="U577" s="4"/>
      <c r="V577" s="4"/>
      <c r="X577" s="4"/>
      <c r="Y577" s="4"/>
      <c r="AA577" s="4"/>
      <c r="AB577" s="4"/>
      <c r="AC577" s="4"/>
      <c r="AD577" s="20"/>
    </row>
    <row r="578" spans="14:30" x14ac:dyDescent="0.3">
      <c r="N578" s="8"/>
      <c r="P578" s="34"/>
      <c r="Q578" s="4"/>
      <c r="R578" s="4"/>
      <c r="S578" s="4"/>
      <c r="T578" s="4"/>
      <c r="U578" s="4"/>
      <c r="V578" s="4"/>
      <c r="X578" s="4"/>
      <c r="Y578" s="4"/>
      <c r="AA578" s="4"/>
      <c r="AB578" s="4"/>
      <c r="AC578" s="4"/>
      <c r="AD578" s="20"/>
    </row>
    <row r="579" spans="14:30" x14ac:dyDescent="0.3">
      <c r="N579" s="8"/>
      <c r="P579" s="34"/>
      <c r="Q579" s="4"/>
      <c r="R579" s="4"/>
      <c r="S579" s="4"/>
      <c r="T579" s="4"/>
      <c r="U579" s="4"/>
      <c r="V579" s="4"/>
      <c r="X579" s="4"/>
      <c r="Y579" s="4"/>
      <c r="AA579" s="4"/>
      <c r="AB579" s="4"/>
      <c r="AC579" s="4"/>
      <c r="AD579" s="20"/>
    </row>
    <row r="580" spans="14:30" x14ac:dyDescent="0.3">
      <c r="N580" s="8"/>
      <c r="P580" s="34"/>
      <c r="Q580" s="4"/>
      <c r="R580" s="4"/>
      <c r="S580" s="4"/>
      <c r="T580" s="4"/>
      <c r="U580" s="4"/>
      <c r="V580" s="4"/>
      <c r="X580" s="4"/>
      <c r="Y580" s="4"/>
      <c r="AA580" s="4"/>
      <c r="AB580" s="4"/>
      <c r="AC580" s="4"/>
      <c r="AD580" s="20"/>
    </row>
    <row r="581" spans="14:30" x14ac:dyDescent="0.3">
      <c r="N581" s="8"/>
      <c r="P581" s="34"/>
      <c r="Q581" s="4"/>
      <c r="R581" s="4"/>
      <c r="S581" s="4"/>
      <c r="T581" s="4"/>
      <c r="U581" s="4"/>
      <c r="V581" s="4"/>
      <c r="X581" s="4"/>
      <c r="Y581" s="4"/>
      <c r="AA581" s="4"/>
      <c r="AB581" s="4"/>
      <c r="AC581" s="4"/>
      <c r="AD581" s="20"/>
    </row>
    <row r="582" spans="14:30" x14ac:dyDescent="0.3">
      <c r="N582" s="8"/>
      <c r="P582" s="34"/>
      <c r="Q582" s="4"/>
      <c r="R582" s="4"/>
      <c r="S582" s="4"/>
      <c r="T582" s="4"/>
      <c r="U582" s="4"/>
      <c r="V582" s="4"/>
      <c r="X582" s="4"/>
      <c r="Y582" s="4"/>
      <c r="AA582" s="4"/>
      <c r="AB582" s="4"/>
      <c r="AC582" s="4"/>
      <c r="AD582" s="20"/>
    </row>
    <row r="583" spans="14:30" x14ac:dyDescent="0.3">
      <c r="N583" s="8"/>
      <c r="P583" s="34"/>
      <c r="Q583" s="4"/>
      <c r="R583" s="4"/>
      <c r="S583" s="4"/>
      <c r="T583" s="4"/>
      <c r="U583" s="4"/>
      <c r="V583" s="4"/>
      <c r="X583" s="4"/>
      <c r="Y583" s="4"/>
      <c r="AA583" s="4"/>
      <c r="AB583" s="4"/>
      <c r="AC583" s="4"/>
      <c r="AD583" s="20"/>
    </row>
    <row r="584" spans="14:30" x14ac:dyDescent="0.3">
      <c r="N584" s="8"/>
      <c r="P584" s="34"/>
      <c r="Q584" s="4"/>
      <c r="R584" s="4"/>
      <c r="S584" s="4"/>
      <c r="T584" s="4"/>
      <c r="U584" s="4"/>
      <c r="V584" s="4"/>
      <c r="X584" s="4"/>
      <c r="Y584" s="4"/>
      <c r="AA584" s="4"/>
      <c r="AB584" s="4"/>
      <c r="AC584" s="4"/>
      <c r="AD584" s="20"/>
    </row>
    <row r="585" spans="14:30" x14ac:dyDescent="0.3">
      <c r="N585" s="8"/>
      <c r="P585" s="34"/>
      <c r="Q585" s="4"/>
      <c r="R585" s="4"/>
      <c r="S585" s="4"/>
      <c r="T585" s="4"/>
      <c r="U585" s="4"/>
      <c r="V585" s="4"/>
      <c r="X585" s="4"/>
      <c r="Y585" s="4"/>
      <c r="AA585" s="4"/>
      <c r="AB585" s="4"/>
      <c r="AC585" s="4"/>
      <c r="AD585" s="20"/>
    </row>
    <row r="586" spans="14:30" x14ac:dyDescent="0.3">
      <c r="N586" s="8"/>
      <c r="P586" s="34"/>
      <c r="Q586" s="4"/>
      <c r="R586" s="4"/>
      <c r="S586" s="4"/>
      <c r="T586" s="4"/>
      <c r="U586" s="4"/>
      <c r="V586" s="4"/>
      <c r="X586" s="4"/>
      <c r="Y586" s="4"/>
      <c r="AA586" s="4"/>
      <c r="AB586" s="4"/>
      <c r="AC586" s="4"/>
      <c r="AD586" s="20"/>
    </row>
    <row r="587" spans="14:30" x14ac:dyDescent="0.3">
      <c r="N587" s="8"/>
      <c r="P587" s="34"/>
      <c r="Q587" s="4"/>
      <c r="R587" s="4"/>
      <c r="S587" s="4"/>
      <c r="T587" s="4"/>
      <c r="U587" s="4"/>
      <c r="V587" s="4"/>
      <c r="X587" s="4"/>
      <c r="Y587" s="4"/>
      <c r="AA587" s="4"/>
      <c r="AB587" s="4"/>
      <c r="AC587" s="4"/>
      <c r="AD587" s="20"/>
    </row>
    <row r="588" spans="14:30" x14ac:dyDescent="0.3">
      <c r="N588" s="8"/>
      <c r="P588" s="34"/>
      <c r="Q588" s="4"/>
      <c r="R588" s="4"/>
      <c r="S588" s="4"/>
      <c r="T588" s="4"/>
      <c r="U588" s="4"/>
      <c r="V588" s="4"/>
      <c r="X588" s="4"/>
      <c r="Y588" s="4"/>
      <c r="AA588" s="4"/>
      <c r="AB588" s="4"/>
      <c r="AC588" s="4"/>
      <c r="AD588" s="20"/>
    </row>
    <row r="589" spans="14:30" x14ac:dyDescent="0.3">
      <c r="N589" s="8"/>
      <c r="P589" s="34"/>
      <c r="Q589" s="4"/>
      <c r="R589" s="4"/>
      <c r="S589" s="4"/>
      <c r="T589" s="4"/>
      <c r="U589" s="4"/>
      <c r="V589" s="4"/>
      <c r="X589" s="4"/>
      <c r="Y589" s="4"/>
      <c r="AA589" s="4"/>
      <c r="AB589" s="4"/>
      <c r="AC589" s="4"/>
      <c r="AD589" s="20"/>
    </row>
    <row r="590" spans="14:30" x14ac:dyDescent="0.3">
      <c r="N590" s="8"/>
      <c r="P590" s="34"/>
      <c r="Q590" s="4"/>
      <c r="R590" s="4"/>
      <c r="S590" s="4"/>
      <c r="T590" s="4"/>
      <c r="U590" s="4"/>
      <c r="V590" s="4"/>
      <c r="X590" s="4"/>
      <c r="Y590" s="4"/>
      <c r="AA590" s="4"/>
      <c r="AB590" s="4"/>
      <c r="AC590" s="4"/>
      <c r="AD590" s="20"/>
    </row>
    <row r="591" spans="14:30" x14ac:dyDescent="0.3">
      <c r="N591" s="8"/>
      <c r="P591" s="34"/>
      <c r="Q591" s="4"/>
      <c r="R591" s="4"/>
      <c r="S591" s="4"/>
      <c r="T591" s="4"/>
      <c r="U591" s="4"/>
      <c r="V591" s="4"/>
      <c r="X591" s="4"/>
      <c r="Y591" s="4"/>
      <c r="AA591" s="4"/>
      <c r="AB591" s="4"/>
      <c r="AC591" s="4"/>
      <c r="AD591" s="20"/>
    </row>
    <row r="592" spans="14:30" x14ac:dyDescent="0.3">
      <c r="N592" s="8"/>
      <c r="P592" s="34"/>
      <c r="Q592" s="4"/>
      <c r="R592" s="4"/>
      <c r="S592" s="4"/>
      <c r="T592" s="4"/>
      <c r="U592" s="4"/>
      <c r="V592" s="4"/>
      <c r="X592" s="4"/>
      <c r="Y592" s="4"/>
      <c r="AA592" s="4"/>
      <c r="AB592" s="4"/>
      <c r="AC592" s="4"/>
      <c r="AD592" s="20"/>
    </row>
    <row r="593" spans="14:30" x14ac:dyDescent="0.3">
      <c r="N593" s="8"/>
      <c r="P593" s="34"/>
      <c r="Q593" s="4"/>
      <c r="R593" s="4"/>
      <c r="S593" s="4"/>
      <c r="T593" s="4"/>
      <c r="U593" s="4"/>
      <c r="V593" s="4"/>
      <c r="X593" s="4"/>
      <c r="Y593" s="4"/>
      <c r="AA593" s="4"/>
      <c r="AB593" s="4"/>
      <c r="AC593" s="4"/>
      <c r="AD593" s="20"/>
    </row>
    <row r="594" spans="14:30" x14ac:dyDescent="0.3">
      <c r="N594" s="8"/>
      <c r="P594" s="34"/>
      <c r="Q594" s="4"/>
      <c r="R594" s="4"/>
      <c r="S594" s="4"/>
      <c r="T594" s="4"/>
      <c r="U594" s="4"/>
      <c r="V594" s="4"/>
      <c r="X594" s="4"/>
      <c r="Y594" s="4"/>
      <c r="AA594" s="4"/>
      <c r="AB594" s="4"/>
      <c r="AC594" s="4"/>
      <c r="AD594" s="20"/>
    </row>
    <row r="595" spans="14:30" x14ac:dyDescent="0.3">
      <c r="N595" s="8"/>
      <c r="P595" s="34"/>
      <c r="Q595" s="4"/>
      <c r="R595" s="4"/>
      <c r="S595" s="4"/>
      <c r="T595" s="4"/>
      <c r="U595" s="4"/>
      <c r="V595" s="4"/>
      <c r="X595" s="4"/>
      <c r="Y595" s="4"/>
      <c r="AA595" s="4"/>
      <c r="AB595" s="4"/>
      <c r="AC595" s="4"/>
      <c r="AD595" s="20"/>
    </row>
    <row r="596" spans="14:30" x14ac:dyDescent="0.3">
      <c r="N596" s="8"/>
      <c r="P596" s="34"/>
      <c r="Q596" s="4"/>
      <c r="R596" s="4"/>
      <c r="S596" s="4"/>
      <c r="T596" s="4"/>
      <c r="U596" s="4"/>
      <c r="V596" s="4"/>
      <c r="X596" s="4"/>
      <c r="Y596" s="4"/>
      <c r="AA596" s="4"/>
      <c r="AB596" s="4"/>
      <c r="AC596" s="4"/>
      <c r="AD596" s="20"/>
    </row>
    <row r="597" spans="14:30" x14ac:dyDescent="0.3">
      <c r="N597" s="8"/>
      <c r="P597" s="34"/>
      <c r="Q597" s="4"/>
      <c r="R597" s="4"/>
      <c r="S597" s="4"/>
      <c r="T597" s="4"/>
      <c r="U597" s="4"/>
      <c r="V597" s="4"/>
      <c r="X597" s="4"/>
      <c r="Y597" s="4"/>
      <c r="AA597" s="4"/>
      <c r="AB597" s="4"/>
      <c r="AC597" s="4"/>
      <c r="AD597" s="20"/>
    </row>
    <row r="598" spans="14:30" x14ac:dyDescent="0.3">
      <c r="N598" s="8"/>
      <c r="P598" s="34"/>
      <c r="Q598" s="4"/>
      <c r="R598" s="4"/>
      <c r="S598" s="4"/>
      <c r="T598" s="4"/>
      <c r="U598" s="4"/>
      <c r="V598" s="4"/>
      <c r="X598" s="4"/>
      <c r="Y598" s="4"/>
      <c r="AA598" s="4"/>
      <c r="AB598" s="4"/>
      <c r="AC598" s="4"/>
      <c r="AD598" s="20"/>
    </row>
    <row r="599" spans="14:30" x14ac:dyDescent="0.3">
      <c r="N599" s="8"/>
      <c r="P599" s="34"/>
      <c r="Q599" s="4"/>
      <c r="R599" s="4"/>
      <c r="S599" s="4"/>
      <c r="T599" s="4"/>
      <c r="U599" s="4"/>
      <c r="V599" s="4"/>
      <c r="X599" s="4"/>
      <c r="Y599" s="4"/>
      <c r="AA599" s="4"/>
      <c r="AB599" s="4"/>
      <c r="AC599" s="4"/>
      <c r="AD599" s="20"/>
    </row>
    <row r="600" spans="14:30" x14ac:dyDescent="0.3">
      <c r="N600" s="8"/>
      <c r="P600" s="34"/>
      <c r="Q600" s="4"/>
      <c r="R600" s="4"/>
      <c r="S600" s="4"/>
      <c r="T600" s="4"/>
      <c r="U600" s="4"/>
      <c r="V600" s="4"/>
      <c r="X600" s="4"/>
      <c r="Y600" s="4"/>
      <c r="AA600" s="4"/>
      <c r="AB600" s="4"/>
      <c r="AC600" s="4"/>
      <c r="AD600" s="20"/>
    </row>
    <row r="601" spans="14:30" x14ac:dyDescent="0.3">
      <c r="N601" s="8"/>
      <c r="P601" s="34"/>
      <c r="Q601" s="4"/>
      <c r="R601" s="4"/>
      <c r="S601" s="4"/>
      <c r="T601" s="4"/>
      <c r="U601" s="4"/>
      <c r="V601" s="4"/>
      <c r="X601" s="4"/>
      <c r="Y601" s="4"/>
      <c r="AA601" s="4"/>
      <c r="AB601" s="4"/>
      <c r="AC601" s="4"/>
      <c r="AD601" s="20"/>
    </row>
    <row r="602" spans="14:30" x14ac:dyDescent="0.3">
      <c r="N602" s="8"/>
      <c r="P602" s="34"/>
      <c r="Q602" s="4"/>
      <c r="R602" s="4"/>
      <c r="S602" s="4"/>
      <c r="T602" s="4"/>
      <c r="U602" s="4"/>
      <c r="V602" s="4"/>
      <c r="X602" s="4"/>
      <c r="Y602" s="4"/>
      <c r="AA602" s="4"/>
      <c r="AB602" s="4"/>
      <c r="AC602" s="4"/>
      <c r="AD602" s="20"/>
    </row>
    <row r="603" spans="14:30" x14ac:dyDescent="0.3">
      <c r="N603" s="8"/>
      <c r="P603" s="34"/>
      <c r="Q603" s="4"/>
      <c r="R603" s="4"/>
      <c r="S603" s="4"/>
      <c r="T603" s="4"/>
      <c r="U603" s="4"/>
      <c r="V603" s="4"/>
      <c r="X603" s="4"/>
      <c r="Y603" s="4"/>
      <c r="AA603" s="4"/>
      <c r="AB603" s="4"/>
      <c r="AC603" s="4"/>
      <c r="AD603" s="20"/>
    </row>
    <row r="604" spans="14:30" x14ac:dyDescent="0.3">
      <c r="N604" s="8"/>
      <c r="P604" s="34"/>
      <c r="Q604" s="4"/>
      <c r="R604" s="4"/>
      <c r="S604" s="4"/>
      <c r="T604" s="4"/>
      <c r="U604" s="4"/>
      <c r="V604" s="4"/>
      <c r="X604" s="4"/>
      <c r="Y604" s="4"/>
      <c r="AA604" s="4"/>
      <c r="AB604" s="4"/>
      <c r="AC604" s="4"/>
      <c r="AD604" s="20"/>
    </row>
    <row r="605" spans="14:30" x14ac:dyDescent="0.3">
      <c r="N605" s="8"/>
      <c r="P605" s="34"/>
      <c r="Q605" s="4"/>
      <c r="R605" s="4"/>
      <c r="S605" s="4"/>
      <c r="T605" s="4"/>
      <c r="U605" s="4"/>
      <c r="V605" s="4"/>
      <c r="X605" s="4"/>
      <c r="Y605" s="4"/>
      <c r="AA605" s="4"/>
      <c r="AB605" s="4"/>
      <c r="AC605" s="4"/>
      <c r="AD605" s="20"/>
    </row>
    <row r="606" spans="14:30" x14ac:dyDescent="0.3">
      <c r="N606" s="8"/>
      <c r="P606" s="34"/>
      <c r="Q606" s="4"/>
      <c r="R606" s="4"/>
      <c r="S606" s="4"/>
      <c r="T606" s="4"/>
      <c r="U606" s="4"/>
      <c r="V606" s="4"/>
      <c r="X606" s="4"/>
      <c r="Y606" s="4"/>
      <c r="AA606" s="4"/>
      <c r="AB606" s="4"/>
      <c r="AC606" s="4"/>
      <c r="AD606" s="20"/>
    </row>
    <row r="607" spans="14:30" x14ac:dyDescent="0.3">
      <c r="N607" s="8"/>
      <c r="P607" s="34"/>
      <c r="Q607" s="4"/>
      <c r="R607" s="4"/>
      <c r="S607" s="4"/>
      <c r="T607" s="4"/>
      <c r="U607" s="4"/>
      <c r="V607" s="4"/>
      <c r="X607" s="4"/>
      <c r="Y607" s="4"/>
      <c r="AA607" s="4"/>
      <c r="AB607" s="4"/>
      <c r="AC607" s="4"/>
      <c r="AD607" s="20"/>
    </row>
    <row r="608" spans="14:30" x14ac:dyDescent="0.3">
      <c r="N608" s="8"/>
      <c r="P608" s="34"/>
      <c r="Q608" s="4"/>
      <c r="R608" s="4"/>
      <c r="S608" s="4"/>
      <c r="T608" s="4"/>
      <c r="U608" s="4"/>
      <c r="V608" s="4"/>
      <c r="X608" s="4"/>
      <c r="Y608" s="4"/>
      <c r="AA608" s="4"/>
      <c r="AB608" s="4"/>
      <c r="AC608" s="4"/>
      <c r="AD608" s="20"/>
    </row>
    <row r="609" spans="14:30" x14ac:dyDescent="0.3">
      <c r="N609" s="8"/>
      <c r="P609" s="34"/>
      <c r="Q609" s="4"/>
      <c r="R609" s="4"/>
      <c r="S609" s="4"/>
      <c r="T609" s="4"/>
      <c r="U609" s="4"/>
      <c r="V609" s="4"/>
      <c r="X609" s="4"/>
      <c r="Y609" s="4"/>
      <c r="AA609" s="4"/>
      <c r="AB609" s="4"/>
      <c r="AC609" s="4"/>
      <c r="AD609" s="20"/>
    </row>
    <row r="610" spans="14:30" x14ac:dyDescent="0.3">
      <c r="N610" s="8"/>
      <c r="P610" s="34"/>
      <c r="Q610" s="4"/>
      <c r="R610" s="4"/>
      <c r="S610" s="4"/>
      <c r="T610" s="4"/>
      <c r="U610" s="4"/>
      <c r="V610" s="4"/>
      <c r="X610" s="4"/>
      <c r="Y610" s="4"/>
      <c r="AA610" s="4"/>
      <c r="AB610" s="4"/>
      <c r="AC610" s="4"/>
      <c r="AD610" s="20"/>
    </row>
    <row r="611" spans="14:30" x14ac:dyDescent="0.3">
      <c r="N611" s="8"/>
      <c r="P611" s="34"/>
      <c r="Q611" s="4"/>
      <c r="R611" s="4"/>
      <c r="S611" s="4"/>
      <c r="T611" s="4"/>
      <c r="U611" s="4"/>
      <c r="V611" s="4"/>
      <c r="X611" s="4"/>
      <c r="Y611" s="4"/>
      <c r="AA611" s="4"/>
      <c r="AB611" s="4"/>
      <c r="AC611" s="4"/>
      <c r="AD611" s="20"/>
    </row>
    <row r="612" spans="14:30" x14ac:dyDescent="0.3">
      <c r="N612" s="8"/>
      <c r="P612" s="34"/>
      <c r="Q612" s="4"/>
      <c r="R612" s="4"/>
      <c r="S612" s="4"/>
      <c r="T612" s="4"/>
      <c r="U612" s="4"/>
      <c r="V612" s="4"/>
      <c r="X612" s="4"/>
      <c r="Y612" s="4"/>
      <c r="AA612" s="4"/>
      <c r="AB612" s="4"/>
      <c r="AC612" s="4"/>
      <c r="AD612" s="20"/>
    </row>
    <row r="613" spans="14:30" x14ac:dyDescent="0.3">
      <c r="N613" s="8"/>
      <c r="P613" s="34"/>
      <c r="Q613" s="4"/>
      <c r="R613" s="4"/>
      <c r="S613" s="4"/>
      <c r="T613" s="4"/>
      <c r="U613" s="4"/>
      <c r="V613" s="4"/>
      <c r="X613" s="4"/>
      <c r="Y613" s="4"/>
      <c r="AA613" s="4"/>
      <c r="AB613" s="4"/>
      <c r="AC613" s="4"/>
      <c r="AD613" s="20"/>
    </row>
    <row r="614" spans="14:30" x14ac:dyDescent="0.3">
      <c r="N614" s="8"/>
      <c r="P614" s="34"/>
      <c r="Q614" s="4"/>
      <c r="R614" s="4"/>
      <c r="S614" s="4"/>
      <c r="T614" s="4"/>
      <c r="U614" s="4"/>
      <c r="V614" s="4"/>
      <c r="X614" s="4"/>
      <c r="Y614" s="4"/>
      <c r="AA614" s="4"/>
      <c r="AB614" s="4"/>
      <c r="AC614" s="4"/>
      <c r="AD614" s="20"/>
    </row>
    <row r="615" spans="14:30" x14ac:dyDescent="0.3">
      <c r="N615" s="8"/>
      <c r="P615" s="34"/>
      <c r="Q615" s="4"/>
      <c r="R615" s="4"/>
      <c r="S615" s="4"/>
      <c r="T615" s="4"/>
      <c r="U615" s="4"/>
      <c r="V615" s="4"/>
      <c r="X615" s="4"/>
      <c r="Y615" s="4"/>
      <c r="AA615" s="4"/>
      <c r="AB615" s="4"/>
      <c r="AC615" s="4"/>
      <c r="AD615" s="20"/>
    </row>
    <row r="616" spans="14:30" x14ac:dyDescent="0.3">
      <c r="N616" s="8"/>
      <c r="P616" s="34"/>
      <c r="Q616" s="4"/>
      <c r="R616" s="4"/>
      <c r="S616" s="4"/>
      <c r="T616" s="4"/>
      <c r="U616" s="4"/>
      <c r="V616" s="4"/>
      <c r="X616" s="4"/>
      <c r="Y616" s="4"/>
      <c r="AA616" s="4"/>
      <c r="AB616" s="4"/>
      <c r="AC616" s="4"/>
      <c r="AD616" s="20"/>
    </row>
    <row r="617" spans="14:30" x14ac:dyDescent="0.3">
      <c r="N617" s="8"/>
      <c r="P617" s="34"/>
      <c r="Q617" s="4"/>
      <c r="R617" s="4"/>
      <c r="S617" s="4"/>
      <c r="T617" s="4"/>
      <c r="U617" s="4"/>
      <c r="V617" s="4"/>
      <c r="X617" s="4"/>
      <c r="Y617" s="4"/>
      <c r="AA617" s="4"/>
      <c r="AB617" s="4"/>
      <c r="AC617" s="4"/>
      <c r="AD617" s="20"/>
    </row>
    <row r="618" spans="14:30" x14ac:dyDescent="0.3">
      <c r="N618" s="8"/>
      <c r="P618" s="34"/>
      <c r="Q618" s="4"/>
      <c r="R618" s="4"/>
      <c r="S618" s="4"/>
      <c r="T618" s="4"/>
      <c r="U618" s="4"/>
      <c r="V618" s="4"/>
      <c r="X618" s="4"/>
      <c r="Y618" s="4"/>
      <c r="AA618" s="4"/>
      <c r="AB618" s="4"/>
      <c r="AC618" s="4"/>
      <c r="AD618" s="20"/>
    </row>
    <row r="619" spans="14:30" x14ac:dyDescent="0.3">
      <c r="N619" s="8"/>
      <c r="P619" s="34"/>
      <c r="Q619" s="4"/>
      <c r="R619" s="4"/>
      <c r="S619" s="4"/>
      <c r="T619" s="4"/>
      <c r="U619" s="4"/>
      <c r="V619" s="4"/>
      <c r="X619" s="4"/>
      <c r="Y619" s="4"/>
      <c r="AA619" s="4"/>
      <c r="AB619" s="4"/>
      <c r="AC619" s="4"/>
      <c r="AD619" s="20"/>
    </row>
    <row r="620" spans="14:30" x14ac:dyDescent="0.3">
      <c r="N620" s="8"/>
      <c r="P620" s="34"/>
      <c r="Q620" s="4"/>
      <c r="R620" s="4"/>
      <c r="S620" s="4"/>
      <c r="T620" s="4"/>
      <c r="U620" s="4"/>
      <c r="V620" s="4"/>
      <c r="X620" s="4"/>
      <c r="Y620" s="4"/>
      <c r="AA620" s="4"/>
      <c r="AB620" s="4"/>
      <c r="AC620" s="4"/>
      <c r="AD620" s="20"/>
    </row>
    <row r="621" spans="14:30" x14ac:dyDescent="0.3">
      <c r="N621" s="8"/>
      <c r="P621" s="34"/>
      <c r="Q621" s="4"/>
      <c r="R621" s="4"/>
      <c r="S621" s="4"/>
      <c r="T621" s="4"/>
      <c r="U621" s="4"/>
      <c r="V621" s="4"/>
      <c r="X621" s="4"/>
      <c r="Y621" s="4"/>
      <c r="AA621" s="4"/>
      <c r="AB621" s="4"/>
      <c r="AC621" s="4"/>
      <c r="AD621" s="20"/>
    </row>
    <row r="622" spans="14:30" x14ac:dyDescent="0.3">
      <c r="N622" s="8"/>
      <c r="P622" s="34"/>
      <c r="Q622" s="4"/>
      <c r="R622" s="4"/>
      <c r="S622" s="4"/>
      <c r="T622" s="4"/>
      <c r="U622" s="4"/>
      <c r="V622" s="4"/>
      <c r="X622" s="4"/>
      <c r="Y622" s="4"/>
      <c r="AA622" s="4"/>
      <c r="AB622" s="4"/>
      <c r="AC622" s="4"/>
      <c r="AD622" s="20"/>
    </row>
    <row r="623" spans="14:30" x14ac:dyDescent="0.3">
      <c r="N623" s="8"/>
      <c r="P623" s="34"/>
      <c r="Q623" s="4"/>
      <c r="R623" s="4"/>
      <c r="S623" s="4"/>
      <c r="T623" s="4"/>
      <c r="U623" s="4"/>
      <c r="V623" s="4"/>
      <c r="X623" s="4"/>
      <c r="Y623" s="4"/>
      <c r="AA623" s="4"/>
      <c r="AB623" s="4"/>
      <c r="AC623" s="4"/>
      <c r="AD623" s="20"/>
    </row>
    <row r="624" spans="14:30" x14ac:dyDescent="0.3">
      <c r="N624" s="8"/>
      <c r="P624" s="34"/>
      <c r="Q624" s="4"/>
      <c r="R624" s="4"/>
      <c r="S624" s="4"/>
      <c r="T624" s="4"/>
      <c r="U624" s="4"/>
      <c r="V624" s="4"/>
      <c r="X624" s="4"/>
      <c r="Y624" s="4"/>
      <c r="AA624" s="4"/>
      <c r="AB624" s="4"/>
      <c r="AC624" s="4"/>
      <c r="AD624" s="20"/>
    </row>
    <row r="625" spans="14:30" x14ac:dyDescent="0.3">
      <c r="N625" s="8"/>
      <c r="P625" s="34"/>
      <c r="Q625" s="4"/>
      <c r="R625" s="4"/>
      <c r="S625" s="4"/>
      <c r="T625" s="4"/>
      <c r="U625" s="4"/>
      <c r="V625" s="4"/>
      <c r="X625" s="4"/>
      <c r="Y625" s="4"/>
      <c r="AA625" s="4"/>
      <c r="AB625" s="4"/>
      <c r="AC625" s="4"/>
      <c r="AD625" s="20"/>
    </row>
    <row r="626" spans="14:30" x14ac:dyDescent="0.3">
      <c r="N626" s="8"/>
      <c r="P626" s="34"/>
      <c r="Q626" s="4"/>
      <c r="R626" s="4"/>
      <c r="S626" s="4"/>
      <c r="T626" s="4"/>
      <c r="U626" s="4"/>
      <c r="V626" s="4"/>
      <c r="X626" s="4"/>
      <c r="Y626" s="4"/>
      <c r="AA626" s="4"/>
      <c r="AB626" s="4"/>
      <c r="AC626" s="4"/>
      <c r="AD626" s="20"/>
    </row>
    <row r="627" spans="14:30" x14ac:dyDescent="0.3">
      <c r="N627" s="8"/>
      <c r="P627" s="34"/>
      <c r="Q627" s="4"/>
      <c r="R627" s="4"/>
      <c r="S627" s="4"/>
      <c r="T627" s="4"/>
      <c r="U627" s="4"/>
      <c r="V627" s="4"/>
      <c r="X627" s="4"/>
      <c r="Y627" s="4"/>
      <c r="AA627" s="4"/>
      <c r="AB627" s="4"/>
      <c r="AC627" s="4"/>
      <c r="AD627" s="20"/>
    </row>
    <row r="628" spans="14:30" x14ac:dyDescent="0.3">
      <c r="N628" s="8"/>
      <c r="P628" s="34"/>
      <c r="Q628" s="4"/>
      <c r="R628" s="4"/>
      <c r="S628" s="4"/>
      <c r="T628" s="4"/>
      <c r="U628" s="4"/>
      <c r="V628" s="4"/>
      <c r="X628" s="4"/>
      <c r="Y628" s="4"/>
      <c r="AA628" s="4"/>
      <c r="AB628" s="4"/>
      <c r="AC628" s="4"/>
      <c r="AD628" s="20"/>
    </row>
    <row r="629" spans="14:30" x14ac:dyDescent="0.3">
      <c r="N629" s="8"/>
      <c r="P629" s="34"/>
      <c r="Q629" s="4"/>
      <c r="R629" s="4"/>
      <c r="S629" s="4"/>
      <c r="T629" s="4"/>
      <c r="U629" s="4"/>
      <c r="V629" s="4"/>
      <c r="X629" s="4"/>
      <c r="Y629" s="4"/>
      <c r="AA629" s="4"/>
      <c r="AB629" s="4"/>
      <c r="AC629" s="4"/>
      <c r="AD629" s="20"/>
    </row>
    <row r="630" spans="14:30" x14ac:dyDescent="0.3">
      <c r="N630" s="8"/>
      <c r="P630" s="34"/>
      <c r="Q630" s="4"/>
      <c r="R630" s="4"/>
      <c r="S630" s="4"/>
      <c r="T630" s="4"/>
      <c r="U630" s="4"/>
      <c r="V630" s="4"/>
      <c r="X630" s="4"/>
      <c r="Y630" s="4"/>
      <c r="AA630" s="4"/>
      <c r="AB630" s="4"/>
      <c r="AC630" s="4"/>
      <c r="AD630" s="20"/>
    </row>
    <row r="631" spans="14:30" x14ac:dyDescent="0.3">
      <c r="N631" s="8"/>
      <c r="P631" s="34"/>
      <c r="Q631" s="4"/>
      <c r="R631" s="4"/>
      <c r="S631" s="4"/>
      <c r="T631" s="4"/>
      <c r="U631" s="4"/>
      <c r="V631" s="4"/>
      <c r="X631" s="4"/>
      <c r="Y631" s="4"/>
      <c r="AA631" s="4"/>
      <c r="AB631" s="4"/>
      <c r="AC631" s="4"/>
      <c r="AD631" s="20"/>
    </row>
    <row r="632" spans="14:30" x14ac:dyDescent="0.3">
      <c r="N632" s="8"/>
      <c r="P632" s="34"/>
      <c r="Q632" s="4"/>
      <c r="R632" s="4"/>
      <c r="S632" s="4"/>
      <c r="T632" s="4"/>
      <c r="U632" s="4"/>
      <c r="V632" s="4"/>
      <c r="X632" s="4"/>
      <c r="Y632" s="4"/>
      <c r="AA632" s="4"/>
      <c r="AB632" s="4"/>
      <c r="AC632" s="4"/>
      <c r="AD632" s="20"/>
    </row>
    <row r="633" spans="14:30" x14ac:dyDescent="0.3">
      <c r="N633" s="8"/>
      <c r="P633" s="34"/>
      <c r="Q633" s="4"/>
      <c r="R633" s="4"/>
      <c r="S633" s="4"/>
      <c r="T633" s="4"/>
      <c r="U633" s="4"/>
      <c r="V633" s="4"/>
      <c r="X633" s="4"/>
      <c r="Y633" s="4"/>
      <c r="AA633" s="4"/>
      <c r="AB633" s="4"/>
      <c r="AC633" s="4"/>
      <c r="AD633" s="20"/>
    </row>
    <row r="634" spans="14:30" x14ac:dyDescent="0.3">
      <c r="N634" s="8"/>
      <c r="P634" s="34"/>
      <c r="Q634" s="4"/>
      <c r="R634" s="4"/>
      <c r="S634" s="4"/>
      <c r="T634" s="4"/>
      <c r="U634" s="4"/>
      <c r="V634" s="4"/>
      <c r="X634" s="4"/>
      <c r="Y634" s="4"/>
      <c r="AA634" s="4"/>
      <c r="AB634" s="4"/>
      <c r="AC634" s="4"/>
      <c r="AD634" s="20"/>
    </row>
    <row r="635" spans="14:30" x14ac:dyDescent="0.3">
      <c r="N635" s="8"/>
      <c r="P635" s="34"/>
      <c r="Q635" s="4"/>
      <c r="R635" s="4"/>
      <c r="S635" s="4"/>
      <c r="T635" s="4"/>
      <c r="U635" s="4"/>
      <c r="V635" s="4"/>
      <c r="X635" s="4"/>
      <c r="Y635" s="4"/>
      <c r="AA635" s="4"/>
      <c r="AB635" s="4"/>
      <c r="AC635" s="4"/>
      <c r="AD635" s="20"/>
    </row>
    <row r="636" spans="14:30" x14ac:dyDescent="0.3">
      <c r="N636" s="8"/>
      <c r="P636" s="34"/>
      <c r="Q636" s="4"/>
      <c r="R636" s="4"/>
      <c r="S636" s="4"/>
      <c r="T636" s="4"/>
      <c r="U636" s="4"/>
      <c r="V636" s="4"/>
      <c r="X636" s="4"/>
      <c r="Y636" s="4"/>
      <c r="AA636" s="4"/>
      <c r="AB636" s="4"/>
      <c r="AC636" s="4"/>
      <c r="AD636" s="20"/>
    </row>
    <row r="637" spans="14:30" x14ac:dyDescent="0.3">
      <c r="N637" s="8"/>
      <c r="P637" s="34"/>
      <c r="Q637" s="4"/>
      <c r="R637" s="4"/>
      <c r="S637" s="4"/>
      <c r="T637" s="4"/>
      <c r="U637" s="4"/>
      <c r="V637" s="4"/>
      <c r="X637" s="4"/>
      <c r="Y637" s="4"/>
      <c r="AA637" s="4"/>
      <c r="AB637" s="4"/>
      <c r="AC637" s="4"/>
      <c r="AD637" s="20"/>
    </row>
    <row r="638" spans="14:30" x14ac:dyDescent="0.3">
      <c r="N638" s="8"/>
      <c r="P638" s="34"/>
      <c r="Q638" s="4"/>
      <c r="R638" s="4"/>
      <c r="S638" s="4"/>
      <c r="T638" s="4"/>
      <c r="U638" s="4"/>
      <c r="V638" s="4"/>
      <c r="X638" s="4"/>
      <c r="Y638" s="4"/>
      <c r="AA638" s="4"/>
      <c r="AB638" s="4"/>
      <c r="AC638" s="4"/>
      <c r="AD638" s="20"/>
    </row>
    <row r="639" spans="14:30" x14ac:dyDescent="0.3">
      <c r="N639" s="8"/>
      <c r="P639" s="34"/>
      <c r="Q639" s="4"/>
      <c r="R639" s="4"/>
      <c r="S639" s="4"/>
      <c r="T639" s="4"/>
      <c r="U639" s="4"/>
      <c r="V639" s="4"/>
      <c r="X639" s="4"/>
      <c r="Y639" s="4"/>
      <c r="AA639" s="4"/>
      <c r="AB639" s="4"/>
      <c r="AC639" s="4"/>
      <c r="AD639" s="20"/>
    </row>
    <row r="640" spans="14:30" x14ac:dyDescent="0.3">
      <c r="N640" s="8"/>
      <c r="P640" s="34"/>
      <c r="Q640" s="4"/>
      <c r="R640" s="4"/>
      <c r="S640" s="4"/>
      <c r="T640" s="4"/>
      <c r="U640" s="4"/>
      <c r="V640" s="4"/>
      <c r="X640" s="4"/>
      <c r="Y640" s="4"/>
      <c r="AA640" s="4"/>
      <c r="AB640" s="4"/>
      <c r="AC640" s="4"/>
      <c r="AD640" s="20"/>
    </row>
    <row r="641" spans="14:30" x14ac:dyDescent="0.3">
      <c r="N641" s="8"/>
      <c r="P641" s="34"/>
      <c r="Q641" s="4"/>
      <c r="R641" s="4"/>
      <c r="S641" s="4"/>
      <c r="T641" s="4"/>
      <c r="U641" s="4"/>
      <c r="V641" s="4"/>
      <c r="X641" s="4"/>
      <c r="Y641" s="4"/>
      <c r="AA641" s="4"/>
      <c r="AB641" s="4"/>
      <c r="AC641" s="4"/>
      <c r="AD641" s="20"/>
    </row>
    <row r="642" spans="14:30" x14ac:dyDescent="0.3">
      <c r="N642" s="8"/>
      <c r="P642" s="34"/>
      <c r="Q642" s="4"/>
      <c r="R642" s="4"/>
      <c r="S642" s="4"/>
      <c r="T642" s="4"/>
      <c r="U642" s="4"/>
      <c r="V642" s="4"/>
      <c r="X642" s="4"/>
      <c r="Y642" s="4"/>
      <c r="AA642" s="4"/>
      <c r="AB642" s="4"/>
      <c r="AC642" s="4"/>
      <c r="AD642" s="20"/>
    </row>
    <row r="643" spans="14:30" x14ac:dyDescent="0.3">
      <c r="N643" s="8"/>
      <c r="P643" s="34"/>
      <c r="Q643" s="4"/>
      <c r="R643" s="4"/>
      <c r="S643" s="4"/>
      <c r="T643" s="4"/>
      <c r="U643" s="4"/>
      <c r="V643" s="4"/>
      <c r="X643" s="4"/>
      <c r="Y643" s="4"/>
      <c r="AA643" s="4"/>
      <c r="AB643" s="4"/>
      <c r="AC643" s="4"/>
      <c r="AD643" s="20"/>
    </row>
    <row r="644" spans="14:30" x14ac:dyDescent="0.3">
      <c r="N644" s="8"/>
      <c r="P644" s="34"/>
      <c r="Q644" s="4"/>
      <c r="R644" s="4"/>
      <c r="S644" s="4"/>
      <c r="T644" s="4"/>
      <c r="U644" s="4"/>
      <c r="V644" s="4"/>
      <c r="X644" s="4"/>
      <c r="Y644" s="4"/>
      <c r="AA644" s="4"/>
      <c r="AB644" s="4"/>
      <c r="AC644" s="4"/>
      <c r="AD644" s="20"/>
    </row>
    <row r="645" spans="14:30" x14ac:dyDescent="0.3">
      <c r="N645" s="8"/>
      <c r="P645" s="34"/>
      <c r="Q645" s="4"/>
      <c r="R645" s="4"/>
      <c r="S645" s="4"/>
      <c r="T645" s="4"/>
      <c r="U645" s="4"/>
      <c r="V645" s="4"/>
      <c r="X645" s="4"/>
      <c r="Y645" s="4"/>
      <c r="AA645" s="4"/>
      <c r="AB645" s="4"/>
      <c r="AC645" s="4"/>
      <c r="AD645" s="20"/>
    </row>
    <row r="646" spans="14:30" x14ac:dyDescent="0.3">
      <c r="N646" s="8"/>
      <c r="P646" s="34"/>
      <c r="Q646" s="4"/>
      <c r="R646" s="4"/>
      <c r="S646" s="4"/>
      <c r="T646" s="4"/>
      <c r="U646" s="4"/>
      <c r="V646" s="4"/>
      <c r="X646" s="4"/>
      <c r="Y646" s="4"/>
      <c r="AA646" s="4"/>
      <c r="AB646" s="4"/>
      <c r="AC646" s="4"/>
      <c r="AD646" s="20"/>
    </row>
    <row r="647" spans="14:30" x14ac:dyDescent="0.3">
      <c r="N647" s="8"/>
      <c r="P647" s="34"/>
      <c r="Q647" s="4"/>
      <c r="R647" s="4"/>
      <c r="S647" s="4"/>
      <c r="T647" s="4"/>
      <c r="U647" s="4"/>
      <c r="V647" s="4"/>
      <c r="X647" s="4"/>
      <c r="Y647" s="4"/>
      <c r="AA647" s="4"/>
      <c r="AB647" s="4"/>
      <c r="AC647" s="4"/>
      <c r="AD647" s="20"/>
    </row>
    <row r="648" spans="14:30" x14ac:dyDescent="0.3">
      <c r="N648" s="8"/>
      <c r="P648" s="34"/>
      <c r="Q648" s="4"/>
      <c r="R648" s="4"/>
      <c r="S648" s="4"/>
      <c r="T648" s="4"/>
      <c r="U648" s="4"/>
      <c r="V648" s="4"/>
      <c r="X648" s="4"/>
      <c r="Y648" s="4"/>
      <c r="AA648" s="4"/>
      <c r="AB648" s="4"/>
      <c r="AC648" s="4"/>
      <c r="AD648" s="20"/>
    </row>
    <row r="649" spans="14:30" x14ac:dyDescent="0.3">
      <c r="N649" s="8"/>
      <c r="P649" s="34"/>
      <c r="Q649" s="4"/>
      <c r="R649" s="4"/>
      <c r="S649" s="4"/>
      <c r="T649" s="4"/>
      <c r="U649" s="4"/>
      <c r="V649" s="4"/>
      <c r="X649" s="4"/>
      <c r="Y649" s="4"/>
      <c r="AA649" s="4"/>
      <c r="AB649" s="4"/>
      <c r="AC649" s="4"/>
      <c r="AD649" s="20"/>
    </row>
    <row r="650" spans="14:30" x14ac:dyDescent="0.3">
      <c r="N650" s="8"/>
      <c r="P650" s="34"/>
      <c r="Q650" s="4"/>
      <c r="R650" s="4"/>
      <c r="S650" s="4"/>
      <c r="T650" s="4"/>
      <c r="U650" s="4"/>
      <c r="V650" s="4"/>
      <c r="X650" s="4"/>
      <c r="Y650" s="4"/>
      <c r="AA650" s="4"/>
      <c r="AB650" s="4"/>
      <c r="AC650" s="4"/>
      <c r="AD650" s="20"/>
    </row>
    <row r="651" spans="14:30" x14ac:dyDescent="0.3">
      <c r="N651" s="8"/>
      <c r="P651" s="34"/>
      <c r="Q651" s="4"/>
      <c r="R651" s="4"/>
      <c r="S651" s="4"/>
      <c r="T651" s="4"/>
      <c r="U651" s="4"/>
      <c r="V651" s="4"/>
      <c r="X651" s="4"/>
      <c r="Y651" s="4"/>
      <c r="AA651" s="4"/>
      <c r="AB651" s="4"/>
      <c r="AC651" s="4"/>
      <c r="AD651" s="20"/>
    </row>
    <row r="652" spans="14:30" x14ac:dyDescent="0.3">
      <c r="N652" s="8"/>
      <c r="P652" s="34"/>
      <c r="Q652" s="4"/>
      <c r="R652" s="4"/>
      <c r="S652" s="4"/>
      <c r="T652" s="4"/>
      <c r="U652" s="4"/>
      <c r="V652" s="4"/>
      <c r="X652" s="4"/>
      <c r="Y652" s="4"/>
      <c r="AA652" s="4"/>
      <c r="AB652" s="4"/>
      <c r="AC652" s="4"/>
      <c r="AD652" s="20"/>
    </row>
    <row r="653" spans="14:30" x14ac:dyDescent="0.3">
      <c r="N653" s="8"/>
      <c r="P653" s="34"/>
      <c r="Q653" s="4"/>
      <c r="R653" s="4"/>
      <c r="S653" s="4"/>
      <c r="T653" s="4"/>
      <c r="U653" s="4"/>
      <c r="V653" s="4"/>
      <c r="X653" s="4"/>
      <c r="Y653" s="4"/>
      <c r="AA653" s="4"/>
      <c r="AB653" s="4"/>
      <c r="AC653" s="4"/>
      <c r="AD653" s="20"/>
    </row>
    <row r="654" spans="14:30" x14ac:dyDescent="0.3">
      <c r="N654" s="8"/>
      <c r="P654" s="34"/>
      <c r="Q654" s="4"/>
      <c r="R654" s="4"/>
      <c r="S654" s="4"/>
      <c r="T654" s="4"/>
      <c r="U654" s="4"/>
      <c r="V654" s="4"/>
      <c r="X654" s="4"/>
      <c r="Y654" s="4"/>
      <c r="AA654" s="4"/>
      <c r="AB654" s="4"/>
      <c r="AC654" s="4"/>
      <c r="AD654" s="20"/>
    </row>
    <row r="655" spans="14:30" x14ac:dyDescent="0.3">
      <c r="N655" s="8"/>
      <c r="P655" s="34"/>
      <c r="Q655" s="4"/>
      <c r="R655" s="4"/>
      <c r="S655" s="4"/>
      <c r="T655" s="4"/>
      <c r="U655" s="4"/>
      <c r="V655" s="4"/>
      <c r="X655" s="4"/>
      <c r="Y655" s="4"/>
      <c r="AA655" s="4"/>
      <c r="AB655" s="4"/>
      <c r="AC655" s="4"/>
      <c r="AD655" s="20"/>
    </row>
    <row r="656" spans="14:30" x14ac:dyDescent="0.3">
      <c r="N656" s="8"/>
      <c r="P656" s="34"/>
      <c r="Q656" s="4"/>
      <c r="R656" s="4"/>
      <c r="S656" s="4"/>
      <c r="T656" s="4"/>
      <c r="U656" s="4"/>
      <c r="V656" s="4"/>
      <c r="X656" s="4"/>
      <c r="Y656" s="4"/>
      <c r="AA656" s="4"/>
      <c r="AB656" s="4"/>
      <c r="AC656" s="4"/>
      <c r="AD656" s="20"/>
    </row>
    <row r="657" spans="14:30" x14ac:dyDescent="0.3">
      <c r="N657" s="8"/>
      <c r="P657" s="34"/>
      <c r="Q657" s="4"/>
      <c r="R657" s="4"/>
      <c r="S657" s="4"/>
      <c r="T657" s="4"/>
      <c r="U657" s="4"/>
      <c r="V657" s="4"/>
      <c r="X657" s="4"/>
      <c r="Y657" s="4"/>
      <c r="AA657" s="4"/>
      <c r="AB657" s="4"/>
      <c r="AC657" s="4"/>
      <c r="AD657" s="20"/>
    </row>
    <row r="658" spans="14:30" x14ac:dyDescent="0.3">
      <c r="N658" s="8"/>
      <c r="P658" s="34"/>
      <c r="Q658" s="4"/>
      <c r="R658" s="4"/>
      <c r="S658" s="4"/>
      <c r="T658" s="4"/>
      <c r="U658" s="4"/>
      <c r="V658" s="4"/>
      <c r="X658" s="4"/>
      <c r="Y658" s="4"/>
      <c r="AA658" s="4"/>
      <c r="AB658" s="4"/>
      <c r="AC658" s="4"/>
      <c r="AD658" s="20"/>
    </row>
    <row r="659" spans="14:30" x14ac:dyDescent="0.3">
      <c r="N659" s="8"/>
      <c r="P659" s="34"/>
      <c r="Q659" s="4"/>
      <c r="R659" s="4"/>
      <c r="S659" s="4"/>
      <c r="T659" s="4"/>
      <c r="U659" s="4"/>
      <c r="V659" s="4"/>
      <c r="X659" s="4"/>
      <c r="Y659" s="4"/>
      <c r="AA659" s="4"/>
      <c r="AB659" s="4"/>
      <c r="AC659" s="4"/>
      <c r="AD659" s="20"/>
    </row>
    <row r="660" spans="14:30" x14ac:dyDescent="0.3">
      <c r="N660" s="8"/>
      <c r="P660" s="34"/>
      <c r="Q660" s="4"/>
      <c r="R660" s="4"/>
      <c r="S660" s="4"/>
      <c r="T660" s="4"/>
      <c r="U660" s="4"/>
      <c r="V660" s="4"/>
      <c r="X660" s="4"/>
      <c r="Y660" s="4"/>
      <c r="AA660" s="4"/>
      <c r="AB660" s="4"/>
      <c r="AC660" s="4"/>
      <c r="AD660" s="20"/>
    </row>
    <row r="661" spans="14:30" x14ac:dyDescent="0.3">
      <c r="N661" s="8"/>
      <c r="P661" s="34"/>
      <c r="Q661" s="4"/>
      <c r="R661" s="4"/>
      <c r="S661" s="4"/>
      <c r="T661" s="4"/>
      <c r="U661" s="4"/>
      <c r="V661" s="4"/>
      <c r="X661" s="4"/>
      <c r="Y661" s="4"/>
      <c r="AA661" s="4"/>
      <c r="AB661" s="4"/>
      <c r="AC661" s="4"/>
      <c r="AD661" s="20"/>
    </row>
    <row r="662" spans="14:30" x14ac:dyDescent="0.3">
      <c r="N662" s="8"/>
      <c r="P662" s="34"/>
      <c r="Q662" s="4"/>
      <c r="R662" s="4"/>
      <c r="S662" s="4"/>
      <c r="T662" s="4"/>
      <c r="U662" s="4"/>
      <c r="V662" s="4"/>
      <c r="X662" s="4"/>
      <c r="Y662" s="4"/>
      <c r="AA662" s="4"/>
      <c r="AB662" s="4"/>
      <c r="AC662" s="4"/>
      <c r="AD662" s="20"/>
    </row>
    <row r="663" spans="14:30" x14ac:dyDescent="0.3">
      <c r="N663" s="8"/>
      <c r="P663" s="34"/>
      <c r="Q663" s="4"/>
      <c r="R663" s="4"/>
      <c r="S663" s="4"/>
      <c r="T663" s="4"/>
      <c r="U663" s="4"/>
      <c r="V663" s="4"/>
      <c r="X663" s="4"/>
      <c r="Y663" s="4"/>
      <c r="AA663" s="4"/>
      <c r="AB663" s="4"/>
      <c r="AC663" s="4"/>
      <c r="AD663" s="20"/>
    </row>
    <row r="664" spans="14:30" x14ac:dyDescent="0.3">
      <c r="N664" s="8"/>
      <c r="P664" s="34"/>
      <c r="Q664" s="4"/>
      <c r="R664" s="4"/>
      <c r="S664" s="4"/>
      <c r="T664" s="4"/>
      <c r="U664" s="4"/>
      <c r="V664" s="4"/>
      <c r="X664" s="4"/>
      <c r="Y664" s="4"/>
      <c r="AA664" s="4"/>
      <c r="AB664" s="4"/>
      <c r="AC664" s="4"/>
      <c r="AD664" s="20"/>
    </row>
    <row r="665" spans="14:30" x14ac:dyDescent="0.3">
      <c r="N665" s="8"/>
      <c r="P665" s="34"/>
      <c r="Q665" s="4"/>
      <c r="R665" s="4"/>
      <c r="S665" s="4"/>
      <c r="T665" s="4"/>
      <c r="U665" s="4"/>
      <c r="V665" s="4"/>
      <c r="X665" s="4"/>
      <c r="Y665" s="4"/>
      <c r="AA665" s="4"/>
      <c r="AB665" s="4"/>
      <c r="AC665" s="4"/>
      <c r="AD665" s="20"/>
    </row>
    <row r="666" spans="14:30" x14ac:dyDescent="0.3">
      <c r="N666" s="8"/>
      <c r="P666" s="34"/>
      <c r="Q666" s="4"/>
      <c r="R666" s="4"/>
      <c r="S666" s="4"/>
      <c r="T666" s="4"/>
      <c r="U666" s="4"/>
      <c r="V666" s="4"/>
      <c r="X666" s="4"/>
      <c r="Y666" s="4"/>
      <c r="AA666" s="4"/>
      <c r="AB666" s="4"/>
      <c r="AC666" s="4"/>
      <c r="AD666" s="20"/>
    </row>
    <row r="667" spans="14:30" x14ac:dyDescent="0.3">
      <c r="N667" s="8"/>
      <c r="P667" s="34"/>
      <c r="Q667" s="4"/>
      <c r="R667" s="4"/>
      <c r="S667" s="4"/>
      <c r="T667" s="4"/>
      <c r="U667" s="4"/>
      <c r="V667" s="4"/>
      <c r="X667" s="4"/>
      <c r="Y667" s="4"/>
      <c r="AA667" s="4"/>
      <c r="AB667" s="4"/>
      <c r="AC667" s="4"/>
      <c r="AD667" s="20"/>
    </row>
    <row r="668" spans="14:30" x14ac:dyDescent="0.3">
      <c r="N668" s="8"/>
      <c r="P668" s="34"/>
      <c r="Q668" s="4"/>
      <c r="R668" s="4"/>
      <c r="S668" s="4"/>
      <c r="T668" s="4"/>
      <c r="U668" s="4"/>
      <c r="V668" s="4"/>
      <c r="X668" s="4"/>
      <c r="Y668" s="4"/>
      <c r="AA668" s="4"/>
      <c r="AB668" s="4"/>
      <c r="AC668" s="4"/>
      <c r="AD668" s="20"/>
    </row>
    <row r="669" spans="14:30" x14ac:dyDescent="0.3">
      <c r="N669" s="8"/>
      <c r="P669" s="34"/>
      <c r="Q669" s="4"/>
      <c r="R669" s="4"/>
      <c r="S669" s="4"/>
      <c r="T669" s="4"/>
      <c r="U669" s="4"/>
      <c r="V669" s="4"/>
      <c r="X669" s="4"/>
      <c r="Y669" s="4"/>
      <c r="AA669" s="4"/>
      <c r="AB669" s="4"/>
      <c r="AC669" s="4"/>
      <c r="AD669" s="20"/>
    </row>
    <row r="670" spans="14:30" x14ac:dyDescent="0.3">
      <c r="N670" s="8"/>
      <c r="P670" s="34"/>
      <c r="Q670" s="4"/>
      <c r="R670" s="4"/>
      <c r="S670" s="4"/>
      <c r="T670" s="4"/>
      <c r="U670" s="4"/>
      <c r="V670" s="4"/>
      <c r="X670" s="4"/>
      <c r="Y670" s="4"/>
      <c r="AA670" s="4"/>
      <c r="AB670" s="4"/>
      <c r="AC670" s="4"/>
      <c r="AD670" s="20"/>
    </row>
    <row r="671" spans="14:30" x14ac:dyDescent="0.3">
      <c r="N671" s="8"/>
      <c r="P671" s="34"/>
      <c r="Q671" s="4"/>
      <c r="R671" s="4"/>
      <c r="S671" s="4"/>
      <c r="T671" s="4"/>
      <c r="U671" s="4"/>
      <c r="V671" s="4"/>
      <c r="X671" s="4"/>
      <c r="Y671" s="4"/>
      <c r="AA671" s="4"/>
      <c r="AB671" s="4"/>
      <c r="AC671" s="4"/>
      <c r="AD671" s="20"/>
    </row>
    <row r="672" spans="14:30" x14ac:dyDescent="0.3">
      <c r="N672" s="8"/>
      <c r="P672" s="34"/>
      <c r="Q672" s="4"/>
      <c r="R672" s="4"/>
      <c r="S672" s="4"/>
      <c r="T672" s="4"/>
      <c r="U672" s="4"/>
      <c r="V672" s="4"/>
      <c r="X672" s="4"/>
      <c r="Y672" s="4"/>
      <c r="AA672" s="4"/>
      <c r="AB672" s="4"/>
      <c r="AC672" s="4"/>
      <c r="AD672" s="20"/>
    </row>
    <row r="673" spans="14:30" x14ac:dyDescent="0.3">
      <c r="N673" s="8"/>
      <c r="P673" s="34"/>
      <c r="Q673" s="4"/>
      <c r="R673" s="4"/>
      <c r="S673" s="4"/>
      <c r="T673" s="4"/>
      <c r="U673" s="4"/>
      <c r="V673" s="4"/>
      <c r="X673" s="4"/>
      <c r="Y673" s="4"/>
      <c r="AA673" s="4"/>
      <c r="AB673" s="4"/>
      <c r="AC673" s="4"/>
      <c r="AD673" s="20"/>
    </row>
    <row r="674" spans="14:30" x14ac:dyDescent="0.3">
      <c r="N674" s="8"/>
      <c r="P674" s="34"/>
      <c r="Q674" s="4"/>
      <c r="R674" s="4"/>
      <c r="S674" s="4"/>
      <c r="T674" s="4"/>
      <c r="U674" s="4"/>
      <c r="V674" s="4"/>
      <c r="X674" s="4"/>
      <c r="Y674" s="4"/>
      <c r="AA674" s="4"/>
      <c r="AB674" s="4"/>
      <c r="AC674" s="4"/>
      <c r="AD674" s="20"/>
    </row>
    <row r="675" spans="14:30" x14ac:dyDescent="0.3">
      <c r="N675" s="8"/>
      <c r="P675" s="34"/>
      <c r="Q675" s="4"/>
      <c r="R675" s="4"/>
      <c r="S675" s="4"/>
      <c r="T675" s="4"/>
      <c r="U675" s="4"/>
      <c r="V675" s="4"/>
      <c r="X675" s="4"/>
      <c r="Y675" s="4"/>
      <c r="AA675" s="4"/>
      <c r="AB675" s="4"/>
      <c r="AC675" s="4"/>
      <c r="AD675" s="20"/>
    </row>
    <row r="676" spans="14:30" x14ac:dyDescent="0.3">
      <c r="N676" s="8"/>
      <c r="P676" s="34"/>
      <c r="Q676" s="4"/>
      <c r="R676" s="4"/>
      <c r="S676" s="4"/>
      <c r="T676" s="4"/>
      <c r="U676" s="4"/>
      <c r="V676" s="4"/>
      <c r="X676" s="4"/>
      <c r="Y676" s="4"/>
      <c r="AA676" s="4"/>
      <c r="AB676" s="4"/>
      <c r="AC676" s="4"/>
      <c r="AD676" s="20"/>
    </row>
    <row r="677" spans="14:30" x14ac:dyDescent="0.3">
      <c r="N677" s="8"/>
      <c r="P677" s="34"/>
      <c r="Q677" s="4"/>
      <c r="R677" s="4"/>
      <c r="S677" s="4"/>
      <c r="T677" s="4"/>
      <c r="U677" s="4"/>
      <c r="V677" s="4"/>
      <c r="X677" s="4"/>
      <c r="Y677" s="4"/>
      <c r="AA677" s="4"/>
      <c r="AB677" s="4"/>
      <c r="AC677" s="4"/>
      <c r="AD677" s="20"/>
    </row>
    <row r="678" spans="14:30" x14ac:dyDescent="0.3">
      <c r="N678" s="8"/>
      <c r="P678" s="34"/>
      <c r="Q678" s="4"/>
      <c r="R678" s="4"/>
      <c r="S678" s="4"/>
      <c r="T678" s="4"/>
      <c r="U678" s="4"/>
      <c r="V678" s="4"/>
      <c r="X678" s="4"/>
      <c r="Y678" s="4"/>
      <c r="AA678" s="4"/>
      <c r="AB678" s="4"/>
      <c r="AC678" s="4"/>
      <c r="AD678" s="20"/>
    </row>
    <row r="679" spans="14:30" x14ac:dyDescent="0.3">
      <c r="N679" s="8"/>
      <c r="P679" s="34"/>
      <c r="Q679" s="4"/>
      <c r="R679" s="4"/>
      <c r="S679" s="4"/>
      <c r="T679" s="4"/>
      <c r="U679" s="4"/>
      <c r="V679" s="4"/>
      <c r="X679" s="4"/>
      <c r="Y679" s="4"/>
      <c r="AA679" s="4"/>
      <c r="AB679" s="4"/>
      <c r="AC679" s="4"/>
      <c r="AD679" s="20"/>
    </row>
    <row r="680" spans="14:30" x14ac:dyDescent="0.3">
      <c r="N680" s="8"/>
      <c r="P680" s="34"/>
      <c r="Q680" s="4"/>
      <c r="R680" s="4"/>
      <c r="S680" s="4"/>
      <c r="T680" s="4"/>
      <c r="U680" s="4"/>
      <c r="V680" s="4"/>
      <c r="X680" s="4"/>
      <c r="Y680" s="4"/>
      <c r="AA680" s="4"/>
      <c r="AB680" s="4"/>
      <c r="AC680" s="4"/>
      <c r="AD680" s="20"/>
    </row>
    <row r="681" spans="14:30" x14ac:dyDescent="0.3">
      <c r="N681" s="8"/>
      <c r="P681" s="34"/>
      <c r="Q681" s="4"/>
      <c r="R681" s="4"/>
      <c r="S681" s="4"/>
      <c r="T681" s="4"/>
      <c r="U681" s="4"/>
      <c r="V681" s="4"/>
      <c r="X681" s="4"/>
      <c r="Y681" s="4"/>
      <c r="AA681" s="4"/>
      <c r="AB681" s="4"/>
      <c r="AC681" s="4"/>
      <c r="AD681" s="20"/>
    </row>
    <row r="682" spans="14:30" x14ac:dyDescent="0.3">
      <c r="N682" s="8"/>
      <c r="P682" s="34"/>
      <c r="Q682" s="4"/>
      <c r="R682" s="4"/>
      <c r="S682" s="4"/>
      <c r="T682" s="4"/>
      <c r="U682" s="4"/>
      <c r="V682" s="4"/>
      <c r="X682" s="4"/>
      <c r="Y682" s="4"/>
      <c r="AA682" s="4"/>
      <c r="AB682" s="4"/>
      <c r="AC682" s="4"/>
      <c r="AD682" s="20"/>
    </row>
    <row r="683" spans="14:30" x14ac:dyDescent="0.3">
      <c r="N683" s="8"/>
      <c r="P683" s="34"/>
      <c r="Q683" s="4"/>
      <c r="R683" s="4"/>
      <c r="S683" s="4"/>
      <c r="T683" s="4"/>
      <c r="U683" s="4"/>
      <c r="V683" s="4"/>
      <c r="X683" s="4"/>
      <c r="Y683" s="4"/>
      <c r="AA683" s="4"/>
      <c r="AB683" s="4"/>
      <c r="AC683" s="4"/>
      <c r="AD683" s="20"/>
    </row>
    <row r="684" spans="14:30" x14ac:dyDescent="0.3">
      <c r="N684" s="8"/>
      <c r="P684" s="34"/>
      <c r="Q684" s="4"/>
      <c r="R684" s="4"/>
      <c r="S684" s="4"/>
      <c r="T684" s="4"/>
      <c r="U684" s="4"/>
      <c r="V684" s="4"/>
      <c r="X684" s="4"/>
      <c r="Y684" s="4"/>
      <c r="AA684" s="4"/>
      <c r="AB684" s="4"/>
      <c r="AC684" s="4"/>
      <c r="AD684" s="20"/>
    </row>
    <row r="685" spans="14:30" x14ac:dyDescent="0.3">
      <c r="N685" s="8"/>
      <c r="P685" s="34"/>
      <c r="Q685" s="4"/>
      <c r="R685" s="4"/>
      <c r="S685" s="4"/>
      <c r="T685" s="4"/>
      <c r="U685" s="4"/>
      <c r="V685" s="4"/>
      <c r="X685" s="4"/>
      <c r="Y685" s="4"/>
      <c r="AA685" s="4"/>
      <c r="AB685" s="4"/>
      <c r="AC685" s="4"/>
      <c r="AD685" s="20"/>
    </row>
    <row r="686" spans="14:30" x14ac:dyDescent="0.3">
      <c r="N686" s="8"/>
      <c r="P686" s="34"/>
      <c r="Q686" s="4"/>
      <c r="R686" s="4"/>
      <c r="S686" s="4"/>
      <c r="T686" s="4"/>
      <c r="U686" s="4"/>
      <c r="V686" s="4"/>
      <c r="X686" s="4"/>
      <c r="Y686" s="4"/>
      <c r="AA686" s="4"/>
      <c r="AB686" s="4"/>
      <c r="AC686" s="4"/>
      <c r="AD686" s="20"/>
    </row>
    <row r="687" spans="14:30" x14ac:dyDescent="0.3">
      <c r="N687" s="8"/>
      <c r="P687" s="34"/>
      <c r="Q687" s="4"/>
      <c r="R687" s="4"/>
      <c r="S687" s="4"/>
      <c r="T687" s="4"/>
      <c r="U687" s="4"/>
      <c r="V687" s="4"/>
      <c r="X687" s="4"/>
      <c r="Y687" s="4"/>
      <c r="AA687" s="4"/>
      <c r="AB687" s="4"/>
      <c r="AC687" s="4"/>
      <c r="AD687" s="20"/>
    </row>
    <row r="688" spans="14:30" x14ac:dyDescent="0.3">
      <c r="N688" s="8"/>
      <c r="P688" s="34"/>
      <c r="Q688" s="4"/>
      <c r="R688" s="4"/>
      <c r="S688" s="4"/>
      <c r="T688" s="4"/>
      <c r="U688" s="4"/>
      <c r="V688" s="4"/>
      <c r="X688" s="4"/>
      <c r="Y688" s="4"/>
      <c r="AA688" s="4"/>
      <c r="AB688" s="4"/>
      <c r="AC688" s="4"/>
      <c r="AD688" s="20"/>
    </row>
    <row r="689" spans="14:30" x14ac:dyDescent="0.3">
      <c r="N689" s="8"/>
      <c r="P689" s="34"/>
      <c r="Q689" s="4"/>
      <c r="R689" s="4"/>
      <c r="S689" s="4"/>
      <c r="T689" s="4"/>
      <c r="U689" s="4"/>
      <c r="V689" s="4"/>
      <c r="X689" s="4"/>
      <c r="Y689" s="4"/>
      <c r="AA689" s="4"/>
      <c r="AB689" s="4"/>
      <c r="AC689" s="4"/>
      <c r="AD689" s="20"/>
    </row>
    <row r="690" spans="14:30" x14ac:dyDescent="0.3">
      <c r="N690" s="8"/>
      <c r="P690" s="34"/>
      <c r="Q690" s="4"/>
      <c r="R690" s="4"/>
      <c r="S690" s="4"/>
      <c r="T690" s="4"/>
      <c r="U690" s="4"/>
      <c r="V690" s="4"/>
      <c r="X690" s="4"/>
      <c r="Y690" s="4"/>
      <c r="AA690" s="4"/>
      <c r="AB690" s="4"/>
      <c r="AC690" s="4"/>
      <c r="AD690" s="20"/>
    </row>
    <row r="691" spans="14:30" x14ac:dyDescent="0.3">
      <c r="N691" s="8"/>
      <c r="P691" s="34"/>
      <c r="Q691" s="4"/>
      <c r="R691" s="4"/>
      <c r="S691" s="4"/>
      <c r="T691" s="4"/>
      <c r="U691" s="4"/>
      <c r="V691" s="4"/>
      <c r="X691" s="4"/>
      <c r="Y691" s="4"/>
      <c r="AA691" s="4"/>
      <c r="AB691" s="4"/>
      <c r="AC691" s="4"/>
      <c r="AD691" s="20"/>
    </row>
    <row r="692" spans="14:30" x14ac:dyDescent="0.3">
      <c r="N692" s="8"/>
      <c r="P692" s="34"/>
      <c r="Q692" s="4"/>
      <c r="R692" s="4"/>
      <c r="S692" s="4"/>
      <c r="T692" s="4"/>
      <c r="U692" s="4"/>
      <c r="V692" s="4"/>
      <c r="X692" s="4"/>
      <c r="Y692" s="4"/>
      <c r="AA692" s="4"/>
      <c r="AB692" s="4"/>
      <c r="AC692" s="4"/>
      <c r="AD692" s="20"/>
    </row>
    <row r="693" spans="14:30" x14ac:dyDescent="0.3">
      <c r="N693" s="8"/>
      <c r="P693" s="34"/>
      <c r="Q693" s="4"/>
      <c r="R693" s="4"/>
      <c r="S693" s="4"/>
      <c r="T693" s="4"/>
      <c r="U693" s="4"/>
      <c r="V693" s="4"/>
      <c r="X693" s="4"/>
      <c r="Y693" s="4"/>
      <c r="AA693" s="4"/>
      <c r="AB693" s="4"/>
      <c r="AC693" s="4"/>
      <c r="AD693" s="20"/>
    </row>
    <row r="694" spans="14:30" x14ac:dyDescent="0.3">
      <c r="N694" s="8"/>
      <c r="P694" s="34"/>
      <c r="Q694" s="4"/>
      <c r="R694" s="4"/>
      <c r="S694" s="4"/>
      <c r="T694" s="4"/>
      <c r="U694" s="4"/>
      <c r="V694" s="4"/>
      <c r="X694" s="4"/>
      <c r="Y694" s="4"/>
      <c r="AA694" s="4"/>
      <c r="AB694" s="4"/>
      <c r="AC694" s="4"/>
      <c r="AD694" s="20"/>
    </row>
    <row r="695" spans="14:30" x14ac:dyDescent="0.3">
      <c r="N695" s="8"/>
      <c r="P695" s="34"/>
      <c r="Q695" s="4"/>
      <c r="R695" s="4"/>
      <c r="S695" s="4"/>
      <c r="T695" s="4"/>
      <c r="U695" s="4"/>
      <c r="V695" s="4"/>
      <c r="X695" s="4"/>
      <c r="Y695" s="4"/>
      <c r="AA695" s="4"/>
      <c r="AB695" s="4"/>
      <c r="AC695" s="4"/>
      <c r="AD695" s="20"/>
    </row>
    <row r="696" spans="14:30" x14ac:dyDescent="0.3">
      <c r="N696" s="8"/>
      <c r="P696" s="34"/>
      <c r="Q696" s="4"/>
      <c r="R696" s="4"/>
      <c r="S696" s="4"/>
      <c r="T696" s="4"/>
      <c r="U696" s="4"/>
      <c r="V696" s="4"/>
      <c r="X696" s="4"/>
      <c r="Y696" s="4"/>
      <c r="AA696" s="4"/>
      <c r="AB696" s="4"/>
      <c r="AC696" s="4"/>
      <c r="AD696" s="20"/>
    </row>
    <row r="697" spans="14:30" x14ac:dyDescent="0.3">
      <c r="N697" s="8"/>
      <c r="P697" s="34"/>
      <c r="Q697" s="4"/>
      <c r="R697" s="4"/>
      <c r="S697" s="4"/>
      <c r="T697" s="4"/>
      <c r="U697" s="4"/>
      <c r="V697" s="4"/>
      <c r="X697" s="4"/>
      <c r="Y697" s="4"/>
      <c r="AA697" s="4"/>
      <c r="AB697" s="4"/>
      <c r="AC697" s="4"/>
      <c r="AD697" s="20"/>
    </row>
    <row r="698" spans="14:30" x14ac:dyDescent="0.3">
      <c r="N698" s="8"/>
      <c r="P698" s="34"/>
      <c r="Q698" s="4"/>
      <c r="R698" s="4"/>
      <c r="S698" s="4"/>
      <c r="T698" s="4"/>
      <c r="U698" s="4"/>
      <c r="V698" s="4"/>
      <c r="X698" s="4"/>
      <c r="Y698" s="4"/>
      <c r="AA698" s="4"/>
      <c r="AB698" s="4"/>
      <c r="AC698" s="4"/>
      <c r="AD698" s="20"/>
    </row>
    <row r="699" spans="14:30" x14ac:dyDescent="0.3">
      <c r="N699" s="8"/>
      <c r="P699" s="34"/>
      <c r="Q699" s="4"/>
      <c r="R699" s="4"/>
      <c r="S699" s="4"/>
      <c r="T699" s="4"/>
      <c r="U699" s="4"/>
      <c r="V699" s="4"/>
      <c r="X699" s="4"/>
      <c r="Y699" s="4"/>
      <c r="AA699" s="4"/>
      <c r="AB699" s="4"/>
      <c r="AC699" s="4"/>
      <c r="AD699" s="20"/>
    </row>
    <row r="700" spans="14:30" x14ac:dyDescent="0.3">
      <c r="N700" s="8"/>
      <c r="P700" s="34"/>
      <c r="Q700" s="4"/>
      <c r="R700" s="4"/>
      <c r="S700" s="4"/>
      <c r="T700" s="4"/>
      <c r="U700" s="4"/>
      <c r="V700" s="4"/>
      <c r="X700" s="4"/>
      <c r="Y700" s="4"/>
      <c r="AA700" s="4"/>
      <c r="AB700" s="4"/>
      <c r="AC700" s="4"/>
      <c r="AD700" s="20"/>
    </row>
    <row r="701" spans="14:30" x14ac:dyDescent="0.3">
      <c r="N701" s="8"/>
      <c r="P701" s="34"/>
      <c r="Q701" s="4"/>
      <c r="R701" s="4"/>
      <c r="S701" s="4"/>
      <c r="T701" s="4"/>
      <c r="U701" s="4"/>
      <c r="V701" s="4"/>
      <c r="X701" s="4"/>
      <c r="Y701" s="4"/>
      <c r="AA701" s="4"/>
      <c r="AB701" s="4"/>
      <c r="AC701" s="4"/>
      <c r="AD701" s="20"/>
    </row>
    <row r="702" spans="14:30" x14ac:dyDescent="0.3">
      <c r="N702" s="8"/>
      <c r="P702" s="34"/>
      <c r="Q702" s="4"/>
      <c r="R702" s="4"/>
      <c r="S702" s="4"/>
      <c r="T702" s="4"/>
      <c r="U702" s="4"/>
      <c r="V702" s="4"/>
      <c r="X702" s="4"/>
      <c r="Y702" s="4"/>
      <c r="AA702" s="4"/>
      <c r="AB702" s="4"/>
      <c r="AC702" s="4"/>
      <c r="AD702" s="20"/>
    </row>
    <row r="703" spans="14:30" x14ac:dyDescent="0.3">
      <c r="N703" s="8"/>
      <c r="P703" s="34"/>
      <c r="Q703" s="4"/>
      <c r="R703" s="4"/>
      <c r="S703" s="4"/>
      <c r="T703" s="4"/>
      <c r="U703" s="4"/>
      <c r="V703" s="4"/>
      <c r="X703" s="4"/>
      <c r="Y703" s="4"/>
      <c r="AA703" s="4"/>
      <c r="AB703" s="4"/>
      <c r="AC703" s="4"/>
      <c r="AD703" s="20"/>
    </row>
    <row r="704" spans="14:30" x14ac:dyDescent="0.3">
      <c r="N704" s="8"/>
      <c r="P704" s="34"/>
      <c r="Q704" s="4"/>
      <c r="R704" s="4"/>
      <c r="S704" s="4"/>
      <c r="T704" s="4"/>
      <c r="U704" s="4"/>
      <c r="V704" s="4"/>
      <c r="X704" s="4"/>
      <c r="Y704" s="4"/>
      <c r="AA704" s="4"/>
      <c r="AB704" s="4"/>
      <c r="AC704" s="4"/>
      <c r="AD704" s="20"/>
    </row>
    <row r="705" spans="14:30" x14ac:dyDescent="0.3">
      <c r="N705" s="8"/>
      <c r="P705" s="34"/>
      <c r="Q705" s="4"/>
      <c r="R705" s="4"/>
      <c r="S705" s="4"/>
      <c r="T705" s="4"/>
      <c r="U705" s="4"/>
      <c r="V705" s="4"/>
      <c r="X705" s="4"/>
      <c r="Y705" s="4"/>
      <c r="AA705" s="4"/>
      <c r="AB705" s="4"/>
      <c r="AC705" s="4"/>
      <c r="AD705" s="20"/>
    </row>
    <row r="706" spans="14:30" x14ac:dyDescent="0.3">
      <c r="N706" s="8"/>
      <c r="P706" s="34"/>
      <c r="Q706" s="4"/>
      <c r="R706" s="4"/>
      <c r="S706" s="4"/>
      <c r="T706" s="4"/>
      <c r="U706" s="4"/>
      <c r="V706" s="4"/>
      <c r="X706" s="4"/>
      <c r="Y706" s="4"/>
      <c r="AA706" s="4"/>
      <c r="AB706" s="4"/>
      <c r="AC706" s="4"/>
      <c r="AD706" s="20"/>
    </row>
    <row r="707" spans="14:30" x14ac:dyDescent="0.3">
      <c r="N707" s="8"/>
      <c r="P707" s="34"/>
      <c r="Q707" s="4"/>
      <c r="R707" s="4"/>
      <c r="S707" s="4"/>
      <c r="T707" s="4"/>
      <c r="U707" s="4"/>
      <c r="V707" s="4"/>
      <c r="X707" s="4"/>
      <c r="Y707" s="4"/>
      <c r="AA707" s="4"/>
      <c r="AB707" s="4"/>
      <c r="AC707" s="4"/>
      <c r="AD707" s="20"/>
    </row>
    <row r="708" spans="14:30" x14ac:dyDescent="0.3">
      <c r="N708" s="8"/>
      <c r="P708" s="34"/>
      <c r="Q708" s="4"/>
      <c r="R708" s="4"/>
      <c r="S708" s="4"/>
      <c r="T708" s="4"/>
      <c r="U708" s="4"/>
      <c r="V708" s="4"/>
      <c r="X708" s="4"/>
      <c r="Y708" s="4"/>
      <c r="AA708" s="4"/>
      <c r="AB708" s="4"/>
      <c r="AC708" s="4"/>
      <c r="AD708" s="20"/>
    </row>
  </sheetData>
  <mergeCells count="29">
    <mergeCell ref="AP17:AR17"/>
    <mergeCell ref="AC17:AE17"/>
    <mergeCell ref="AS16:AU16"/>
    <mergeCell ref="AS17:AU17"/>
    <mergeCell ref="AG17:AI17"/>
    <mergeCell ref="AJ17:AL17"/>
    <mergeCell ref="AM17:AO17"/>
    <mergeCell ref="AF16:AR16"/>
    <mergeCell ref="AF4:AR4"/>
    <mergeCell ref="AS4:AU4"/>
    <mergeCell ref="Q5:S5"/>
    <mergeCell ref="T5:V5"/>
    <mergeCell ref="W5:Y5"/>
    <mergeCell ref="Z5:AB5"/>
    <mergeCell ref="AC5:AE5"/>
    <mergeCell ref="AG5:AI5"/>
    <mergeCell ref="AJ5:AL5"/>
    <mergeCell ref="AM5:AO5"/>
    <mergeCell ref="AP5:AR5"/>
    <mergeCell ref="AS5:AU5"/>
    <mergeCell ref="A1:M1"/>
    <mergeCell ref="E6:K6"/>
    <mergeCell ref="Q17:S17"/>
    <mergeCell ref="T17:V17"/>
    <mergeCell ref="W17:Y17"/>
    <mergeCell ref="P16:AE16"/>
    <mergeCell ref="Z17:AB17"/>
    <mergeCell ref="N1:X1"/>
    <mergeCell ref="P4:AE4"/>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Z157"/>
  <sheetViews>
    <sheetView zoomScale="85" zoomScaleNormal="85" workbookViewId="0">
      <pane ySplit="6" topLeftCell="A7" activePane="bottomLeft" state="frozen"/>
      <selection activeCell="R1" sqref="R1"/>
      <selection pane="bottomLeft" activeCell="H9" sqref="H9"/>
    </sheetView>
  </sheetViews>
  <sheetFormatPr baseColWidth="10" defaultColWidth="8.88671875" defaultRowHeight="14.4" x14ac:dyDescent="0.3"/>
  <cols>
    <col min="1" max="1" width="25.44140625" customWidth="1"/>
    <col min="2" max="2" width="14.6640625" customWidth="1"/>
    <col min="10" max="10" width="10" bestFit="1" customWidth="1"/>
    <col min="21" max="21" width="7.88671875" customWidth="1"/>
    <col min="26" max="26" width="12" bestFit="1" customWidth="1"/>
    <col min="47" max="47" width="11.88671875" bestFit="1" customWidth="1"/>
    <col min="57" max="58" width="14.6640625" bestFit="1" customWidth="1"/>
    <col min="59" max="59" width="9.6640625" customWidth="1"/>
    <col min="60" max="60" width="9.44140625" customWidth="1"/>
    <col min="61" max="62" width="11.88671875" customWidth="1"/>
    <col min="66" max="67" width="8.5546875" bestFit="1" customWidth="1"/>
    <col min="68" max="68" width="10.6640625" bestFit="1" customWidth="1"/>
    <col min="69" max="69" width="9.6640625" bestFit="1" customWidth="1"/>
    <col min="70" max="70" width="8.44140625" bestFit="1" customWidth="1"/>
    <col min="71" max="71" width="9.33203125" bestFit="1" customWidth="1"/>
    <col min="72" max="72" width="11.33203125" bestFit="1" customWidth="1"/>
    <col min="73" max="73" width="12.44140625" bestFit="1" customWidth="1"/>
    <col min="76" max="76" width="14.6640625" bestFit="1" customWidth="1"/>
  </cols>
  <sheetData>
    <row r="1" spans="1:78" ht="28.2" x14ac:dyDescent="0.5">
      <c r="A1" s="225" t="s">
        <v>16</v>
      </c>
      <c r="B1" s="225"/>
      <c r="C1" s="225"/>
      <c r="D1" s="225"/>
      <c r="E1" s="225"/>
      <c r="F1" s="225"/>
      <c r="G1" s="225"/>
      <c r="H1" s="225"/>
      <c r="I1" s="225"/>
      <c r="J1" s="225"/>
      <c r="K1" s="225"/>
      <c r="L1" s="225"/>
      <c r="M1" s="225"/>
    </row>
    <row r="2" spans="1:78" x14ac:dyDescent="0.3">
      <c r="AN2" t="s">
        <v>602</v>
      </c>
      <c r="AO2">
        <f>((NS1_/Np)^2)*Lm</f>
        <v>5.0000000000000001E-4</v>
      </c>
    </row>
    <row r="3" spans="1:78" ht="15" thickBot="1" x14ac:dyDescent="0.35">
      <c r="AX3" t="s">
        <v>668</v>
      </c>
    </row>
    <row r="4" spans="1:78" ht="15" thickBot="1" x14ac:dyDescent="0.35">
      <c r="R4" s="236" t="s">
        <v>325</v>
      </c>
      <c r="S4" s="234"/>
      <c r="T4" s="235"/>
      <c r="U4" s="240" t="s">
        <v>599</v>
      </c>
      <c r="V4" s="241"/>
      <c r="W4" s="241"/>
      <c r="X4" s="241"/>
      <c r="Y4" s="241"/>
      <c r="Z4" s="241"/>
      <c r="AA4" s="241"/>
      <c r="AB4" s="241"/>
      <c r="AC4" s="241"/>
      <c r="AD4" s="241"/>
      <c r="AE4" s="242"/>
      <c r="AF4" s="171"/>
      <c r="AG4" s="171"/>
      <c r="AH4" s="56"/>
      <c r="AI4" s="56"/>
      <c r="AJ4" s="59"/>
      <c r="AK4" s="240" t="s">
        <v>614</v>
      </c>
      <c r="AL4" s="241"/>
      <c r="AM4" s="241"/>
      <c r="AN4" s="241"/>
      <c r="AO4" s="241"/>
      <c r="AP4" s="241"/>
      <c r="AQ4" s="241"/>
      <c r="AR4" s="241"/>
      <c r="AS4" s="241"/>
      <c r="AT4" s="241"/>
      <c r="AU4" s="241"/>
      <c r="AV4" s="241"/>
      <c r="AW4" s="241"/>
      <c r="AX4" s="241"/>
      <c r="AY4" s="242"/>
      <c r="AZ4" s="236" t="s">
        <v>487</v>
      </c>
      <c r="BA4" s="234"/>
      <c r="BB4" s="234"/>
      <c r="BC4" s="234"/>
      <c r="BD4" s="234"/>
      <c r="BE4" s="234"/>
      <c r="BF4" s="234"/>
      <c r="BG4" s="234"/>
      <c r="BH4" s="234"/>
      <c r="BI4" s="235"/>
      <c r="BJ4" s="171"/>
      <c r="BK4" s="236" t="s">
        <v>627</v>
      </c>
      <c r="BL4" s="234"/>
      <c r="BM4" s="234"/>
      <c r="BN4" s="234"/>
      <c r="BO4" s="234"/>
      <c r="BP4" s="234"/>
      <c r="BQ4" s="234"/>
      <c r="BR4" s="234"/>
      <c r="BS4" s="234"/>
      <c r="BT4" s="234"/>
      <c r="BU4" s="53"/>
      <c r="BV4" s="56"/>
      <c r="BW4" s="59"/>
      <c r="BY4" t="s">
        <v>632</v>
      </c>
    </row>
    <row r="5" spans="1:78" x14ac:dyDescent="0.3">
      <c r="R5" s="232"/>
      <c r="S5" s="231"/>
      <c r="T5" s="233"/>
      <c r="U5" s="42" t="s">
        <v>326</v>
      </c>
      <c r="W5" s="170"/>
      <c r="X5" s="170"/>
      <c r="Y5" s="42" t="s">
        <v>596</v>
      </c>
      <c r="AB5" s="44"/>
      <c r="AC5" s="42"/>
      <c r="AE5" s="44"/>
      <c r="AF5" s="236" t="s">
        <v>629</v>
      </c>
      <c r="AG5" s="235"/>
      <c r="AH5" s="236" t="s">
        <v>628</v>
      </c>
      <c r="AI5" s="234"/>
      <c r="AJ5" s="235"/>
      <c r="AK5" s="236"/>
      <c r="AL5" s="234"/>
      <c r="AM5" s="235"/>
      <c r="AN5" s="236"/>
      <c r="AO5" s="234"/>
      <c r="AP5" s="234"/>
      <c r="AQ5" s="234"/>
      <c r="AR5" s="234"/>
      <c r="AS5" s="235"/>
      <c r="AT5" s="236" t="s">
        <v>615</v>
      </c>
      <c r="AU5" s="234"/>
      <c r="AV5" s="235"/>
      <c r="AW5" s="236" t="s">
        <v>616</v>
      </c>
      <c r="AX5" s="234"/>
      <c r="AY5" s="235"/>
      <c r="AZ5" s="236"/>
      <c r="BA5" s="234"/>
      <c r="BB5" s="234"/>
      <c r="BC5" s="235"/>
      <c r="BD5" s="236" t="s">
        <v>615</v>
      </c>
      <c r="BE5" s="234"/>
      <c r="BF5" s="235"/>
      <c r="BG5" s="236" t="s">
        <v>616</v>
      </c>
      <c r="BH5" s="234"/>
      <c r="BI5" s="235"/>
      <c r="BJ5" s="171"/>
      <c r="BK5" s="236"/>
      <c r="BL5" s="234"/>
      <c r="BM5" s="234"/>
      <c r="BN5" s="235"/>
      <c r="BO5" s="236" t="s">
        <v>615</v>
      </c>
      <c r="BP5" s="234"/>
      <c r="BQ5" s="235"/>
      <c r="BR5" s="236" t="s">
        <v>616</v>
      </c>
      <c r="BS5" s="234"/>
      <c r="BT5" s="235"/>
      <c r="BU5" s="237" t="s">
        <v>378</v>
      </c>
      <c r="BV5" s="238"/>
      <c r="BW5" s="239"/>
      <c r="BX5" s="173"/>
    </row>
    <row r="6" spans="1:78" ht="15.6" x14ac:dyDescent="0.35">
      <c r="R6" s="42" t="s">
        <v>597</v>
      </c>
      <c r="S6" t="s">
        <v>280</v>
      </c>
      <c r="T6" s="44" t="s">
        <v>283</v>
      </c>
      <c r="U6" s="42" t="s">
        <v>281</v>
      </c>
      <c r="V6" t="s">
        <v>282</v>
      </c>
      <c r="W6" t="s">
        <v>600</v>
      </c>
      <c r="X6" t="s">
        <v>601</v>
      </c>
      <c r="Y6" s="42" t="s">
        <v>598</v>
      </c>
      <c r="Z6" t="s">
        <v>327</v>
      </c>
      <c r="AA6" t="s">
        <v>329</v>
      </c>
      <c r="AB6" s="44" t="s">
        <v>328</v>
      </c>
      <c r="AC6" s="176" t="s">
        <v>331</v>
      </c>
      <c r="AD6" s="72" t="s">
        <v>332</v>
      </c>
      <c r="AE6" s="175" t="s">
        <v>371</v>
      </c>
      <c r="AF6" s="176" t="s">
        <v>630</v>
      </c>
      <c r="AG6" s="175" t="s">
        <v>631</v>
      </c>
      <c r="AH6" s="176" t="s">
        <v>369</v>
      </c>
      <c r="AI6" s="72" t="s">
        <v>368</v>
      </c>
      <c r="AJ6" s="175" t="s">
        <v>370</v>
      </c>
      <c r="AK6" s="42" t="s">
        <v>422</v>
      </c>
      <c r="AL6" t="s">
        <v>419</v>
      </c>
      <c r="AM6" s="44" t="s">
        <v>420</v>
      </c>
      <c r="AN6" s="176" t="s">
        <v>281</v>
      </c>
      <c r="AO6" s="72" t="s">
        <v>610</v>
      </c>
      <c r="AP6" s="72" t="s">
        <v>609</v>
      </c>
      <c r="AQ6" s="72" t="s">
        <v>611</v>
      </c>
      <c r="AR6" s="72" t="s">
        <v>612</v>
      </c>
      <c r="AS6" s="175" t="s">
        <v>613</v>
      </c>
      <c r="AT6" s="176" t="s">
        <v>331</v>
      </c>
      <c r="AU6" s="72" t="s">
        <v>332</v>
      </c>
      <c r="AV6" s="175" t="s">
        <v>371</v>
      </c>
      <c r="AW6" s="176" t="s">
        <v>617</v>
      </c>
      <c r="AX6" s="72" t="s">
        <v>618</v>
      </c>
      <c r="AY6" s="175" t="s">
        <v>619</v>
      </c>
      <c r="AZ6" s="42" t="s">
        <v>426</v>
      </c>
      <c r="BA6" t="s">
        <v>423</v>
      </c>
      <c r="BB6" t="s">
        <v>424</v>
      </c>
      <c r="BC6" s="175" t="s">
        <v>608</v>
      </c>
      <c r="BD6" s="176" t="s">
        <v>331</v>
      </c>
      <c r="BE6" s="72" t="s">
        <v>332</v>
      </c>
      <c r="BF6" s="175" t="s">
        <v>371</v>
      </c>
      <c r="BG6" s="176" t="s">
        <v>617</v>
      </c>
      <c r="BH6" s="72" t="s">
        <v>618</v>
      </c>
      <c r="BI6" s="175" t="s">
        <v>619</v>
      </c>
      <c r="BJ6" s="72"/>
      <c r="BK6" s="42" t="s">
        <v>430</v>
      </c>
      <c r="BL6" t="s">
        <v>427</v>
      </c>
      <c r="BM6" t="s">
        <v>428</v>
      </c>
      <c r="BN6" s="175" t="s">
        <v>626</v>
      </c>
      <c r="BO6" s="176" t="s">
        <v>331</v>
      </c>
      <c r="BP6" s="72" t="s">
        <v>332</v>
      </c>
      <c r="BQ6" s="175" t="s">
        <v>371</v>
      </c>
      <c r="BR6" s="176" t="s">
        <v>617</v>
      </c>
      <c r="BS6" s="72" t="s">
        <v>618</v>
      </c>
      <c r="BT6" s="175" t="s">
        <v>619</v>
      </c>
      <c r="BU6" s="42" t="s">
        <v>372</v>
      </c>
      <c r="BV6" t="s">
        <v>373</v>
      </c>
      <c r="BW6" s="44" t="s">
        <v>374</v>
      </c>
      <c r="BX6" t="s">
        <v>633</v>
      </c>
    </row>
    <row r="7" spans="1:78" x14ac:dyDescent="0.3">
      <c r="Q7">
        <v>0</v>
      </c>
      <c r="R7" s="42">
        <f t="shared" ref="R7:R38" si="0">AK7+AZ7+BK7</f>
        <v>0</v>
      </c>
      <c r="S7">
        <f t="shared" ref="S7:S70" si="1">VIN_var</f>
        <v>24</v>
      </c>
      <c r="T7" s="44">
        <f t="shared" ref="T7:T38" si="2">(R7)/(S7*EFF_est)</f>
        <v>0</v>
      </c>
      <c r="U7" s="42">
        <f t="shared" ref="U7:U38" si="3">IF(R7&lt;((((Np/NS1_)*(AL7)/((S7+((Np/NS1_)*(AL7)))))^2)*(S7^2))/(2*Lm*Fsw),1,2)</f>
        <v>1</v>
      </c>
      <c r="V7">
        <f t="shared" ref="V7:V38" si="4">CHOOSE(U7,SQRT((2*Lm*R7*Fsw)/((S7^2)*EFF_est)),(((Np/NS1_)*(AL7))/(S7+((Np/NS1_)*(AL7)))))</f>
        <v>0</v>
      </c>
      <c r="W7">
        <f t="shared" ref="W7:W38" si="5">CHOOSE(U7,(NS1_*S7*V7)/(Np*AL7),1-V7)</f>
        <v>0</v>
      </c>
      <c r="X7">
        <f>CHOOSE(U7,1-V7-W7,0)</f>
        <v>1</v>
      </c>
      <c r="Y7" s="42">
        <v>0</v>
      </c>
      <c r="Z7">
        <f t="shared" ref="Z7:Z38" si="6">(S7*V7)/(Lm*Fsw)</f>
        <v>0</v>
      </c>
      <c r="AA7">
        <f>Y7+(Z7/2)</f>
        <v>0</v>
      </c>
      <c r="AB7" s="44">
        <f t="shared" ref="AB7:AB38" si="7">CHOOSE(U7,AA7*SQRT(V7/3),SQRT(V7*((AA7^2)+((Z7^2)/(3))-(AA7*Z7))))</f>
        <v>0</v>
      </c>
      <c r="AC7" s="42">
        <v>0</v>
      </c>
      <c r="AD7">
        <f>(AB7^2)*Rdcr</f>
        <v>0</v>
      </c>
      <c r="AE7" s="44">
        <f>AC7+AD7</f>
        <v>0</v>
      </c>
      <c r="AF7" s="42">
        <f t="shared" ref="AF7:AF38" si="8">R7*0.02</f>
        <v>0</v>
      </c>
      <c r="AG7" s="44">
        <f t="shared" ref="AG7:AG38" si="9">R7*0.02</f>
        <v>0</v>
      </c>
      <c r="AH7" s="42">
        <f t="shared" ref="AH7:AH38" si="10">(AB7^2)*RDS_on</f>
        <v>0</v>
      </c>
      <c r="AI7">
        <f t="shared" ref="AI7:AI38" si="11">((Y7*(S7+((Np/NS1_)*VOUT1)))/2)*Fsw*(tr_sw+tf_sw)</f>
        <v>0</v>
      </c>
      <c r="AJ7" s="44">
        <f>AH7+AI7</f>
        <v>0</v>
      </c>
      <c r="AK7" s="42">
        <f t="shared" ref="AK7:AK38" si="12">Q7*$B$11</f>
        <v>0</v>
      </c>
      <c r="AL7">
        <f t="shared" ref="AL7:AL70" si="13">VOUT1</f>
        <v>160</v>
      </c>
      <c r="AM7" s="44">
        <f>AK7/AL7</f>
        <v>0</v>
      </c>
      <c r="AN7" s="42"/>
      <c r="AS7" s="44"/>
      <c r="AT7" s="42"/>
      <c r="AV7" s="44"/>
      <c r="AW7" s="42"/>
      <c r="AY7" s="44"/>
      <c r="AZ7" s="42">
        <f t="shared" ref="AZ7:AZ38" si="14">IF(EN_OUT_2=1,Q7*$B$15,0)</f>
        <v>0</v>
      </c>
      <c r="BA7">
        <f t="shared" ref="BA7:BA38" si="15">IF(EN_OUT_2=1,VOUT2,0)</f>
        <v>0</v>
      </c>
      <c r="BB7">
        <f t="shared" ref="BB7:BB8" si="16">IF(EN_OUT_2=1,AZ7/BA7,0)</f>
        <v>0</v>
      </c>
      <c r="BC7" s="44"/>
      <c r="BD7" s="42"/>
      <c r="BF7" s="44"/>
      <c r="BG7" s="42"/>
      <c r="BI7" s="44"/>
      <c r="BK7" s="42">
        <f t="shared" ref="BK7:BK38" si="17">IF(EN_OUT_3=1,Q7*$B$19,0)</f>
        <v>0</v>
      </c>
      <c r="BL7">
        <f t="shared" ref="BL7:BL70" si="18">IF(EN_OUT_3=1,VOUT3,0)</f>
        <v>0</v>
      </c>
      <c r="BM7">
        <f t="shared" ref="BM7:BM38" si="19">IF(EN_OUT_3=1,BK7/BL7,0)</f>
        <v>0</v>
      </c>
      <c r="BN7" s="44"/>
      <c r="BO7" s="42"/>
      <c r="BQ7" s="44"/>
      <c r="BR7" s="42"/>
      <c r="BT7" s="44"/>
      <c r="BU7" s="42">
        <f t="shared" ref="BU7:BU38" si="20">(AB7^2)*R_cs</f>
        <v>0</v>
      </c>
      <c r="BV7">
        <f t="shared" ref="BV7:BV70" si="21">Qg_tot*Vcc*Fsw</f>
        <v>0.23625000000000002</v>
      </c>
      <c r="BW7" s="44">
        <f t="shared" ref="BW7:BW38" si="22">IQ*S7</f>
        <v>1.0800000000000001E-2</v>
      </c>
      <c r="BX7">
        <f>BF7+BQ7+AE7+AG7</f>
        <v>0</v>
      </c>
      <c r="BY7">
        <f>BW7+BV7+BU7+BT7+BQ7+BI7+BF7++AY7+AV7+AJ7+AF7+AE7+AG7</f>
        <v>0.24705000000000002</v>
      </c>
      <c r="BZ7">
        <f>R7/(R7+BY7)</f>
        <v>0</v>
      </c>
    </row>
    <row r="8" spans="1:78" x14ac:dyDescent="0.3">
      <c r="M8">
        <f>Fsw</f>
        <v>1000000</v>
      </c>
      <c r="Q8">
        <v>1</v>
      </c>
      <c r="R8" s="42">
        <f t="shared" si="0"/>
        <v>0.53333333333333333</v>
      </c>
      <c r="S8">
        <f t="shared" si="1"/>
        <v>24</v>
      </c>
      <c r="T8" s="44">
        <f t="shared" si="2"/>
        <v>2.2222222222222223E-2</v>
      </c>
      <c r="U8" s="42">
        <f t="shared" si="3"/>
        <v>1</v>
      </c>
      <c r="V8">
        <f t="shared" si="4"/>
        <v>9.6225044864937631E-2</v>
      </c>
      <c r="W8">
        <f t="shared" si="5"/>
        <v>0.14433756729740646</v>
      </c>
      <c r="X8">
        <f t="shared" ref="X8:X71" si="23">CHOOSE(U8,1-V8-W8,0)</f>
        <v>0.75943738783765591</v>
      </c>
      <c r="Y8" s="42">
        <f t="shared" ref="Y8:Y39" si="24">R8/(S8*EFF_est*V8)</f>
        <v>0.23094010767585033</v>
      </c>
      <c r="Z8">
        <f t="shared" si="6"/>
        <v>0.4618802153517006</v>
      </c>
      <c r="AA8">
        <f t="shared" ref="AA8:AA71" si="25">Y8+(Z8/2)</f>
        <v>0.46188021535170065</v>
      </c>
      <c r="AB8" s="44">
        <f>CHOOSE(U8,AA8*SQRT(V8/3),SQRT(V8*((AA8^2)+((Z8^2)/(3))-(AA8*Z8))))</f>
        <v>8.2720431920186646E-2</v>
      </c>
      <c r="AC8" s="42">
        <v>0</v>
      </c>
      <c r="AD8">
        <f t="shared" ref="AD8:AD38" si="26">(AB8^2)*Rdcr</f>
        <v>6.842669857062234E-5</v>
      </c>
      <c r="AE8" s="44">
        <f t="shared" ref="AE8:AE71" si="27">AC8+AD8</f>
        <v>6.842669857062234E-5</v>
      </c>
      <c r="AF8" s="42">
        <f t="shared" si="8"/>
        <v>1.0666666666666666E-2</v>
      </c>
      <c r="AG8" s="44">
        <f t="shared" si="9"/>
        <v>1.0666666666666666E-2</v>
      </c>
      <c r="AH8" s="42">
        <f>(AB8^2)*RDS_on</f>
        <v>0</v>
      </c>
      <c r="AI8">
        <f>((Y8*(S8+((Np/NS1_)*VOUT1)))/2)*Fsw*(tr_sw+tf_sw)</f>
        <v>9.0474538071438404E-2</v>
      </c>
      <c r="AJ8" s="44">
        <f>AH8+AI8</f>
        <v>9.0474538071438404E-2</v>
      </c>
      <c r="AK8" s="42">
        <f t="shared" si="12"/>
        <v>0.53333333333333333</v>
      </c>
      <c r="AL8">
        <f t="shared" si="13"/>
        <v>160</v>
      </c>
      <c r="AM8" s="44">
        <f t="shared" ref="AM8:AM71" si="28">AK8/AL8</f>
        <v>3.3333333333333331E-3</v>
      </c>
      <c r="AN8" s="42">
        <f t="shared" ref="AN8:AN39" si="29">IF(((AL8*AO8)/(Fsw*$AO$2))/2&gt;AP8,1,2)</f>
        <v>2</v>
      </c>
      <c r="AO8">
        <f t="shared" ref="AO8:AO39" si="30">AM8/AP8</f>
        <v>0.14433756729740643</v>
      </c>
      <c r="AP8">
        <f t="shared" ref="AP8:AP39" si="31">Np*$Y8*AK8/(R8*NS1_)</f>
        <v>2.3094010767585032E-2</v>
      </c>
      <c r="AQ8">
        <f t="shared" ref="AQ8:AQ39" si="32">(AL8*AO8)/(Fsw*$AO$2)</f>
        <v>4.6188021535170057E-2</v>
      </c>
      <c r="AR8">
        <f>AP8+(AQ8/2)</f>
        <v>4.6188021535170057E-2</v>
      </c>
      <c r="AS8" s="44">
        <f>CHOOSE(AN8,AR8*SQRT(AO8/3),SQRT(AO8*((AR8^2)+((AQ8^2)/(3))-(AQ8*AR8))))</f>
        <v>1.0131142475354567E-2</v>
      </c>
      <c r="AT8" s="42"/>
      <c r="AU8">
        <f t="shared" ref="AU8:AU39" si="33">(AM8^2)*Rdcr1</f>
        <v>1.3333333333333331E-7</v>
      </c>
      <c r="AV8" s="44">
        <f>AT8+AU8</f>
        <v>1.3333333333333331E-7</v>
      </c>
      <c r="AW8" s="42">
        <f t="shared" ref="AW8:AW39" si="34">(VOUT1+((NS1_/Np)*S8))*QRR1_*Fsw</f>
        <v>4</v>
      </c>
      <c r="AX8">
        <f t="shared" ref="AX8:AX39" si="35">AM8*VD1_</f>
        <v>9.999999999999998E-4</v>
      </c>
      <c r="AY8" s="44">
        <f>AW8+AX8</f>
        <v>4.0010000000000003</v>
      </c>
      <c r="AZ8" s="42">
        <f t="shared" si="14"/>
        <v>0</v>
      </c>
      <c r="BA8">
        <f t="shared" si="15"/>
        <v>0</v>
      </c>
      <c r="BB8">
        <f t="shared" si="16"/>
        <v>0</v>
      </c>
      <c r="BC8" s="44">
        <f t="shared" ref="BC8:BC39" si="36">IF(EN_OUT_2=1,AZ8/BA8,0)</f>
        <v>0</v>
      </c>
      <c r="BD8" s="42">
        <v>0</v>
      </c>
      <c r="BE8">
        <f>(BB8^2)*Rdcr2</f>
        <v>0</v>
      </c>
      <c r="BF8" s="44">
        <f>BD8+BE8</f>
        <v>0</v>
      </c>
      <c r="BG8" s="42">
        <f t="shared" ref="BG8:BG39" si="37">(VOUT2+((NS2_/Np)*S8))*QRR2_*Fsw</f>
        <v>0</v>
      </c>
      <c r="BH8">
        <f t="shared" ref="BH8:BH39" si="38">BB8*VD2_</f>
        <v>0</v>
      </c>
      <c r="BI8" s="44">
        <f t="shared" ref="BI8:BI39" si="39">BH8+BG8</f>
        <v>0</v>
      </c>
      <c r="BK8" s="42">
        <f t="shared" si="17"/>
        <v>0</v>
      </c>
      <c r="BL8">
        <f t="shared" si="18"/>
        <v>0</v>
      </c>
      <c r="BM8">
        <f t="shared" si="19"/>
        <v>0</v>
      </c>
      <c r="BN8" s="44">
        <f t="shared" ref="BN8:BN39" si="40">Y8*(Np/NS3_)*(BK8/R8)</f>
        <v>0</v>
      </c>
      <c r="BO8" s="42">
        <v>0</v>
      </c>
      <c r="BP8">
        <f t="shared" ref="BP8:BP39" si="41">(BM8^2)*Rdcr3</f>
        <v>0</v>
      </c>
      <c r="BQ8" s="44">
        <f>BO8+BP8</f>
        <v>0</v>
      </c>
      <c r="BR8" s="42">
        <f t="shared" ref="BR8:BR39" si="42">(VOUT3+((NS3_/Np)*S8))*QRR3_*Fsw</f>
        <v>0</v>
      </c>
      <c r="BS8">
        <f>BM8*VD3_</f>
        <v>0</v>
      </c>
      <c r="BT8" s="44">
        <f>BS8+BR8</f>
        <v>0</v>
      </c>
      <c r="BU8" s="42">
        <f>(AB8^2)*R_cs</f>
        <v>4.1056019142373404E-5</v>
      </c>
      <c r="BV8">
        <f t="shared" si="21"/>
        <v>0.23625000000000002</v>
      </c>
      <c r="BW8" s="44">
        <f t="shared" si="22"/>
        <v>1.0800000000000001E-2</v>
      </c>
      <c r="BX8">
        <f>BF8+BQ8+AE8</f>
        <v>6.842669857062234E-5</v>
      </c>
      <c r="BY8">
        <f t="shared" ref="BY8:BY71" si="43">BW8+BV8+BU8+BT8+BQ8+BI8+BF8++AY8+AV8+AJ8+AF8+AE8+AG8</f>
        <v>4.3599674874558181</v>
      </c>
      <c r="BZ8">
        <f t="shared" ref="BZ8:BZ39" si="44">(R8/(R8+BY8))*100</f>
        <v>10.899254978714383</v>
      </c>
    </row>
    <row r="9" spans="1:78" x14ac:dyDescent="0.3">
      <c r="N9" t="s">
        <v>187</v>
      </c>
      <c r="O9">
        <f>VIN_var</f>
        <v>24</v>
      </c>
      <c r="P9" t="s">
        <v>11</v>
      </c>
      <c r="Q9">
        <v>2</v>
      </c>
      <c r="R9" s="42">
        <f t="shared" si="0"/>
        <v>1.0666666666666667</v>
      </c>
      <c r="S9">
        <f t="shared" si="1"/>
        <v>24</v>
      </c>
      <c r="T9" s="44">
        <f t="shared" si="2"/>
        <v>4.4444444444444446E-2</v>
      </c>
      <c r="U9" s="42">
        <f t="shared" si="3"/>
        <v>1</v>
      </c>
      <c r="V9">
        <f t="shared" si="4"/>
        <v>0.13608276348795434</v>
      </c>
      <c r="W9">
        <f t="shared" si="5"/>
        <v>0.20412414523193151</v>
      </c>
      <c r="X9">
        <f t="shared" si="23"/>
        <v>0.65979309128011421</v>
      </c>
      <c r="Y9" s="42">
        <f t="shared" si="24"/>
        <v>0.32659863237109038</v>
      </c>
      <c r="Z9">
        <f t="shared" si="6"/>
        <v>0.65319726474218087</v>
      </c>
      <c r="AA9">
        <f t="shared" si="25"/>
        <v>0.65319726474218087</v>
      </c>
      <c r="AB9" s="44">
        <f t="shared" si="7"/>
        <v>0.13911862933984775</v>
      </c>
      <c r="AC9" s="42">
        <v>0</v>
      </c>
      <c r="AD9">
        <f t="shared" si="26"/>
        <v>1.935399302939795E-4</v>
      </c>
      <c r="AE9" s="44">
        <f t="shared" si="27"/>
        <v>1.935399302939795E-4</v>
      </c>
      <c r="AF9" s="42">
        <f t="shared" si="8"/>
        <v>2.1333333333333333E-2</v>
      </c>
      <c r="AG9" s="44">
        <f t="shared" si="9"/>
        <v>2.1333333333333333E-2</v>
      </c>
      <c r="AH9" s="42">
        <f t="shared" si="10"/>
        <v>0</v>
      </c>
      <c r="AI9">
        <f t="shared" si="11"/>
        <v>0.12795031879006907</v>
      </c>
      <c r="AJ9" s="44">
        <f t="shared" ref="AJ9:AJ71" si="45">AH9+AI9</f>
        <v>0.12795031879006907</v>
      </c>
      <c r="AK9" s="42">
        <f t="shared" si="12"/>
        <v>1.0666666666666667</v>
      </c>
      <c r="AL9">
        <f t="shared" si="13"/>
        <v>160</v>
      </c>
      <c r="AM9" s="44">
        <f t="shared" si="28"/>
        <v>6.6666666666666662E-3</v>
      </c>
      <c r="AN9" s="42">
        <f t="shared" si="29"/>
        <v>2</v>
      </c>
      <c r="AO9">
        <f t="shared" si="30"/>
        <v>0.20412414523193151</v>
      </c>
      <c r="AP9">
        <f t="shared" si="31"/>
        <v>3.2659863237109038E-2</v>
      </c>
      <c r="AQ9">
        <f t="shared" si="32"/>
        <v>6.531972647421809E-2</v>
      </c>
      <c r="AR9">
        <f t="shared" ref="AR9:AR72" si="46">AP9+(AQ9/2)</f>
        <v>6.5319726474218076E-2</v>
      </c>
      <c r="AS9" s="44">
        <f t="shared" ref="AS9:AS72" si="47">CHOOSE(AN9,AR9*SQRT(AO9/3),SQRT(AO9*((AR9^2)+((AQ9^2)/(3))-(AQ9*AR9))))</f>
        <v>1.7038482779900593E-2</v>
      </c>
      <c r="AT9" s="42"/>
      <c r="AU9">
        <f t="shared" si="33"/>
        <v>5.3333333333333324E-7</v>
      </c>
      <c r="AV9" s="44">
        <f t="shared" ref="AV9:AV72" si="48">AT9+AU9</f>
        <v>5.3333333333333324E-7</v>
      </c>
      <c r="AW9" s="42">
        <f t="shared" si="34"/>
        <v>4</v>
      </c>
      <c r="AX9">
        <f t="shared" si="35"/>
        <v>1.9999999999999996E-3</v>
      </c>
      <c r="AY9" s="44">
        <f t="shared" ref="AY9:AY72" si="49">AW9+AX9</f>
        <v>4.0019999999999998</v>
      </c>
      <c r="AZ9" s="42">
        <f t="shared" si="14"/>
        <v>0</v>
      </c>
      <c r="BA9">
        <f t="shared" si="15"/>
        <v>0</v>
      </c>
      <c r="BB9">
        <f t="shared" ref="BB9:BB72" si="50">IF(EN_OUT_2=1,AZ9/BA9,0)</f>
        <v>0</v>
      </c>
      <c r="BC9" s="44">
        <f t="shared" si="36"/>
        <v>0</v>
      </c>
      <c r="BD9" s="42">
        <v>0</v>
      </c>
      <c r="BE9">
        <f t="shared" ref="BE9:BE39" si="51">(BB9^2)*Rdcr2</f>
        <v>0</v>
      </c>
      <c r="BF9" s="44">
        <f t="shared" ref="BF9:BF72" si="52">BD9+BE9</f>
        <v>0</v>
      </c>
      <c r="BG9" s="42">
        <f t="shared" si="37"/>
        <v>0</v>
      </c>
      <c r="BH9">
        <f t="shared" si="38"/>
        <v>0</v>
      </c>
      <c r="BI9" s="44">
        <f t="shared" si="39"/>
        <v>0</v>
      </c>
      <c r="BK9" s="42">
        <f t="shared" si="17"/>
        <v>0</v>
      </c>
      <c r="BL9">
        <f t="shared" si="18"/>
        <v>0</v>
      </c>
      <c r="BM9">
        <f t="shared" si="19"/>
        <v>0</v>
      </c>
      <c r="BN9" s="44">
        <f t="shared" si="40"/>
        <v>0</v>
      </c>
      <c r="BO9" s="42">
        <v>0</v>
      </c>
      <c r="BP9">
        <f t="shared" si="41"/>
        <v>0</v>
      </c>
      <c r="BQ9" s="44">
        <f t="shared" ref="BQ9:BQ72" si="53">BO9+BP9</f>
        <v>0</v>
      </c>
      <c r="BR9" s="42">
        <f t="shared" si="42"/>
        <v>0</v>
      </c>
      <c r="BS9">
        <f t="shared" ref="BS9:BS39" si="54">BM9*VD3_</f>
        <v>0</v>
      </c>
      <c r="BT9" s="44">
        <f t="shared" ref="BT9:BT72" si="55">BS9+BR9</f>
        <v>0</v>
      </c>
      <c r="BU9" s="42">
        <f t="shared" si="20"/>
        <v>1.1612395817638769E-4</v>
      </c>
      <c r="BV9">
        <f t="shared" si="21"/>
        <v>0.23625000000000002</v>
      </c>
      <c r="BW9" s="44">
        <f t="shared" si="22"/>
        <v>1.0800000000000001E-2</v>
      </c>
      <c r="BX9">
        <f t="shared" ref="BX9:BX71" si="56">BF9+BQ9+AE9+AG9</f>
        <v>2.1526873263627313E-2</v>
      </c>
      <c r="BY9">
        <f t="shared" si="43"/>
        <v>4.4199771826785392</v>
      </c>
      <c r="BZ9">
        <f t="shared" si="44"/>
        <v>19.441150108439537</v>
      </c>
    </row>
    <row r="10" spans="1:78" x14ac:dyDescent="0.3">
      <c r="A10" t="s">
        <v>422</v>
      </c>
      <c r="B10" s="35">
        <f>VOUT1*IOUT1</f>
        <v>80</v>
      </c>
      <c r="Q10">
        <v>3</v>
      </c>
      <c r="R10" s="42">
        <f t="shared" si="0"/>
        <v>1.6</v>
      </c>
      <c r="S10">
        <f t="shared" si="1"/>
        <v>24</v>
      </c>
      <c r="T10" s="44">
        <f t="shared" si="2"/>
        <v>6.6666666666666666E-2</v>
      </c>
      <c r="U10" s="42">
        <f t="shared" si="3"/>
        <v>1</v>
      </c>
      <c r="V10">
        <f t="shared" si="4"/>
        <v>0.16666666666666666</v>
      </c>
      <c r="W10">
        <f t="shared" si="5"/>
        <v>0.25</v>
      </c>
      <c r="X10">
        <f t="shared" si="23"/>
        <v>0.58333333333333337</v>
      </c>
      <c r="Y10" s="42">
        <f t="shared" si="24"/>
        <v>0.4</v>
      </c>
      <c r="Z10">
        <f t="shared" si="6"/>
        <v>0.8</v>
      </c>
      <c r="AA10">
        <f t="shared" si="25"/>
        <v>0.8</v>
      </c>
      <c r="AB10" s="44">
        <f t="shared" si="7"/>
        <v>0.18856180831641267</v>
      </c>
      <c r="AC10" s="42">
        <v>0</v>
      </c>
      <c r="AD10">
        <f t="shared" si="26"/>
        <v>3.5555555555555557E-4</v>
      </c>
      <c r="AE10" s="44">
        <f t="shared" si="27"/>
        <v>3.5555555555555557E-4</v>
      </c>
      <c r="AF10" s="42">
        <f t="shared" si="8"/>
        <v>3.2000000000000001E-2</v>
      </c>
      <c r="AG10" s="44">
        <f t="shared" si="9"/>
        <v>3.2000000000000001E-2</v>
      </c>
      <c r="AH10" s="42">
        <f t="shared" si="10"/>
        <v>0</v>
      </c>
      <c r="AI10">
        <f t="shared" si="11"/>
        <v>0.15670649673105599</v>
      </c>
      <c r="AJ10" s="44">
        <f t="shared" si="45"/>
        <v>0.15670649673105599</v>
      </c>
      <c r="AK10" s="42">
        <f t="shared" si="12"/>
        <v>1.6</v>
      </c>
      <c r="AL10">
        <f t="shared" si="13"/>
        <v>160</v>
      </c>
      <c r="AM10" s="44">
        <f t="shared" si="28"/>
        <v>0.01</v>
      </c>
      <c r="AN10" s="42">
        <f t="shared" si="29"/>
        <v>2</v>
      </c>
      <c r="AO10">
        <f t="shared" si="30"/>
        <v>0.24999999999999994</v>
      </c>
      <c r="AP10">
        <f t="shared" si="31"/>
        <v>4.0000000000000008E-2</v>
      </c>
      <c r="AQ10">
        <f t="shared" si="32"/>
        <v>7.9999999999999988E-2</v>
      </c>
      <c r="AR10">
        <f t="shared" si="46"/>
        <v>0.08</v>
      </c>
      <c r="AS10" s="44">
        <f t="shared" si="47"/>
        <v>2.3094010767585032E-2</v>
      </c>
      <c r="AT10" s="42"/>
      <c r="AU10">
        <f t="shared" si="33"/>
        <v>1.2000000000000002E-6</v>
      </c>
      <c r="AV10" s="44">
        <f t="shared" si="48"/>
        <v>1.2000000000000002E-6</v>
      </c>
      <c r="AW10" s="42">
        <f t="shared" si="34"/>
        <v>4</v>
      </c>
      <c r="AX10">
        <f t="shared" si="35"/>
        <v>3.0000000000000001E-3</v>
      </c>
      <c r="AY10" s="44">
        <f t="shared" si="49"/>
        <v>4.0030000000000001</v>
      </c>
      <c r="AZ10" s="42">
        <f t="shared" si="14"/>
        <v>0</v>
      </c>
      <c r="BA10">
        <f t="shared" si="15"/>
        <v>0</v>
      </c>
      <c r="BB10">
        <f t="shared" si="50"/>
        <v>0</v>
      </c>
      <c r="BC10" s="44">
        <f t="shared" si="36"/>
        <v>0</v>
      </c>
      <c r="BD10" s="42">
        <v>0</v>
      </c>
      <c r="BE10">
        <f t="shared" si="51"/>
        <v>0</v>
      </c>
      <c r="BF10" s="44">
        <f t="shared" si="52"/>
        <v>0</v>
      </c>
      <c r="BG10" s="42">
        <f t="shared" si="37"/>
        <v>0</v>
      </c>
      <c r="BH10">
        <f t="shared" si="38"/>
        <v>0</v>
      </c>
      <c r="BI10" s="44">
        <f t="shared" si="39"/>
        <v>0</v>
      </c>
      <c r="BK10" s="42">
        <f t="shared" si="17"/>
        <v>0</v>
      </c>
      <c r="BL10">
        <f t="shared" si="18"/>
        <v>0</v>
      </c>
      <c r="BM10">
        <f t="shared" si="19"/>
        <v>0</v>
      </c>
      <c r="BN10" s="44">
        <f t="shared" si="40"/>
        <v>0</v>
      </c>
      <c r="BO10" s="42">
        <v>0</v>
      </c>
      <c r="BP10">
        <f t="shared" si="41"/>
        <v>0</v>
      </c>
      <c r="BQ10" s="44">
        <f t="shared" si="53"/>
        <v>0</v>
      </c>
      <c r="BR10" s="42">
        <f t="shared" si="42"/>
        <v>0</v>
      </c>
      <c r="BS10">
        <f t="shared" si="54"/>
        <v>0</v>
      </c>
      <c r="BT10" s="44">
        <f t="shared" si="55"/>
        <v>0</v>
      </c>
      <c r="BU10" s="42">
        <f t="shared" si="20"/>
        <v>2.1333333333333333E-4</v>
      </c>
      <c r="BV10">
        <f t="shared" si="21"/>
        <v>0.23625000000000002</v>
      </c>
      <c r="BW10" s="44">
        <f t="shared" si="22"/>
        <v>1.0800000000000001E-2</v>
      </c>
      <c r="BX10">
        <f t="shared" si="56"/>
        <v>3.2355555555555554E-2</v>
      </c>
      <c r="BY10">
        <f t="shared" si="43"/>
        <v>4.4713265856199449</v>
      </c>
      <c r="BZ10">
        <f t="shared" si="44"/>
        <v>26.353383851720828</v>
      </c>
    </row>
    <row r="11" spans="1:78" x14ac:dyDescent="0.3">
      <c r="A11" t="s">
        <v>593</v>
      </c>
      <c r="B11">
        <f>B10/(O11)</f>
        <v>0.53333333333333333</v>
      </c>
      <c r="N11" t="s">
        <v>278</v>
      </c>
      <c r="O11">
        <v>150</v>
      </c>
      <c r="Q11">
        <v>4</v>
      </c>
      <c r="R11" s="42">
        <f t="shared" si="0"/>
        <v>2.1333333333333333</v>
      </c>
      <c r="S11">
        <f t="shared" si="1"/>
        <v>24</v>
      </c>
      <c r="T11" s="44">
        <f t="shared" si="2"/>
        <v>8.8888888888888892E-2</v>
      </c>
      <c r="U11" s="42">
        <f t="shared" si="3"/>
        <v>1</v>
      </c>
      <c r="V11">
        <f t="shared" si="4"/>
        <v>0.19245008972987526</v>
      </c>
      <c r="W11">
        <f t="shared" si="5"/>
        <v>0.28867513459481292</v>
      </c>
      <c r="X11">
        <f t="shared" si="23"/>
        <v>0.51887477567531182</v>
      </c>
      <c r="Y11" s="42">
        <f t="shared" si="24"/>
        <v>0.46188021535170065</v>
      </c>
      <c r="Z11">
        <f t="shared" si="6"/>
        <v>0.92376043070340119</v>
      </c>
      <c r="AA11">
        <f t="shared" si="25"/>
        <v>0.9237604307034013</v>
      </c>
      <c r="AB11" s="44">
        <f t="shared" si="7"/>
        <v>0.23396871341377648</v>
      </c>
      <c r="AC11" s="42">
        <v>0</v>
      </c>
      <c r="AD11">
        <f t="shared" si="26"/>
        <v>5.4741358856497872E-4</v>
      </c>
      <c r="AE11" s="44">
        <f t="shared" si="27"/>
        <v>5.4741358856497872E-4</v>
      </c>
      <c r="AF11" s="42">
        <f t="shared" si="8"/>
        <v>4.2666666666666665E-2</v>
      </c>
      <c r="AG11" s="44">
        <f t="shared" si="9"/>
        <v>4.2666666666666665E-2</v>
      </c>
      <c r="AH11" s="42">
        <f t="shared" si="10"/>
        <v>0</v>
      </c>
      <c r="AI11">
        <f t="shared" si="11"/>
        <v>0.18094907614287681</v>
      </c>
      <c r="AJ11" s="44">
        <f t="shared" si="45"/>
        <v>0.18094907614287681</v>
      </c>
      <c r="AK11" s="42">
        <f t="shared" si="12"/>
        <v>2.1333333333333333</v>
      </c>
      <c r="AL11">
        <f t="shared" si="13"/>
        <v>160</v>
      </c>
      <c r="AM11" s="44">
        <f t="shared" si="28"/>
        <v>1.3333333333333332E-2</v>
      </c>
      <c r="AN11" s="42">
        <f t="shared" si="29"/>
        <v>2</v>
      </c>
      <c r="AO11">
        <f t="shared" si="30"/>
        <v>0.28867513459481287</v>
      </c>
      <c r="AP11">
        <f t="shared" si="31"/>
        <v>4.6188021535170064E-2</v>
      </c>
      <c r="AQ11">
        <f t="shared" si="32"/>
        <v>9.2376043070340114E-2</v>
      </c>
      <c r="AR11">
        <f t="shared" si="46"/>
        <v>9.2376043070340114E-2</v>
      </c>
      <c r="AS11" s="44">
        <f t="shared" si="47"/>
        <v>2.865519818196112E-2</v>
      </c>
      <c r="AT11" s="42"/>
      <c r="AU11">
        <f t="shared" si="33"/>
        <v>2.133333333333333E-6</v>
      </c>
      <c r="AV11" s="44">
        <f t="shared" si="48"/>
        <v>2.133333333333333E-6</v>
      </c>
      <c r="AW11" s="42">
        <f t="shared" si="34"/>
        <v>4</v>
      </c>
      <c r="AX11">
        <f t="shared" si="35"/>
        <v>3.9999999999999992E-3</v>
      </c>
      <c r="AY11" s="44">
        <f t="shared" si="49"/>
        <v>4.0039999999999996</v>
      </c>
      <c r="AZ11" s="42">
        <f t="shared" si="14"/>
        <v>0</v>
      </c>
      <c r="BA11">
        <f t="shared" si="15"/>
        <v>0</v>
      </c>
      <c r="BB11">
        <f t="shared" si="50"/>
        <v>0</v>
      </c>
      <c r="BC11" s="44">
        <f t="shared" si="36"/>
        <v>0</v>
      </c>
      <c r="BD11" s="42">
        <v>0</v>
      </c>
      <c r="BE11">
        <f t="shared" si="51"/>
        <v>0</v>
      </c>
      <c r="BF11" s="44">
        <f t="shared" si="52"/>
        <v>0</v>
      </c>
      <c r="BG11" s="42">
        <f t="shared" si="37"/>
        <v>0</v>
      </c>
      <c r="BH11">
        <f t="shared" si="38"/>
        <v>0</v>
      </c>
      <c r="BI11" s="44">
        <f t="shared" si="39"/>
        <v>0</v>
      </c>
      <c r="BK11" s="42">
        <f t="shared" si="17"/>
        <v>0</v>
      </c>
      <c r="BL11">
        <f t="shared" si="18"/>
        <v>0</v>
      </c>
      <c r="BM11">
        <f t="shared" si="19"/>
        <v>0</v>
      </c>
      <c r="BN11" s="44">
        <f t="shared" si="40"/>
        <v>0</v>
      </c>
      <c r="BO11" s="42">
        <v>0</v>
      </c>
      <c r="BP11">
        <f t="shared" si="41"/>
        <v>0</v>
      </c>
      <c r="BQ11" s="44">
        <f t="shared" si="53"/>
        <v>0</v>
      </c>
      <c r="BR11" s="42">
        <f t="shared" si="42"/>
        <v>0</v>
      </c>
      <c r="BS11">
        <f t="shared" si="54"/>
        <v>0</v>
      </c>
      <c r="BT11" s="44">
        <f t="shared" si="55"/>
        <v>0</v>
      </c>
      <c r="BU11" s="42">
        <f t="shared" si="20"/>
        <v>3.2844815313898723E-4</v>
      </c>
      <c r="BV11">
        <f t="shared" si="21"/>
        <v>0.23625000000000002</v>
      </c>
      <c r="BW11" s="44">
        <f t="shared" si="22"/>
        <v>1.0800000000000001E-2</v>
      </c>
      <c r="BX11">
        <f t="shared" si="56"/>
        <v>4.3214080255231643E-2</v>
      </c>
      <c r="BY11">
        <f t="shared" si="43"/>
        <v>4.5182104045512466</v>
      </c>
      <c r="BZ11">
        <f t="shared" si="44"/>
        <v>32.072755098680396</v>
      </c>
    </row>
    <row r="12" spans="1:78" x14ac:dyDescent="0.3">
      <c r="N12" t="s">
        <v>279</v>
      </c>
      <c r="O12">
        <f>IOUT1/(O11)</f>
        <v>3.3333333333333335E-3</v>
      </c>
      <c r="Q12">
        <v>5</v>
      </c>
      <c r="R12" s="42">
        <f t="shared" si="0"/>
        <v>2.6666666666666665</v>
      </c>
      <c r="S12">
        <f t="shared" si="1"/>
        <v>24</v>
      </c>
      <c r="T12" s="44">
        <f t="shared" si="2"/>
        <v>0.1111111111111111</v>
      </c>
      <c r="U12" s="42">
        <f t="shared" si="3"/>
        <v>1</v>
      </c>
      <c r="V12">
        <f t="shared" si="4"/>
        <v>0.21516574145596759</v>
      </c>
      <c r="W12">
        <f t="shared" si="5"/>
        <v>0.3227486121839514</v>
      </c>
      <c r="X12">
        <f t="shared" si="23"/>
        <v>0.46208564636008104</v>
      </c>
      <c r="Y12" s="42">
        <f t="shared" si="24"/>
        <v>0.5163977794943222</v>
      </c>
      <c r="Z12">
        <f t="shared" si="6"/>
        <v>1.0327955589886444</v>
      </c>
      <c r="AA12">
        <f t="shared" si="25"/>
        <v>1.0327955589886444</v>
      </c>
      <c r="AB12" s="44">
        <f t="shared" si="7"/>
        <v>0.27659243435043479</v>
      </c>
      <c r="AC12" s="42">
        <v>0</v>
      </c>
      <c r="AD12">
        <f t="shared" si="26"/>
        <v>7.6503374739899592E-4</v>
      </c>
      <c r="AE12" s="44">
        <f t="shared" si="27"/>
        <v>7.6503374739899592E-4</v>
      </c>
      <c r="AF12" s="42">
        <f t="shared" si="8"/>
        <v>5.333333333333333E-2</v>
      </c>
      <c r="AG12" s="44">
        <f t="shared" si="9"/>
        <v>5.333333333333333E-2</v>
      </c>
      <c r="AH12" s="42">
        <f t="shared" si="10"/>
        <v>0</v>
      </c>
      <c r="AI12">
        <f t="shared" si="11"/>
        <v>0.20230721736062895</v>
      </c>
      <c r="AJ12" s="44">
        <f t="shared" si="45"/>
        <v>0.20230721736062895</v>
      </c>
      <c r="AK12" s="42">
        <f t="shared" si="12"/>
        <v>2.6666666666666665</v>
      </c>
      <c r="AL12">
        <f t="shared" si="13"/>
        <v>160</v>
      </c>
      <c r="AM12" s="44">
        <f t="shared" si="28"/>
        <v>1.6666666666666666E-2</v>
      </c>
      <c r="AN12" s="42">
        <f t="shared" si="29"/>
        <v>2</v>
      </c>
      <c r="AO12">
        <f t="shared" si="30"/>
        <v>0.32274861218395146</v>
      </c>
      <c r="AP12">
        <f t="shared" si="31"/>
        <v>5.1639777949432218E-2</v>
      </c>
      <c r="AQ12">
        <f t="shared" si="32"/>
        <v>0.10327955589886446</v>
      </c>
      <c r="AR12">
        <f t="shared" si="46"/>
        <v>0.10327955589886445</v>
      </c>
      <c r="AS12" s="44">
        <f t="shared" si="47"/>
        <v>3.3875516543640981E-2</v>
      </c>
      <c r="AT12" s="42"/>
      <c r="AU12">
        <f t="shared" si="33"/>
        <v>3.3333333333333333E-6</v>
      </c>
      <c r="AV12" s="44">
        <f t="shared" si="48"/>
        <v>3.3333333333333333E-6</v>
      </c>
      <c r="AW12" s="42">
        <f t="shared" si="34"/>
        <v>4</v>
      </c>
      <c r="AX12">
        <f t="shared" si="35"/>
        <v>5.0000000000000001E-3</v>
      </c>
      <c r="AY12" s="44">
        <f t="shared" si="49"/>
        <v>4.0049999999999999</v>
      </c>
      <c r="AZ12" s="42">
        <f t="shared" si="14"/>
        <v>0</v>
      </c>
      <c r="BA12">
        <f t="shared" si="15"/>
        <v>0</v>
      </c>
      <c r="BB12">
        <f t="shared" si="50"/>
        <v>0</v>
      </c>
      <c r="BC12" s="44">
        <f t="shared" si="36"/>
        <v>0</v>
      </c>
      <c r="BD12" s="42">
        <v>0</v>
      </c>
      <c r="BE12">
        <f t="shared" si="51"/>
        <v>0</v>
      </c>
      <c r="BF12" s="44">
        <f t="shared" si="52"/>
        <v>0</v>
      </c>
      <c r="BG12" s="42">
        <f t="shared" si="37"/>
        <v>0</v>
      </c>
      <c r="BH12">
        <f t="shared" si="38"/>
        <v>0</v>
      </c>
      <c r="BI12" s="44">
        <f t="shared" si="39"/>
        <v>0</v>
      </c>
      <c r="BK12" s="42">
        <f t="shared" si="17"/>
        <v>0</v>
      </c>
      <c r="BL12">
        <f t="shared" si="18"/>
        <v>0</v>
      </c>
      <c r="BM12">
        <f t="shared" si="19"/>
        <v>0</v>
      </c>
      <c r="BN12" s="44">
        <f t="shared" si="40"/>
        <v>0</v>
      </c>
      <c r="BO12" s="42">
        <v>0</v>
      </c>
      <c r="BP12">
        <f t="shared" si="41"/>
        <v>0</v>
      </c>
      <c r="BQ12" s="44">
        <f t="shared" si="53"/>
        <v>0</v>
      </c>
      <c r="BR12" s="42">
        <f t="shared" si="42"/>
        <v>0</v>
      </c>
      <c r="BS12">
        <f t="shared" si="54"/>
        <v>0</v>
      </c>
      <c r="BT12" s="44">
        <f t="shared" si="55"/>
        <v>0</v>
      </c>
      <c r="BU12" s="42">
        <f t="shared" si="20"/>
        <v>4.5902024843939751E-4</v>
      </c>
      <c r="BV12">
        <f t="shared" si="21"/>
        <v>0.23625000000000002</v>
      </c>
      <c r="BW12" s="44">
        <f t="shared" si="22"/>
        <v>1.0800000000000001E-2</v>
      </c>
      <c r="BX12">
        <f t="shared" si="56"/>
        <v>5.4098367080732325E-2</v>
      </c>
      <c r="BY12">
        <f t="shared" si="43"/>
        <v>4.5622512713564678</v>
      </c>
      <c r="BZ12">
        <f t="shared" si="44"/>
        <v>36.888877277750787</v>
      </c>
    </row>
    <row r="13" spans="1:78" x14ac:dyDescent="0.3">
      <c r="Q13">
        <v>6</v>
      </c>
      <c r="R13" s="42">
        <f t="shared" si="0"/>
        <v>3.2</v>
      </c>
      <c r="S13">
        <f t="shared" si="1"/>
        <v>24</v>
      </c>
      <c r="T13" s="44">
        <f t="shared" si="2"/>
        <v>0.13333333333333333</v>
      </c>
      <c r="U13" s="42">
        <f t="shared" si="3"/>
        <v>1</v>
      </c>
      <c r="V13">
        <f t="shared" si="4"/>
        <v>0.23570226039551584</v>
      </c>
      <c r="W13">
        <f t="shared" si="5"/>
        <v>0.35355339059327379</v>
      </c>
      <c r="X13">
        <f t="shared" si="23"/>
        <v>0.41074434901121032</v>
      </c>
      <c r="Y13" s="42">
        <f t="shared" si="24"/>
        <v>0.56568542494923812</v>
      </c>
      <c r="Z13">
        <f t="shared" si="6"/>
        <v>1.131370849898476</v>
      </c>
      <c r="AA13">
        <f t="shared" si="25"/>
        <v>1.131370849898476</v>
      </c>
      <c r="AB13" s="44">
        <f t="shared" si="7"/>
        <v>0.31712189733405893</v>
      </c>
      <c r="AC13" s="42">
        <v>0</v>
      </c>
      <c r="AD13">
        <f t="shared" si="26"/>
        <v>1.0056629776875343E-3</v>
      </c>
      <c r="AE13" s="44">
        <f t="shared" si="27"/>
        <v>1.0056629776875343E-3</v>
      </c>
      <c r="AF13" s="42">
        <f t="shared" si="8"/>
        <v>6.4000000000000001E-2</v>
      </c>
      <c r="AG13" s="44">
        <f t="shared" si="9"/>
        <v>6.4000000000000001E-2</v>
      </c>
      <c r="AH13" s="42">
        <f t="shared" si="10"/>
        <v>0</v>
      </c>
      <c r="AI13">
        <f t="shared" si="11"/>
        <v>0.22161645298903454</v>
      </c>
      <c r="AJ13" s="44">
        <f t="shared" si="45"/>
        <v>0.22161645298903454</v>
      </c>
      <c r="AK13" s="42">
        <f t="shared" si="12"/>
        <v>3.2</v>
      </c>
      <c r="AL13">
        <f t="shared" si="13"/>
        <v>160</v>
      </c>
      <c r="AM13" s="44">
        <f t="shared" si="28"/>
        <v>0.02</v>
      </c>
      <c r="AN13" s="42">
        <f t="shared" si="29"/>
        <v>2</v>
      </c>
      <c r="AO13">
        <f t="shared" si="30"/>
        <v>0.35355339059327368</v>
      </c>
      <c r="AP13">
        <f t="shared" si="31"/>
        <v>5.6568542494923817E-2</v>
      </c>
      <c r="AQ13">
        <f t="shared" si="32"/>
        <v>0.11313708498984758</v>
      </c>
      <c r="AR13">
        <f t="shared" si="46"/>
        <v>0.11313708498984761</v>
      </c>
      <c r="AS13" s="44">
        <f t="shared" si="47"/>
        <v>3.8839341736585868E-2</v>
      </c>
      <c r="AT13" s="42"/>
      <c r="AU13">
        <f t="shared" si="33"/>
        <v>4.8000000000000006E-6</v>
      </c>
      <c r="AV13" s="44">
        <f t="shared" si="48"/>
        <v>4.8000000000000006E-6</v>
      </c>
      <c r="AW13" s="42">
        <f t="shared" si="34"/>
        <v>4</v>
      </c>
      <c r="AX13">
        <f t="shared" si="35"/>
        <v>6.0000000000000001E-3</v>
      </c>
      <c r="AY13" s="44">
        <f t="shared" si="49"/>
        <v>4.0060000000000002</v>
      </c>
      <c r="AZ13" s="42">
        <f t="shared" si="14"/>
        <v>0</v>
      </c>
      <c r="BA13">
        <f t="shared" si="15"/>
        <v>0</v>
      </c>
      <c r="BB13">
        <f t="shared" si="50"/>
        <v>0</v>
      </c>
      <c r="BC13" s="44">
        <f t="shared" si="36"/>
        <v>0</v>
      </c>
      <c r="BD13" s="42">
        <v>0</v>
      </c>
      <c r="BE13">
        <f t="shared" si="51"/>
        <v>0</v>
      </c>
      <c r="BF13" s="44">
        <f t="shared" si="52"/>
        <v>0</v>
      </c>
      <c r="BG13" s="42">
        <f t="shared" si="37"/>
        <v>0</v>
      </c>
      <c r="BH13">
        <f t="shared" si="38"/>
        <v>0</v>
      </c>
      <c r="BI13" s="44">
        <f t="shared" si="39"/>
        <v>0</v>
      </c>
      <c r="BK13" s="42">
        <f t="shared" si="17"/>
        <v>0</v>
      </c>
      <c r="BL13">
        <f t="shared" si="18"/>
        <v>0</v>
      </c>
      <c r="BM13">
        <f t="shared" si="19"/>
        <v>0</v>
      </c>
      <c r="BN13" s="44">
        <f t="shared" si="40"/>
        <v>0</v>
      </c>
      <c r="BO13" s="42">
        <v>0</v>
      </c>
      <c r="BP13">
        <f t="shared" si="41"/>
        <v>0</v>
      </c>
      <c r="BQ13" s="44">
        <f t="shared" si="53"/>
        <v>0</v>
      </c>
      <c r="BR13" s="42">
        <f t="shared" si="42"/>
        <v>0</v>
      </c>
      <c r="BS13">
        <f t="shared" si="54"/>
        <v>0</v>
      </c>
      <c r="BT13" s="44">
        <f t="shared" si="55"/>
        <v>0</v>
      </c>
      <c r="BU13" s="42">
        <f t="shared" si="20"/>
        <v>6.0339778661252055E-4</v>
      </c>
      <c r="BV13">
        <f t="shared" si="21"/>
        <v>0.23625000000000002</v>
      </c>
      <c r="BW13" s="44">
        <f t="shared" si="22"/>
        <v>1.0800000000000001E-2</v>
      </c>
      <c r="BX13">
        <f t="shared" si="56"/>
        <v>6.5005662977687534E-2</v>
      </c>
      <c r="BY13">
        <f t="shared" si="43"/>
        <v>4.6042803137533346</v>
      </c>
      <c r="BZ13">
        <f t="shared" si="44"/>
        <v>41.003140217307433</v>
      </c>
    </row>
    <row r="14" spans="1:78" x14ac:dyDescent="0.3">
      <c r="A14" t="s">
        <v>426</v>
      </c>
      <c r="B14" s="20">
        <f>VOUT2*IOUT2</f>
        <v>0</v>
      </c>
      <c r="Q14">
        <v>7</v>
      </c>
      <c r="R14" s="42">
        <f t="shared" si="0"/>
        <v>3.7333333333333334</v>
      </c>
      <c r="S14">
        <f t="shared" si="1"/>
        <v>24</v>
      </c>
      <c r="T14" s="44">
        <f t="shared" si="2"/>
        <v>0.15555555555555556</v>
      </c>
      <c r="U14" s="42">
        <f t="shared" si="3"/>
        <v>1</v>
      </c>
      <c r="V14">
        <f t="shared" si="4"/>
        <v>0.25458753860865779</v>
      </c>
      <c r="W14">
        <f t="shared" si="5"/>
        <v>0.38188130791298669</v>
      </c>
      <c r="X14">
        <f t="shared" si="23"/>
        <v>0.36353115347835552</v>
      </c>
      <c r="Y14" s="42">
        <f t="shared" si="24"/>
        <v>0.61101009266077866</v>
      </c>
      <c r="Z14">
        <f t="shared" si="6"/>
        <v>1.2220201853215573</v>
      </c>
      <c r="AA14">
        <f t="shared" si="25"/>
        <v>1.2220201853215573</v>
      </c>
      <c r="AB14" s="44">
        <f t="shared" si="7"/>
        <v>0.35598879086079643</v>
      </c>
      <c r="AC14" s="42">
        <v>0</v>
      </c>
      <c r="AD14">
        <f t="shared" si="26"/>
        <v>1.2672801921853186E-3</v>
      </c>
      <c r="AE14" s="44">
        <f t="shared" si="27"/>
        <v>1.2672801921853186E-3</v>
      </c>
      <c r="AF14" s="42">
        <f t="shared" si="8"/>
        <v>7.4666666666666673E-2</v>
      </c>
      <c r="AG14" s="44">
        <f t="shared" si="9"/>
        <v>7.4666666666666673E-2</v>
      </c>
      <c r="AH14" s="42">
        <f t="shared" si="10"/>
        <v>0</v>
      </c>
      <c r="AI14">
        <f t="shared" si="11"/>
        <v>0.23937312772047134</v>
      </c>
      <c r="AJ14" s="44">
        <f t="shared" si="45"/>
        <v>0.23937312772047134</v>
      </c>
      <c r="AK14" s="42">
        <f t="shared" si="12"/>
        <v>3.7333333333333334</v>
      </c>
      <c r="AL14">
        <f t="shared" si="13"/>
        <v>160</v>
      </c>
      <c r="AM14" s="44">
        <f t="shared" si="28"/>
        <v>2.3333333333333334E-2</v>
      </c>
      <c r="AN14" s="42">
        <f t="shared" si="29"/>
        <v>2</v>
      </c>
      <c r="AO14">
        <f t="shared" si="30"/>
        <v>0.38188130791298669</v>
      </c>
      <c r="AP14">
        <f t="shared" si="31"/>
        <v>6.1101009266077866E-2</v>
      </c>
      <c r="AQ14">
        <f t="shared" si="32"/>
        <v>0.12220201853215573</v>
      </c>
      <c r="AR14">
        <f t="shared" si="46"/>
        <v>0.12220201853215573</v>
      </c>
      <c r="AS14" s="44">
        <f t="shared" si="47"/>
        <v>4.3599544587965354E-2</v>
      </c>
      <c r="AT14" s="42"/>
      <c r="AU14">
        <f t="shared" si="33"/>
        <v>6.533333333333334E-6</v>
      </c>
      <c r="AV14" s="44">
        <f t="shared" si="48"/>
        <v>6.533333333333334E-6</v>
      </c>
      <c r="AW14" s="42">
        <f t="shared" si="34"/>
        <v>4</v>
      </c>
      <c r="AX14">
        <f t="shared" si="35"/>
        <v>7.0000000000000001E-3</v>
      </c>
      <c r="AY14" s="44">
        <f t="shared" si="49"/>
        <v>4.0069999999999997</v>
      </c>
      <c r="AZ14" s="42">
        <f t="shared" si="14"/>
        <v>0</v>
      </c>
      <c r="BA14">
        <f t="shared" si="15"/>
        <v>0</v>
      </c>
      <c r="BB14">
        <f t="shared" si="50"/>
        <v>0</v>
      </c>
      <c r="BC14" s="44">
        <f t="shared" si="36"/>
        <v>0</v>
      </c>
      <c r="BD14" s="42">
        <v>0</v>
      </c>
      <c r="BE14">
        <f t="shared" si="51"/>
        <v>0</v>
      </c>
      <c r="BF14" s="44">
        <f t="shared" si="52"/>
        <v>0</v>
      </c>
      <c r="BG14" s="42">
        <f t="shared" si="37"/>
        <v>0</v>
      </c>
      <c r="BH14">
        <f t="shared" si="38"/>
        <v>0</v>
      </c>
      <c r="BI14" s="44">
        <f t="shared" si="39"/>
        <v>0</v>
      </c>
      <c r="BK14" s="42">
        <f t="shared" si="17"/>
        <v>0</v>
      </c>
      <c r="BL14">
        <f t="shared" si="18"/>
        <v>0</v>
      </c>
      <c r="BM14">
        <f t="shared" si="19"/>
        <v>0</v>
      </c>
      <c r="BN14" s="44">
        <f t="shared" si="40"/>
        <v>0</v>
      </c>
      <c r="BO14" s="42">
        <v>0</v>
      </c>
      <c r="BP14">
        <f t="shared" si="41"/>
        <v>0</v>
      </c>
      <c r="BQ14" s="44">
        <f t="shared" si="53"/>
        <v>0</v>
      </c>
      <c r="BR14" s="42">
        <f t="shared" si="42"/>
        <v>0</v>
      </c>
      <c r="BS14">
        <f t="shared" si="54"/>
        <v>0</v>
      </c>
      <c r="BT14" s="44">
        <f t="shared" si="55"/>
        <v>0</v>
      </c>
      <c r="BU14" s="42">
        <f t="shared" si="20"/>
        <v>7.6036811531119113E-4</v>
      </c>
      <c r="BV14">
        <f t="shared" si="21"/>
        <v>0.23625000000000002</v>
      </c>
      <c r="BW14" s="44">
        <f t="shared" si="22"/>
        <v>1.0800000000000001E-2</v>
      </c>
      <c r="BX14">
        <f t="shared" si="56"/>
        <v>7.5933946858851992E-2</v>
      </c>
      <c r="BY14">
        <f t="shared" si="43"/>
        <v>4.644790642694633</v>
      </c>
      <c r="BZ14">
        <f t="shared" si="44"/>
        <v>44.560492826501367</v>
      </c>
    </row>
    <row r="15" spans="1:78" x14ac:dyDescent="0.3">
      <c r="A15" t="s">
        <v>594</v>
      </c>
      <c r="B15">
        <f>POUT2/O11</f>
        <v>0</v>
      </c>
      <c r="O15">
        <f>0.205*2.5/(Lm*Fsw)</f>
        <v>0.10249999999999999</v>
      </c>
      <c r="Q15">
        <v>8</v>
      </c>
      <c r="R15" s="42">
        <f t="shared" si="0"/>
        <v>4.2666666666666666</v>
      </c>
      <c r="S15">
        <f t="shared" si="1"/>
        <v>24</v>
      </c>
      <c r="T15" s="44">
        <f t="shared" si="2"/>
        <v>0.17777777777777778</v>
      </c>
      <c r="U15" s="42">
        <f t="shared" si="3"/>
        <v>1</v>
      </c>
      <c r="V15">
        <f t="shared" si="4"/>
        <v>0.27216552697590868</v>
      </c>
      <c r="W15">
        <f t="shared" si="5"/>
        <v>0.40824829046386302</v>
      </c>
      <c r="X15">
        <f t="shared" si="23"/>
        <v>0.3195861825602283</v>
      </c>
      <c r="Y15" s="42">
        <f t="shared" si="24"/>
        <v>0.65319726474218076</v>
      </c>
      <c r="Z15">
        <f t="shared" si="6"/>
        <v>1.3063945294843617</v>
      </c>
      <c r="AA15">
        <f t="shared" si="25"/>
        <v>1.3063945294843617</v>
      </c>
      <c r="AB15" s="44">
        <f t="shared" si="7"/>
        <v>0.39348690478233656</v>
      </c>
      <c r="AC15" s="42">
        <v>0</v>
      </c>
      <c r="AD15">
        <f t="shared" si="26"/>
        <v>1.548319442351836E-3</v>
      </c>
      <c r="AE15" s="44">
        <f t="shared" si="27"/>
        <v>1.548319442351836E-3</v>
      </c>
      <c r="AF15" s="42">
        <f t="shared" si="8"/>
        <v>8.533333333333333E-2</v>
      </c>
      <c r="AG15" s="44">
        <f t="shared" si="9"/>
        <v>8.533333333333333E-2</v>
      </c>
      <c r="AH15" s="42">
        <f t="shared" si="10"/>
        <v>0</v>
      </c>
      <c r="AI15">
        <f t="shared" si="11"/>
        <v>0.25590063758013815</v>
      </c>
      <c r="AJ15" s="44">
        <f t="shared" si="45"/>
        <v>0.25590063758013815</v>
      </c>
      <c r="AK15" s="42">
        <f t="shared" si="12"/>
        <v>4.2666666666666666</v>
      </c>
      <c r="AL15">
        <f t="shared" si="13"/>
        <v>160</v>
      </c>
      <c r="AM15" s="44">
        <f t="shared" si="28"/>
        <v>2.6666666666666665E-2</v>
      </c>
      <c r="AN15" s="42">
        <f t="shared" si="29"/>
        <v>2</v>
      </c>
      <c r="AO15">
        <f t="shared" si="30"/>
        <v>0.40824829046386302</v>
      </c>
      <c r="AP15">
        <f t="shared" si="31"/>
        <v>6.5319726474218076E-2</v>
      </c>
      <c r="AQ15">
        <f t="shared" si="32"/>
        <v>0.13063945294843618</v>
      </c>
      <c r="AR15">
        <f t="shared" si="46"/>
        <v>0.13063945294843615</v>
      </c>
      <c r="AS15" s="44">
        <f t="shared" si="47"/>
        <v>4.8192106859191709E-2</v>
      </c>
      <c r="AT15" s="42"/>
      <c r="AU15">
        <f t="shared" si="33"/>
        <v>8.5333333333333318E-6</v>
      </c>
      <c r="AV15" s="44">
        <f t="shared" si="48"/>
        <v>8.5333333333333318E-6</v>
      </c>
      <c r="AW15" s="42">
        <f t="shared" si="34"/>
        <v>4</v>
      </c>
      <c r="AX15">
        <f t="shared" si="35"/>
        <v>7.9999999999999984E-3</v>
      </c>
      <c r="AY15" s="44">
        <f t="shared" si="49"/>
        <v>4.008</v>
      </c>
      <c r="AZ15" s="42">
        <f t="shared" si="14"/>
        <v>0</v>
      </c>
      <c r="BA15">
        <f t="shared" si="15"/>
        <v>0</v>
      </c>
      <c r="BB15">
        <f t="shared" si="50"/>
        <v>0</v>
      </c>
      <c r="BC15" s="44">
        <f t="shared" si="36"/>
        <v>0</v>
      </c>
      <c r="BD15" s="42">
        <v>0</v>
      </c>
      <c r="BE15">
        <f t="shared" si="51"/>
        <v>0</v>
      </c>
      <c r="BF15" s="44">
        <f t="shared" si="52"/>
        <v>0</v>
      </c>
      <c r="BG15" s="42">
        <f t="shared" si="37"/>
        <v>0</v>
      </c>
      <c r="BH15">
        <f t="shared" si="38"/>
        <v>0</v>
      </c>
      <c r="BI15" s="44">
        <f t="shared" si="39"/>
        <v>0</v>
      </c>
      <c r="BK15" s="42">
        <f t="shared" si="17"/>
        <v>0</v>
      </c>
      <c r="BL15">
        <f t="shared" si="18"/>
        <v>0</v>
      </c>
      <c r="BM15">
        <f t="shared" si="19"/>
        <v>0</v>
      </c>
      <c r="BN15" s="44">
        <f t="shared" si="40"/>
        <v>0</v>
      </c>
      <c r="BO15" s="42">
        <v>0</v>
      </c>
      <c r="BP15">
        <f t="shared" si="41"/>
        <v>0</v>
      </c>
      <c r="BQ15" s="44">
        <f t="shared" si="53"/>
        <v>0</v>
      </c>
      <c r="BR15" s="42">
        <f t="shared" si="42"/>
        <v>0</v>
      </c>
      <c r="BS15">
        <f t="shared" si="54"/>
        <v>0</v>
      </c>
      <c r="BT15" s="44">
        <f t="shared" si="55"/>
        <v>0</v>
      </c>
      <c r="BU15" s="42">
        <f t="shared" si="20"/>
        <v>9.2899166541110154E-4</v>
      </c>
      <c r="BV15">
        <f t="shared" si="21"/>
        <v>0.23625000000000002</v>
      </c>
      <c r="BW15" s="44">
        <f t="shared" si="22"/>
        <v>1.0800000000000001E-2</v>
      </c>
      <c r="BX15">
        <f t="shared" si="56"/>
        <v>8.6881652775685173E-2</v>
      </c>
      <c r="BY15">
        <f t="shared" si="43"/>
        <v>4.6841031486879023</v>
      </c>
      <c r="BZ15">
        <f t="shared" si="44"/>
        <v>47.668153183287401</v>
      </c>
    </row>
    <row r="16" spans="1:78" x14ac:dyDescent="0.3">
      <c r="Q16">
        <v>9</v>
      </c>
      <c r="R16" s="42">
        <f t="shared" si="0"/>
        <v>4.8</v>
      </c>
      <c r="S16">
        <f t="shared" si="1"/>
        <v>24</v>
      </c>
      <c r="T16" s="44">
        <f t="shared" si="2"/>
        <v>0.19999999999999998</v>
      </c>
      <c r="U16" s="42">
        <f t="shared" si="3"/>
        <v>1</v>
      </c>
      <c r="V16">
        <f t="shared" si="4"/>
        <v>0.28867513459481287</v>
      </c>
      <c r="W16">
        <f t="shared" si="5"/>
        <v>0.4330127018922193</v>
      </c>
      <c r="X16">
        <f t="shared" si="23"/>
        <v>0.27831216351296784</v>
      </c>
      <c r="Y16" s="42">
        <f t="shared" si="24"/>
        <v>0.69282032302755092</v>
      </c>
      <c r="Z16">
        <f t="shared" si="6"/>
        <v>1.3856406460551018</v>
      </c>
      <c r="AA16">
        <f t="shared" si="25"/>
        <v>1.3856406460551018</v>
      </c>
      <c r="AB16" s="44">
        <f t="shared" si="7"/>
        <v>0.42982797272941675</v>
      </c>
      <c r="AC16" s="42">
        <v>0</v>
      </c>
      <c r="AD16">
        <f t="shared" si="26"/>
        <v>1.8475208614068023E-3</v>
      </c>
      <c r="AE16" s="44">
        <f t="shared" si="27"/>
        <v>1.8475208614068023E-3</v>
      </c>
      <c r="AF16" s="42">
        <f t="shared" si="8"/>
        <v>9.6000000000000002E-2</v>
      </c>
      <c r="AG16" s="44">
        <f t="shared" si="9"/>
        <v>9.6000000000000002E-2</v>
      </c>
      <c r="AH16" s="42">
        <f t="shared" si="10"/>
        <v>0</v>
      </c>
      <c r="AI16">
        <f t="shared" si="11"/>
        <v>0.27142361421431516</v>
      </c>
      <c r="AJ16" s="44">
        <f t="shared" si="45"/>
        <v>0.27142361421431516</v>
      </c>
      <c r="AK16" s="42">
        <f t="shared" si="12"/>
        <v>4.8</v>
      </c>
      <c r="AL16">
        <f t="shared" si="13"/>
        <v>160</v>
      </c>
      <c r="AM16" s="44">
        <f t="shared" si="28"/>
        <v>0.03</v>
      </c>
      <c r="AN16" s="42">
        <f t="shared" si="29"/>
        <v>2</v>
      </c>
      <c r="AO16">
        <f t="shared" si="30"/>
        <v>0.4330127018922193</v>
      </c>
      <c r="AP16">
        <f t="shared" si="31"/>
        <v>6.9282032302755092E-2</v>
      </c>
      <c r="AQ16">
        <f t="shared" si="32"/>
        <v>0.13856406460551016</v>
      </c>
      <c r="AR16">
        <f t="shared" si="46"/>
        <v>0.13856406460551018</v>
      </c>
      <c r="AS16" s="44">
        <f t="shared" si="47"/>
        <v>5.2642960518099711E-2</v>
      </c>
      <c r="AT16" s="42"/>
      <c r="AU16">
        <f t="shared" si="33"/>
        <v>1.08E-5</v>
      </c>
      <c r="AV16" s="44">
        <f t="shared" si="48"/>
        <v>1.08E-5</v>
      </c>
      <c r="AW16" s="42">
        <f t="shared" si="34"/>
        <v>4</v>
      </c>
      <c r="AX16">
        <f t="shared" si="35"/>
        <v>8.9999999999999993E-3</v>
      </c>
      <c r="AY16" s="44">
        <f t="shared" si="49"/>
        <v>4.0090000000000003</v>
      </c>
      <c r="AZ16" s="42">
        <f t="shared" si="14"/>
        <v>0</v>
      </c>
      <c r="BA16">
        <f t="shared" si="15"/>
        <v>0</v>
      </c>
      <c r="BB16">
        <f t="shared" si="50"/>
        <v>0</v>
      </c>
      <c r="BC16" s="44">
        <f t="shared" si="36"/>
        <v>0</v>
      </c>
      <c r="BD16" s="42">
        <v>0</v>
      </c>
      <c r="BE16">
        <f t="shared" si="51"/>
        <v>0</v>
      </c>
      <c r="BF16" s="44">
        <f t="shared" si="52"/>
        <v>0</v>
      </c>
      <c r="BG16" s="42">
        <f t="shared" si="37"/>
        <v>0</v>
      </c>
      <c r="BH16">
        <f t="shared" si="38"/>
        <v>0</v>
      </c>
      <c r="BI16" s="44">
        <f t="shared" si="39"/>
        <v>0</v>
      </c>
      <c r="BK16" s="42">
        <f t="shared" si="17"/>
        <v>0</v>
      </c>
      <c r="BL16">
        <f t="shared" si="18"/>
        <v>0</v>
      </c>
      <c r="BM16">
        <f t="shared" si="19"/>
        <v>0</v>
      </c>
      <c r="BN16" s="44">
        <f t="shared" si="40"/>
        <v>0</v>
      </c>
      <c r="BO16" s="42">
        <v>0</v>
      </c>
      <c r="BP16">
        <f t="shared" si="41"/>
        <v>0</v>
      </c>
      <c r="BQ16" s="44">
        <f t="shared" si="53"/>
        <v>0</v>
      </c>
      <c r="BR16" s="42">
        <f t="shared" si="42"/>
        <v>0</v>
      </c>
      <c r="BS16">
        <f t="shared" si="54"/>
        <v>0</v>
      </c>
      <c r="BT16" s="44">
        <f t="shared" si="55"/>
        <v>0</v>
      </c>
      <c r="BU16" s="42">
        <f t="shared" si="20"/>
        <v>1.1085125168440813E-3</v>
      </c>
      <c r="BV16">
        <f t="shared" si="21"/>
        <v>0.23625000000000002</v>
      </c>
      <c r="BW16" s="44">
        <f t="shared" si="22"/>
        <v>1.0800000000000001E-2</v>
      </c>
      <c r="BX16">
        <f t="shared" si="56"/>
        <v>9.78475208614068E-2</v>
      </c>
      <c r="BY16">
        <f t="shared" si="43"/>
        <v>4.7224404475925672</v>
      </c>
      <c r="BZ16">
        <f t="shared" si="44"/>
        <v>50.40724619300213</v>
      </c>
    </row>
    <row r="17" spans="1:78" x14ac:dyDescent="0.3">
      <c r="Q17">
        <v>10</v>
      </c>
      <c r="R17" s="42">
        <f t="shared" si="0"/>
        <v>5.333333333333333</v>
      </c>
      <c r="S17">
        <f t="shared" si="1"/>
        <v>24</v>
      </c>
      <c r="T17" s="44">
        <f t="shared" si="2"/>
        <v>0.22222222222222221</v>
      </c>
      <c r="U17" s="42">
        <f t="shared" si="3"/>
        <v>1</v>
      </c>
      <c r="V17">
        <f t="shared" si="4"/>
        <v>0.3042903097250923</v>
      </c>
      <c r="W17">
        <f t="shared" si="5"/>
        <v>0.4564354645876384</v>
      </c>
      <c r="X17">
        <f t="shared" si="23"/>
        <v>0.2392742256872693</v>
      </c>
      <c r="Y17" s="42">
        <f t="shared" si="24"/>
        <v>0.73029674334022143</v>
      </c>
      <c r="Z17">
        <f t="shared" si="6"/>
        <v>1.4605934866804431</v>
      </c>
      <c r="AA17">
        <f t="shared" si="25"/>
        <v>1.4605934866804429</v>
      </c>
      <c r="AB17" s="44">
        <f t="shared" si="7"/>
        <v>0.46517117306315803</v>
      </c>
      <c r="AC17" s="42">
        <v>0</v>
      </c>
      <c r="AD17">
        <f t="shared" si="26"/>
        <v>2.1638422024895451E-3</v>
      </c>
      <c r="AE17" s="44">
        <f t="shared" si="27"/>
        <v>2.1638422024895451E-3</v>
      </c>
      <c r="AF17" s="42">
        <f t="shared" si="8"/>
        <v>0.10666666666666666</v>
      </c>
      <c r="AG17" s="44">
        <f t="shared" si="9"/>
        <v>0.10666666666666666</v>
      </c>
      <c r="AH17" s="42">
        <f t="shared" si="10"/>
        <v>0</v>
      </c>
      <c r="AI17">
        <f t="shared" si="11"/>
        <v>0.28610561055736311</v>
      </c>
      <c r="AJ17" s="44">
        <f t="shared" si="45"/>
        <v>0.28610561055736311</v>
      </c>
      <c r="AK17" s="42">
        <f t="shared" si="12"/>
        <v>5.333333333333333</v>
      </c>
      <c r="AL17">
        <f t="shared" si="13"/>
        <v>160</v>
      </c>
      <c r="AM17" s="44">
        <f t="shared" si="28"/>
        <v>3.3333333333333333E-2</v>
      </c>
      <c r="AN17" s="42">
        <f t="shared" si="29"/>
        <v>2</v>
      </c>
      <c r="AO17">
        <f t="shared" si="30"/>
        <v>0.45643546458763845</v>
      </c>
      <c r="AP17">
        <f t="shared" si="31"/>
        <v>7.3029674334022146E-2</v>
      </c>
      <c r="AQ17">
        <f t="shared" si="32"/>
        <v>0.14605934866804429</v>
      </c>
      <c r="AR17">
        <f t="shared" si="46"/>
        <v>0.14605934866804429</v>
      </c>
      <c r="AS17" s="44">
        <f t="shared" si="47"/>
        <v>5.6971600852831206E-2</v>
      </c>
      <c r="AT17" s="42"/>
      <c r="AU17">
        <f t="shared" si="33"/>
        <v>1.3333333333333333E-5</v>
      </c>
      <c r="AV17" s="44">
        <f t="shared" si="48"/>
        <v>1.3333333333333333E-5</v>
      </c>
      <c r="AW17" s="42">
        <f t="shared" si="34"/>
        <v>4</v>
      </c>
      <c r="AX17">
        <f t="shared" si="35"/>
        <v>0.01</v>
      </c>
      <c r="AY17" s="44">
        <f t="shared" si="49"/>
        <v>4.01</v>
      </c>
      <c r="AZ17" s="42">
        <f t="shared" si="14"/>
        <v>0</v>
      </c>
      <c r="BA17">
        <f t="shared" si="15"/>
        <v>0</v>
      </c>
      <c r="BB17">
        <f t="shared" si="50"/>
        <v>0</v>
      </c>
      <c r="BC17" s="44">
        <f t="shared" si="36"/>
        <v>0</v>
      </c>
      <c r="BD17" s="42">
        <v>0</v>
      </c>
      <c r="BE17">
        <f t="shared" si="51"/>
        <v>0</v>
      </c>
      <c r="BF17" s="44">
        <f t="shared" si="52"/>
        <v>0</v>
      </c>
      <c r="BG17" s="42">
        <f t="shared" si="37"/>
        <v>0</v>
      </c>
      <c r="BH17">
        <f t="shared" si="38"/>
        <v>0</v>
      </c>
      <c r="BI17" s="44">
        <f t="shared" si="39"/>
        <v>0</v>
      </c>
      <c r="BK17" s="42">
        <f t="shared" si="17"/>
        <v>0</v>
      </c>
      <c r="BL17">
        <f t="shared" si="18"/>
        <v>0</v>
      </c>
      <c r="BM17">
        <f t="shared" si="19"/>
        <v>0</v>
      </c>
      <c r="BN17" s="44">
        <f t="shared" si="40"/>
        <v>0</v>
      </c>
      <c r="BO17" s="42">
        <v>0</v>
      </c>
      <c r="BP17">
        <f t="shared" si="41"/>
        <v>0</v>
      </c>
      <c r="BQ17" s="44">
        <f t="shared" si="53"/>
        <v>0</v>
      </c>
      <c r="BR17" s="42">
        <f t="shared" si="42"/>
        <v>0</v>
      </c>
      <c r="BS17">
        <f t="shared" si="54"/>
        <v>0</v>
      </c>
      <c r="BT17" s="44">
        <f t="shared" si="55"/>
        <v>0</v>
      </c>
      <c r="BU17" s="42">
        <f t="shared" si="20"/>
        <v>1.2983053214937271E-3</v>
      </c>
      <c r="BV17">
        <f t="shared" si="21"/>
        <v>0.23625000000000002</v>
      </c>
      <c r="BW17" s="44">
        <f t="shared" si="22"/>
        <v>1.0800000000000001E-2</v>
      </c>
      <c r="BX17">
        <f t="shared" si="56"/>
        <v>0.10883050886915621</v>
      </c>
      <c r="BY17">
        <f t="shared" si="43"/>
        <v>4.759964424748012</v>
      </c>
      <c r="BZ17">
        <f t="shared" si="44"/>
        <v>52.840344763069361</v>
      </c>
    </row>
    <row r="18" spans="1:78" x14ac:dyDescent="0.3">
      <c r="A18" t="s">
        <v>592</v>
      </c>
      <c r="B18" s="20">
        <f>VOUT3*IOUT3</f>
        <v>0</v>
      </c>
      <c r="Q18">
        <v>11</v>
      </c>
      <c r="R18" s="42">
        <f t="shared" si="0"/>
        <v>5.8666666666666663</v>
      </c>
      <c r="S18">
        <f t="shared" si="1"/>
        <v>24</v>
      </c>
      <c r="T18" s="44">
        <f t="shared" si="2"/>
        <v>0.24444444444444444</v>
      </c>
      <c r="U18" s="42">
        <f t="shared" si="3"/>
        <v>1</v>
      </c>
      <c r="V18">
        <f t="shared" si="4"/>
        <v>0.31914236925211265</v>
      </c>
      <c r="W18">
        <f t="shared" si="5"/>
        <v>0.47871355387816894</v>
      </c>
      <c r="X18">
        <f t="shared" si="23"/>
        <v>0.20214407686971836</v>
      </c>
      <c r="Y18" s="42">
        <f t="shared" si="24"/>
        <v>0.76594168620507064</v>
      </c>
      <c r="Z18">
        <f t="shared" si="6"/>
        <v>1.5318833724101406</v>
      </c>
      <c r="AA18">
        <f t="shared" si="25"/>
        <v>1.5318833724101411</v>
      </c>
      <c r="AB18" s="44">
        <f t="shared" si="7"/>
        <v>0.49964012377075223</v>
      </c>
      <c r="AC18" s="42">
        <v>0</v>
      </c>
      <c r="AD18">
        <f t="shared" si="26"/>
        <v>2.4964025328165261E-3</v>
      </c>
      <c r="AE18" s="44">
        <f t="shared" si="27"/>
        <v>2.4964025328165261E-3</v>
      </c>
      <c r="AF18" s="42">
        <f t="shared" si="8"/>
        <v>0.11733333333333333</v>
      </c>
      <c r="AG18" s="44">
        <f t="shared" si="9"/>
        <v>0.11733333333333333</v>
      </c>
      <c r="AH18" s="42">
        <f t="shared" si="10"/>
        <v>0</v>
      </c>
      <c r="AI18">
        <f t="shared" si="11"/>
        <v>0.30007009586368605</v>
      </c>
      <c r="AJ18" s="44">
        <f t="shared" si="45"/>
        <v>0.30007009586368605</v>
      </c>
      <c r="AK18" s="42">
        <f t="shared" si="12"/>
        <v>5.8666666666666663</v>
      </c>
      <c r="AL18">
        <f t="shared" si="13"/>
        <v>160</v>
      </c>
      <c r="AM18" s="44">
        <f t="shared" si="28"/>
        <v>3.6666666666666667E-2</v>
      </c>
      <c r="AN18" s="42">
        <f t="shared" si="29"/>
        <v>2</v>
      </c>
      <c r="AO18">
        <f t="shared" si="30"/>
        <v>0.47871355387816894</v>
      </c>
      <c r="AP18">
        <f t="shared" si="31"/>
        <v>7.6594168620507067E-2</v>
      </c>
      <c r="AQ18">
        <f t="shared" si="32"/>
        <v>0.15318833724101408</v>
      </c>
      <c r="AR18">
        <f t="shared" si="46"/>
        <v>0.15318833724101411</v>
      </c>
      <c r="AS18" s="44">
        <f t="shared" si="47"/>
        <v>6.1193167912968784E-2</v>
      </c>
      <c r="AT18" s="42"/>
      <c r="AU18">
        <f t="shared" si="33"/>
        <v>1.6133333333333334E-5</v>
      </c>
      <c r="AV18" s="44">
        <f t="shared" si="48"/>
        <v>1.6133333333333334E-5</v>
      </c>
      <c r="AW18" s="42">
        <f t="shared" si="34"/>
        <v>4</v>
      </c>
      <c r="AX18">
        <f t="shared" si="35"/>
        <v>1.0999999999999999E-2</v>
      </c>
      <c r="AY18" s="44">
        <f t="shared" si="49"/>
        <v>4.0110000000000001</v>
      </c>
      <c r="AZ18" s="42">
        <f t="shared" si="14"/>
        <v>0</v>
      </c>
      <c r="BA18">
        <f t="shared" si="15"/>
        <v>0</v>
      </c>
      <c r="BB18">
        <f t="shared" si="50"/>
        <v>0</v>
      </c>
      <c r="BC18" s="44">
        <f t="shared" si="36"/>
        <v>0</v>
      </c>
      <c r="BD18" s="42">
        <v>0</v>
      </c>
      <c r="BE18">
        <f t="shared" si="51"/>
        <v>0</v>
      </c>
      <c r="BF18" s="44">
        <f t="shared" si="52"/>
        <v>0</v>
      </c>
      <c r="BG18" s="42">
        <f t="shared" si="37"/>
        <v>0</v>
      </c>
      <c r="BH18">
        <f t="shared" si="38"/>
        <v>0</v>
      </c>
      <c r="BI18" s="44">
        <f t="shared" si="39"/>
        <v>0</v>
      </c>
      <c r="BK18" s="42">
        <f t="shared" si="17"/>
        <v>0</v>
      </c>
      <c r="BL18">
        <f t="shared" si="18"/>
        <v>0</v>
      </c>
      <c r="BM18">
        <f t="shared" si="19"/>
        <v>0</v>
      </c>
      <c r="BN18" s="44">
        <f t="shared" si="40"/>
        <v>0</v>
      </c>
      <c r="BO18" s="42">
        <v>0</v>
      </c>
      <c r="BP18">
        <f t="shared" si="41"/>
        <v>0</v>
      </c>
      <c r="BQ18" s="44">
        <f t="shared" si="53"/>
        <v>0</v>
      </c>
      <c r="BR18" s="42">
        <f t="shared" si="42"/>
        <v>0</v>
      </c>
      <c r="BS18">
        <f t="shared" si="54"/>
        <v>0</v>
      </c>
      <c r="BT18" s="44">
        <f t="shared" si="55"/>
        <v>0</v>
      </c>
      <c r="BU18" s="42">
        <f t="shared" si="20"/>
        <v>1.4978415196899156E-3</v>
      </c>
      <c r="BV18">
        <f t="shared" si="21"/>
        <v>0.23625000000000002</v>
      </c>
      <c r="BW18" s="44">
        <f t="shared" si="22"/>
        <v>1.0800000000000001E-2</v>
      </c>
      <c r="BX18">
        <f t="shared" si="56"/>
        <v>0.11982973586614985</v>
      </c>
      <c r="BY18">
        <f t="shared" si="43"/>
        <v>4.7967971399161931</v>
      </c>
      <c r="BZ18">
        <f t="shared" si="44"/>
        <v>55.016519707648904</v>
      </c>
    </row>
    <row r="19" spans="1:78" x14ac:dyDescent="0.3">
      <c r="A19" t="s">
        <v>595</v>
      </c>
      <c r="B19">
        <f>POUT3/O11</f>
        <v>0</v>
      </c>
      <c r="Q19">
        <v>12</v>
      </c>
      <c r="R19" s="42">
        <f t="shared" si="0"/>
        <v>6.4</v>
      </c>
      <c r="S19">
        <f t="shared" si="1"/>
        <v>24</v>
      </c>
      <c r="T19" s="44">
        <f t="shared" si="2"/>
        <v>0.26666666666666666</v>
      </c>
      <c r="U19" s="42">
        <f t="shared" si="3"/>
        <v>1</v>
      </c>
      <c r="V19">
        <f t="shared" si="4"/>
        <v>0.33333333333333331</v>
      </c>
      <c r="W19">
        <f t="shared" si="5"/>
        <v>0.5</v>
      </c>
      <c r="X19">
        <f t="shared" si="23"/>
        <v>0.16666666666666674</v>
      </c>
      <c r="Y19" s="42">
        <f t="shared" si="24"/>
        <v>0.8</v>
      </c>
      <c r="Z19">
        <f t="shared" si="6"/>
        <v>1.6</v>
      </c>
      <c r="AA19">
        <f t="shared" si="25"/>
        <v>1.6</v>
      </c>
      <c r="AB19" s="44">
        <f t="shared" si="7"/>
        <v>0.53333333333333333</v>
      </c>
      <c r="AC19" s="42">
        <v>0</v>
      </c>
      <c r="AD19">
        <f t="shared" si="26"/>
        <v>2.8444444444444446E-3</v>
      </c>
      <c r="AE19" s="44">
        <f t="shared" si="27"/>
        <v>2.8444444444444446E-3</v>
      </c>
      <c r="AF19" s="42">
        <f t="shared" si="8"/>
        <v>0.128</v>
      </c>
      <c r="AG19" s="44">
        <f t="shared" si="9"/>
        <v>0.128</v>
      </c>
      <c r="AH19" s="42">
        <f t="shared" si="10"/>
        <v>0</v>
      </c>
      <c r="AI19">
        <f t="shared" si="11"/>
        <v>0.31341299346211199</v>
      </c>
      <c r="AJ19" s="44">
        <f t="shared" si="45"/>
        <v>0.31341299346211199</v>
      </c>
      <c r="AK19" s="42">
        <f t="shared" si="12"/>
        <v>6.4</v>
      </c>
      <c r="AL19">
        <f t="shared" si="13"/>
        <v>160</v>
      </c>
      <c r="AM19" s="44">
        <f t="shared" si="28"/>
        <v>0.04</v>
      </c>
      <c r="AN19" s="42">
        <f t="shared" si="29"/>
        <v>2</v>
      </c>
      <c r="AO19">
        <f t="shared" si="30"/>
        <v>0.49999999999999989</v>
      </c>
      <c r="AP19">
        <f t="shared" si="31"/>
        <v>8.0000000000000016E-2</v>
      </c>
      <c r="AQ19">
        <f t="shared" si="32"/>
        <v>0.15999999999999998</v>
      </c>
      <c r="AR19">
        <f t="shared" si="46"/>
        <v>0.16</v>
      </c>
      <c r="AS19" s="44">
        <f t="shared" si="47"/>
        <v>6.531972647421809E-2</v>
      </c>
      <c r="AT19" s="42"/>
      <c r="AU19">
        <f t="shared" si="33"/>
        <v>1.9200000000000003E-5</v>
      </c>
      <c r="AV19" s="44">
        <f t="shared" si="48"/>
        <v>1.9200000000000003E-5</v>
      </c>
      <c r="AW19" s="42">
        <f t="shared" si="34"/>
        <v>4</v>
      </c>
      <c r="AX19">
        <f t="shared" si="35"/>
        <v>1.2E-2</v>
      </c>
      <c r="AY19" s="44">
        <f t="shared" si="49"/>
        <v>4.0119999999999996</v>
      </c>
      <c r="AZ19" s="42">
        <f t="shared" si="14"/>
        <v>0</v>
      </c>
      <c r="BA19">
        <f t="shared" si="15"/>
        <v>0</v>
      </c>
      <c r="BB19">
        <f t="shared" si="50"/>
        <v>0</v>
      </c>
      <c r="BC19" s="44">
        <f t="shared" si="36"/>
        <v>0</v>
      </c>
      <c r="BD19" s="42">
        <v>0</v>
      </c>
      <c r="BE19">
        <f t="shared" si="51"/>
        <v>0</v>
      </c>
      <c r="BF19" s="44">
        <f t="shared" si="52"/>
        <v>0</v>
      </c>
      <c r="BG19" s="42">
        <f t="shared" si="37"/>
        <v>0</v>
      </c>
      <c r="BH19">
        <f t="shared" si="38"/>
        <v>0</v>
      </c>
      <c r="BI19" s="44">
        <f t="shared" si="39"/>
        <v>0</v>
      </c>
      <c r="BK19" s="42">
        <f t="shared" si="17"/>
        <v>0</v>
      </c>
      <c r="BL19">
        <f t="shared" si="18"/>
        <v>0</v>
      </c>
      <c r="BM19">
        <f t="shared" si="19"/>
        <v>0</v>
      </c>
      <c r="BN19" s="44">
        <f t="shared" si="40"/>
        <v>0</v>
      </c>
      <c r="BO19" s="42">
        <v>0</v>
      </c>
      <c r="BP19">
        <f t="shared" si="41"/>
        <v>0</v>
      </c>
      <c r="BQ19" s="44">
        <f t="shared" si="53"/>
        <v>0</v>
      </c>
      <c r="BR19" s="42">
        <f t="shared" si="42"/>
        <v>0</v>
      </c>
      <c r="BS19">
        <f t="shared" si="54"/>
        <v>0</v>
      </c>
      <c r="BT19" s="44">
        <f t="shared" si="55"/>
        <v>0</v>
      </c>
      <c r="BU19" s="42">
        <f t="shared" si="20"/>
        <v>1.7066666666666667E-3</v>
      </c>
      <c r="BV19">
        <f t="shared" si="21"/>
        <v>0.23625000000000002</v>
      </c>
      <c r="BW19" s="44">
        <f t="shared" si="22"/>
        <v>1.0800000000000001E-2</v>
      </c>
      <c r="BX19">
        <f t="shared" si="56"/>
        <v>0.13084444444444446</v>
      </c>
      <c r="BY19">
        <f t="shared" si="43"/>
        <v>4.833033304573223</v>
      </c>
      <c r="BZ19">
        <f t="shared" si="44"/>
        <v>56.974815497025318</v>
      </c>
    </row>
    <row r="20" spans="1:78" x14ac:dyDescent="0.3">
      <c r="Q20">
        <v>13</v>
      </c>
      <c r="R20" s="42">
        <f t="shared" si="0"/>
        <v>6.9333333333333336</v>
      </c>
      <c r="S20">
        <f t="shared" si="1"/>
        <v>24</v>
      </c>
      <c r="T20" s="44">
        <f t="shared" si="2"/>
        <v>0.28888888888888892</v>
      </c>
      <c r="U20" s="42">
        <f t="shared" si="3"/>
        <v>1</v>
      </c>
      <c r="V20">
        <f t="shared" si="4"/>
        <v>0.34694433324435547</v>
      </c>
      <c r="W20">
        <f t="shared" si="5"/>
        <v>0.52041649986653327</v>
      </c>
      <c r="X20">
        <f t="shared" si="23"/>
        <v>0.13263916688911126</v>
      </c>
      <c r="Y20" s="42">
        <f t="shared" si="24"/>
        <v>0.83266639978645296</v>
      </c>
      <c r="Z20">
        <f t="shared" si="6"/>
        <v>1.6653327995729064</v>
      </c>
      <c r="AA20">
        <f t="shared" si="25"/>
        <v>1.6653327995729061</v>
      </c>
      <c r="AB20" s="44">
        <f t="shared" si="7"/>
        <v>0.56633096454213627</v>
      </c>
      <c r="AC20" s="42">
        <v>0</v>
      </c>
      <c r="AD20">
        <f t="shared" si="26"/>
        <v>3.2073076139922641E-3</v>
      </c>
      <c r="AE20" s="44">
        <f t="shared" si="27"/>
        <v>3.2073076139922641E-3</v>
      </c>
      <c r="AF20" s="42">
        <f t="shared" si="8"/>
        <v>0.13866666666666669</v>
      </c>
      <c r="AG20" s="44">
        <f t="shared" si="9"/>
        <v>0.13866666666666669</v>
      </c>
      <c r="AH20" s="42">
        <f t="shared" si="10"/>
        <v>0</v>
      </c>
      <c r="AI20">
        <f t="shared" si="11"/>
        <v>0.32621058614048987</v>
      </c>
      <c r="AJ20" s="44">
        <f t="shared" si="45"/>
        <v>0.32621058614048987</v>
      </c>
      <c r="AK20" s="42">
        <f t="shared" si="12"/>
        <v>6.9333333333333336</v>
      </c>
      <c r="AL20">
        <f t="shared" si="13"/>
        <v>160</v>
      </c>
      <c r="AM20" s="44">
        <f t="shared" si="28"/>
        <v>4.3333333333333335E-2</v>
      </c>
      <c r="AN20" s="42">
        <f t="shared" si="29"/>
        <v>2</v>
      </c>
      <c r="AO20">
        <f t="shared" si="30"/>
        <v>0.52041649986653338</v>
      </c>
      <c r="AP20">
        <f t="shared" si="31"/>
        <v>8.3266639978645279E-2</v>
      </c>
      <c r="AQ20">
        <f t="shared" si="32"/>
        <v>0.1665332799572907</v>
      </c>
      <c r="AR20">
        <f t="shared" si="46"/>
        <v>0.16653327995729061</v>
      </c>
      <c r="AS20" s="44">
        <f t="shared" si="47"/>
        <v>6.9361094433323306E-2</v>
      </c>
      <c r="AT20" s="42"/>
      <c r="AU20">
        <f t="shared" si="33"/>
        <v>2.2533333333333337E-5</v>
      </c>
      <c r="AV20" s="44">
        <f t="shared" si="48"/>
        <v>2.2533333333333337E-5</v>
      </c>
      <c r="AW20" s="42">
        <f t="shared" si="34"/>
        <v>4</v>
      </c>
      <c r="AX20">
        <f t="shared" si="35"/>
        <v>1.2999999999999999E-2</v>
      </c>
      <c r="AY20" s="44">
        <f t="shared" si="49"/>
        <v>4.0129999999999999</v>
      </c>
      <c r="AZ20" s="42">
        <f t="shared" si="14"/>
        <v>0</v>
      </c>
      <c r="BA20">
        <f t="shared" si="15"/>
        <v>0</v>
      </c>
      <c r="BB20">
        <f t="shared" si="50"/>
        <v>0</v>
      </c>
      <c r="BC20" s="44">
        <f t="shared" si="36"/>
        <v>0</v>
      </c>
      <c r="BD20" s="42">
        <v>0</v>
      </c>
      <c r="BE20">
        <f t="shared" si="51"/>
        <v>0</v>
      </c>
      <c r="BF20" s="44">
        <f t="shared" si="52"/>
        <v>0</v>
      </c>
      <c r="BG20" s="42">
        <f t="shared" si="37"/>
        <v>0</v>
      </c>
      <c r="BH20">
        <f t="shared" si="38"/>
        <v>0</v>
      </c>
      <c r="BI20" s="44">
        <f t="shared" si="39"/>
        <v>0</v>
      </c>
      <c r="BK20" s="42">
        <f t="shared" si="17"/>
        <v>0</v>
      </c>
      <c r="BL20">
        <f t="shared" si="18"/>
        <v>0</v>
      </c>
      <c r="BM20">
        <f t="shared" si="19"/>
        <v>0</v>
      </c>
      <c r="BN20" s="44">
        <f t="shared" si="40"/>
        <v>0</v>
      </c>
      <c r="BO20" s="42">
        <v>0</v>
      </c>
      <c r="BP20">
        <f t="shared" si="41"/>
        <v>0</v>
      </c>
      <c r="BQ20" s="44">
        <f t="shared" si="53"/>
        <v>0</v>
      </c>
      <c r="BR20" s="42">
        <f t="shared" si="42"/>
        <v>0</v>
      </c>
      <c r="BS20">
        <f t="shared" si="54"/>
        <v>0</v>
      </c>
      <c r="BT20" s="44">
        <f t="shared" si="55"/>
        <v>0</v>
      </c>
      <c r="BU20" s="42">
        <f t="shared" si="20"/>
        <v>1.9243845683953585E-3</v>
      </c>
      <c r="BV20">
        <f t="shared" si="21"/>
        <v>0.23625000000000002</v>
      </c>
      <c r="BW20" s="44">
        <f t="shared" si="22"/>
        <v>1.0800000000000001E-2</v>
      </c>
      <c r="BX20">
        <f t="shared" si="56"/>
        <v>0.14187397428065895</v>
      </c>
      <c r="BY20">
        <f t="shared" si="43"/>
        <v>4.868748144989544</v>
      </c>
      <c r="BZ20">
        <f t="shared" si="44"/>
        <v>58.746699436603002</v>
      </c>
    </row>
    <row r="21" spans="1:78" x14ac:dyDescent="0.3">
      <c r="Q21">
        <v>14</v>
      </c>
      <c r="R21" s="42">
        <f t="shared" si="0"/>
        <v>7.4666666666666668</v>
      </c>
      <c r="S21">
        <f t="shared" si="1"/>
        <v>24</v>
      </c>
      <c r="T21" s="44">
        <f t="shared" si="2"/>
        <v>0.31111111111111112</v>
      </c>
      <c r="U21" s="42">
        <f t="shared" si="3"/>
        <v>1</v>
      </c>
      <c r="V21">
        <f t="shared" si="4"/>
        <v>0.36004114991154779</v>
      </c>
      <c r="W21">
        <f t="shared" si="5"/>
        <v>0.54006172486732162</v>
      </c>
      <c r="X21">
        <f t="shared" si="23"/>
        <v>9.9897125221130589E-2</v>
      </c>
      <c r="Y21" s="42">
        <f t="shared" si="24"/>
        <v>0.86409875978771478</v>
      </c>
      <c r="Z21">
        <f t="shared" si="6"/>
        <v>1.7281975195754291</v>
      </c>
      <c r="AA21">
        <f t="shared" si="25"/>
        <v>1.7281975195754293</v>
      </c>
      <c r="AB21" s="44">
        <f t="shared" si="7"/>
        <v>0.59869939621069601</v>
      </c>
      <c r="AC21" s="42">
        <v>0</v>
      </c>
      <c r="AD21">
        <f t="shared" si="26"/>
        <v>3.5844096702305197E-3</v>
      </c>
      <c r="AE21" s="44">
        <f t="shared" si="27"/>
        <v>3.5844096702305197E-3</v>
      </c>
      <c r="AF21" s="42">
        <f t="shared" si="8"/>
        <v>0.14933333333333335</v>
      </c>
      <c r="AG21" s="44">
        <f t="shared" si="9"/>
        <v>0.14933333333333335</v>
      </c>
      <c r="AH21" s="42">
        <f t="shared" si="10"/>
        <v>0</v>
      </c>
      <c r="AI21">
        <f t="shared" si="11"/>
        <v>0.33852472368995773</v>
      </c>
      <c r="AJ21" s="44">
        <f t="shared" si="45"/>
        <v>0.33852472368995773</v>
      </c>
      <c r="AK21" s="42">
        <f t="shared" si="12"/>
        <v>7.4666666666666668</v>
      </c>
      <c r="AL21">
        <f t="shared" si="13"/>
        <v>160</v>
      </c>
      <c r="AM21" s="44">
        <f t="shared" si="28"/>
        <v>4.6666666666666669E-2</v>
      </c>
      <c r="AN21" s="42">
        <f t="shared" si="29"/>
        <v>2</v>
      </c>
      <c r="AO21">
        <f t="shared" si="30"/>
        <v>0.54006172486732162</v>
      </c>
      <c r="AP21">
        <f t="shared" si="31"/>
        <v>8.6409875978771478E-2</v>
      </c>
      <c r="AQ21">
        <f t="shared" si="32"/>
        <v>0.1728197519575429</v>
      </c>
      <c r="AR21">
        <f t="shared" si="46"/>
        <v>0.17281975195754293</v>
      </c>
      <c r="AS21" s="44">
        <f t="shared" si="47"/>
        <v>7.3325401501429105E-2</v>
      </c>
      <c r="AT21" s="42"/>
      <c r="AU21">
        <f t="shared" si="33"/>
        <v>2.6133333333333336E-5</v>
      </c>
      <c r="AV21" s="44">
        <f t="shared" si="48"/>
        <v>2.6133333333333336E-5</v>
      </c>
      <c r="AW21" s="42">
        <f t="shared" si="34"/>
        <v>4</v>
      </c>
      <c r="AX21">
        <f t="shared" si="35"/>
        <v>1.4E-2</v>
      </c>
      <c r="AY21" s="44">
        <f t="shared" si="49"/>
        <v>4.0140000000000002</v>
      </c>
      <c r="AZ21" s="42">
        <f t="shared" si="14"/>
        <v>0</v>
      </c>
      <c r="BA21">
        <f t="shared" si="15"/>
        <v>0</v>
      </c>
      <c r="BB21">
        <f t="shared" si="50"/>
        <v>0</v>
      </c>
      <c r="BC21" s="44">
        <f t="shared" si="36"/>
        <v>0</v>
      </c>
      <c r="BD21" s="42">
        <v>0</v>
      </c>
      <c r="BE21">
        <f t="shared" si="51"/>
        <v>0</v>
      </c>
      <c r="BF21" s="44">
        <f t="shared" si="52"/>
        <v>0</v>
      </c>
      <c r="BG21" s="42">
        <f t="shared" si="37"/>
        <v>0</v>
      </c>
      <c r="BH21">
        <f t="shared" si="38"/>
        <v>0</v>
      </c>
      <c r="BI21" s="44">
        <f t="shared" si="39"/>
        <v>0</v>
      </c>
      <c r="BK21" s="42">
        <f t="shared" si="17"/>
        <v>0</v>
      </c>
      <c r="BL21">
        <f t="shared" si="18"/>
        <v>0</v>
      </c>
      <c r="BM21">
        <f t="shared" si="19"/>
        <v>0</v>
      </c>
      <c r="BN21" s="44">
        <f t="shared" si="40"/>
        <v>0</v>
      </c>
      <c r="BO21" s="42">
        <v>0</v>
      </c>
      <c r="BP21">
        <f t="shared" si="41"/>
        <v>0</v>
      </c>
      <c r="BQ21" s="44">
        <f t="shared" si="53"/>
        <v>0</v>
      </c>
      <c r="BR21" s="42">
        <f t="shared" si="42"/>
        <v>0</v>
      </c>
      <c r="BS21">
        <f t="shared" si="54"/>
        <v>0</v>
      </c>
      <c r="BT21" s="44">
        <f t="shared" si="55"/>
        <v>0</v>
      </c>
      <c r="BU21" s="42">
        <f t="shared" si="20"/>
        <v>2.1506458021383116E-3</v>
      </c>
      <c r="BV21">
        <f t="shared" si="21"/>
        <v>0.23625000000000002</v>
      </c>
      <c r="BW21" s="44">
        <f t="shared" si="22"/>
        <v>1.0800000000000001E-2</v>
      </c>
      <c r="BX21">
        <f t="shared" si="56"/>
        <v>0.15291774300356387</v>
      </c>
      <c r="BY21">
        <f t="shared" si="43"/>
        <v>4.9040025791623263</v>
      </c>
      <c r="BZ21">
        <f t="shared" si="44"/>
        <v>60.357823156448845</v>
      </c>
    </row>
    <row r="22" spans="1:78" x14ac:dyDescent="0.3">
      <c r="Q22">
        <v>15</v>
      </c>
      <c r="R22" s="42">
        <f t="shared" si="0"/>
        <v>8</v>
      </c>
      <c r="S22">
        <f t="shared" si="1"/>
        <v>24</v>
      </c>
      <c r="T22" s="44">
        <f t="shared" si="2"/>
        <v>0.33333333333333331</v>
      </c>
      <c r="U22" s="42">
        <f t="shared" si="3"/>
        <v>1</v>
      </c>
      <c r="V22">
        <f t="shared" si="4"/>
        <v>0.37267799624996495</v>
      </c>
      <c r="W22">
        <f t="shared" si="5"/>
        <v>0.55901699437494745</v>
      </c>
      <c r="X22">
        <f t="shared" si="23"/>
        <v>6.8305009375087655E-2</v>
      </c>
      <c r="Y22" s="42">
        <f t="shared" si="24"/>
        <v>0.89442719099991586</v>
      </c>
      <c r="Z22">
        <f t="shared" si="6"/>
        <v>1.7888543819998319</v>
      </c>
      <c r="AA22">
        <f t="shared" si="25"/>
        <v>1.7888543819998319</v>
      </c>
      <c r="AB22" s="44">
        <f t="shared" si="7"/>
        <v>0.63049440600211726</v>
      </c>
      <c r="AC22" s="42">
        <v>0</v>
      </c>
      <c r="AD22">
        <f t="shared" si="26"/>
        <v>3.9752319599996267E-3</v>
      </c>
      <c r="AE22" s="44">
        <f t="shared" si="27"/>
        <v>3.9752319599996267E-3</v>
      </c>
      <c r="AF22" s="42">
        <f t="shared" si="8"/>
        <v>0.16</v>
      </c>
      <c r="AG22" s="44">
        <f t="shared" si="9"/>
        <v>0.16</v>
      </c>
      <c r="AH22" s="42">
        <f t="shared" si="10"/>
        <v>0</v>
      </c>
      <c r="AI22">
        <f t="shared" si="11"/>
        <v>0.35040637920648987</v>
      </c>
      <c r="AJ22" s="44">
        <f t="shared" si="45"/>
        <v>0.35040637920648987</v>
      </c>
      <c r="AK22" s="42">
        <f t="shared" si="12"/>
        <v>8</v>
      </c>
      <c r="AL22">
        <f t="shared" si="13"/>
        <v>160</v>
      </c>
      <c r="AM22" s="44">
        <f t="shared" si="28"/>
        <v>0.05</v>
      </c>
      <c r="AN22" s="42">
        <f t="shared" si="29"/>
        <v>2</v>
      </c>
      <c r="AO22">
        <f t="shared" si="30"/>
        <v>0.55901699437494745</v>
      </c>
      <c r="AP22">
        <f t="shared" si="31"/>
        <v>8.9442719099991588E-2</v>
      </c>
      <c r="AQ22">
        <f t="shared" si="32"/>
        <v>0.17888543819998318</v>
      </c>
      <c r="AR22">
        <f t="shared" si="46"/>
        <v>0.17888543819998318</v>
      </c>
      <c r="AS22" s="44">
        <f t="shared" si="47"/>
        <v>7.7219479019217926E-2</v>
      </c>
      <c r="AT22" s="42"/>
      <c r="AU22">
        <f t="shared" si="33"/>
        <v>3.0000000000000008E-5</v>
      </c>
      <c r="AV22" s="44">
        <f t="shared" si="48"/>
        <v>3.0000000000000008E-5</v>
      </c>
      <c r="AW22" s="42">
        <f t="shared" si="34"/>
        <v>4</v>
      </c>
      <c r="AX22">
        <f t="shared" si="35"/>
        <v>1.4999999999999999E-2</v>
      </c>
      <c r="AY22" s="44">
        <f t="shared" si="49"/>
        <v>4.0149999999999997</v>
      </c>
      <c r="AZ22" s="42">
        <f t="shared" si="14"/>
        <v>0</v>
      </c>
      <c r="BA22">
        <f t="shared" si="15"/>
        <v>0</v>
      </c>
      <c r="BB22">
        <f t="shared" si="50"/>
        <v>0</v>
      </c>
      <c r="BC22" s="44">
        <f t="shared" si="36"/>
        <v>0</v>
      </c>
      <c r="BD22" s="42">
        <v>0</v>
      </c>
      <c r="BE22">
        <f t="shared" si="51"/>
        <v>0</v>
      </c>
      <c r="BF22" s="44">
        <f t="shared" si="52"/>
        <v>0</v>
      </c>
      <c r="BG22" s="42">
        <f t="shared" si="37"/>
        <v>0</v>
      </c>
      <c r="BH22">
        <f t="shared" si="38"/>
        <v>0</v>
      </c>
      <c r="BI22" s="44">
        <f t="shared" si="39"/>
        <v>0</v>
      </c>
      <c r="BK22" s="42">
        <f t="shared" si="17"/>
        <v>0</v>
      </c>
      <c r="BL22">
        <f t="shared" si="18"/>
        <v>0</v>
      </c>
      <c r="BM22">
        <f t="shared" si="19"/>
        <v>0</v>
      </c>
      <c r="BN22" s="44">
        <f t="shared" si="40"/>
        <v>0</v>
      </c>
      <c r="BO22" s="42">
        <v>0</v>
      </c>
      <c r="BP22">
        <f t="shared" si="41"/>
        <v>0</v>
      </c>
      <c r="BQ22" s="44">
        <f t="shared" si="53"/>
        <v>0</v>
      </c>
      <c r="BR22" s="42">
        <f t="shared" si="42"/>
        <v>0</v>
      </c>
      <c r="BS22">
        <f t="shared" si="54"/>
        <v>0</v>
      </c>
      <c r="BT22" s="44">
        <f t="shared" si="55"/>
        <v>0</v>
      </c>
      <c r="BU22" s="42">
        <f t="shared" si="20"/>
        <v>2.385139175999776E-3</v>
      </c>
      <c r="BV22">
        <f t="shared" si="21"/>
        <v>0.23625000000000002</v>
      </c>
      <c r="BW22" s="44">
        <f t="shared" si="22"/>
        <v>1.0800000000000001E-2</v>
      </c>
      <c r="BX22">
        <f t="shared" si="56"/>
        <v>0.16397523195999963</v>
      </c>
      <c r="BY22">
        <f t="shared" si="43"/>
        <v>4.9388467503424884</v>
      </c>
      <c r="BZ22">
        <f t="shared" si="44"/>
        <v>61.829312568280024</v>
      </c>
    </row>
    <row r="23" spans="1:78" x14ac:dyDescent="0.3">
      <c r="Q23">
        <v>16</v>
      </c>
      <c r="R23" s="42">
        <f t="shared" si="0"/>
        <v>8.5333333333333332</v>
      </c>
      <c r="S23">
        <f t="shared" si="1"/>
        <v>24</v>
      </c>
      <c r="T23" s="44">
        <f t="shared" si="2"/>
        <v>0.35555555555555557</v>
      </c>
      <c r="U23" s="42">
        <f t="shared" si="3"/>
        <v>1</v>
      </c>
      <c r="V23">
        <f t="shared" si="4"/>
        <v>0.38490017945975052</v>
      </c>
      <c r="W23">
        <f t="shared" si="5"/>
        <v>0.57735026918962584</v>
      </c>
      <c r="X23">
        <f t="shared" si="23"/>
        <v>3.7749551350623634E-2</v>
      </c>
      <c r="Y23" s="42">
        <f t="shared" si="24"/>
        <v>0.9237604307034013</v>
      </c>
      <c r="Z23">
        <f t="shared" si="6"/>
        <v>1.8475208614068024</v>
      </c>
      <c r="AA23">
        <f t="shared" si="25"/>
        <v>1.8475208614068026</v>
      </c>
      <c r="AB23" s="44">
        <f t="shared" si="7"/>
        <v>0.66176345536149317</v>
      </c>
      <c r="AC23" s="42">
        <v>0</v>
      </c>
      <c r="AD23">
        <f t="shared" si="26"/>
        <v>4.3793087085198298E-3</v>
      </c>
      <c r="AE23" s="44">
        <f t="shared" si="27"/>
        <v>4.3793087085198298E-3</v>
      </c>
      <c r="AF23" s="42">
        <f t="shared" si="8"/>
        <v>0.17066666666666666</v>
      </c>
      <c r="AG23" s="44">
        <f t="shared" si="9"/>
        <v>0.17066666666666666</v>
      </c>
      <c r="AH23" s="42">
        <f t="shared" si="10"/>
        <v>0</v>
      </c>
      <c r="AI23">
        <f t="shared" si="11"/>
        <v>0.36189815228575362</v>
      </c>
      <c r="AJ23" s="44">
        <f t="shared" si="45"/>
        <v>0.36189815228575362</v>
      </c>
      <c r="AK23" s="42">
        <f t="shared" si="12"/>
        <v>8.5333333333333332</v>
      </c>
      <c r="AL23">
        <f t="shared" si="13"/>
        <v>160</v>
      </c>
      <c r="AM23" s="44">
        <f t="shared" si="28"/>
        <v>5.333333333333333E-2</v>
      </c>
      <c r="AN23" s="42">
        <f t="shared" si="29"/>
        <v>2</v>
      </c>
      <c r="AO23">
        <f t="shared" si="30"/>
        <v>0.57735026918962573</v>
      </c>
      <c r="AP23">
        <f t="shared" si="31"/>
        <v>9.2376043070340128E-2</v>
      </c>
      <c r="AQ23">
        <f t="shared" si="32"/>
        <v>0.18475208614068023</v>
      </c>
      <c r="AR23">
        <f t="shared" si="46"/>
        <v>0.18475208614068023</v>
      </c>
      <c r="AS23" s="44">
        <f t="shared" si="47"/>
        <v>8.104913980283654E-2</v>
      </c>
      <c r="AT23" s="42"/>
      <c r="AU23">
        <f t="shared" si="33"/>
        <v>3.4133333333333327E-5</v>
      </c>
      <c r="AV23" s="44">
        <f t="shared" si="48"/>
        <v>3.4133333333333327E-5</v>
      </c>
      <c r="AW23" s="42">
        <f t="shared" si="34"/>
        <v>4</v>
      </c>
      <c r="AX23">
        <f t="shared" si="35"/>
        <v>1.5999999999999997E-2</v>
      </c>
      <c r="AY23" s="44">
        <f t="shared" si="49"/>
        <v>4.016</v>
      </c>
      <c r="AZ23" s="42">
        <f t="shared" si="14"/>
        <v>0</v>
      </c>
      <c r="BA23">
        <f t="shared" si="15"/>
        <v>0</v>
      </c>
      <c r="BB23">
        <f t="shared" si="50"/>
        <v>0</v>
      </c>
      <c r="BC23" s="44">
        <f t="shared" si="36"/>
        <v>0</v>
      </c>
      <c r="BD23" s="42">
        <v>0</v>
      </c>
      <c r="BE23">
        <f t="shared" si="51"/>
        <v>0</v>
      </c>
      <c r="BF23" s="44">
        <f t="shared" si="52"/>
        <v>0</v>
      </c>
      <c r="BG23" s="42">
        <f t="shared" si="37"/>
        <v>0</v>
      </c>
      <c r="BH23">
        <f t="shared" si="38"/>
        <v>0</v>
      </c>
      <c r="BI23" s="44">
        <f t="shared" si="39"/>
        <v>0</v>
      </c>
      <c r="BK23" s="42">
        <f t="shared" si="17"/>
        <v>0</v>
      </c>
      <c r="BL23">
        <f t="shared" si="18"/>
        <v>0</v>
      </c>
      <c r="BM23">
        <f t="shared" si="19"/>
        <v>0</v>
      </c>
      <c r="BN23" s="44">
        <f t="shared" si="40"/>
        <v>0</v>
      </c>
      <c r="BO23" s="42">
        <v>0</v>
      </c>
      <c r="BP23">
        <f t="shared" si="41"/>
        <v>0</v>
      </c>
      <c r="BQ23" s="44">
        <f t="shared" si="53"/>
        <v>0</v>
      </c>
      <c r="BR23" s="42">
        <f t="shared" si="42"/>
        <v>0</v>
      </c>
      <c r="BS23">
        <f t="shared" si="54"/>
        <v>0</v>
      </c>
      <c r="BT23" s="44">
        <f t="shared" si="55"/>
        <v>0</v>
      </c>
      <c r="BU23" s="42">
        <f t="shared" si="20"/>
        <v>2.6275852251118979E-3</v>
      </c>
      <c r="BV23">
        <f t="shared" si="21"/>
        <v>0.23625000000000002</v>
      </c>
      <c r="BW23" s="44">
        <f t="shared" si="22"/>
        <v>1.0800000000000001E-2</v>
      </c>
      <c r="BX23">
        <f t="shared" si="56"/>
        <v>0.17504597537518649</v>
      </c>
      <c r="BY23">
        <f t="shared" si="43"/>
        <v>4.9733225128860523</v>
      </c>
      <c r="BZ23">
        <f t="shared" si="44"/>
        <v>63.178727810125388</v>
      </c>
    </row>
    <row r="24" spans="1:78" x14ac:dyDescent="0.3">
      <c r="Q24">
        <v>17</v>
      </c>
      <c r="R24" s="42">
        <f t="shared" si="0"/>
        <v>9.0666666666666664</v>
      </c>
      <c r="S24">
        <f t="shared" si="1"/>
        <v>24</v>
      </c>
      <c r="T24" s="44">
        <f t="shared" si="2"/>
        <v>0.37777777777777777</v>
      </c>
      <c r="U24" s="42">
        <f t="shared" si="3"/>
        <v>1</v>
      </c>
      <c r="V24">
        <f t="shared" si="4"/>
        <v>0.39674602380793611</v>
      </c>
      <c r="W24">
        <f t="shared" si="5"/>
        <v>0.59511903571190417</v>
      </c>
      <c r="X24">
        <f t="shared" si="23"/>
        <v>8.1349404801597247E-3</v>
      </c>
      <c r="Y24" s="42">
        <f t="shared" si="24"/>
        <v>0.9521904571390466</v>
      </c>
      <c r="Z24">
        <f t="shared" si="6"/>
        <v>1.9043809142780934</v>
      </c>
      <c r="AA24">
        <f t="shared" si="25"/>
        <v>1.9043809142780934</v>
      </c>
      <c r="AB24" s="44">
        <f t="shared" si="7"/>
        <v>0.69254737014319856</v>
      </c>
      <c r="AC24" s="42">
        <v>0</v>
      </c>
      <c r="AD24">
        <f t="shared" si="26"/>
        <v>4.7962185989226047E-3</v>
      </c>
      <c r="AE24" s="44">
        <f t="shared" si="27"/>
        <v>4.7962185989226047E-3</v>
      </c>
      <c r="AF24" s="42">
        <f t="shared" si="8"/>
        <v>0.18133333333333332</v>
      </c>
      <c r="AG24" s="44">
        <f t="shared" si="9"/>
        <v>0.18133333333333332</v>
      </c>
      <c r="AH24" s="42">
        <f t="shared" si="10"/>
        <v>0</v>
      </c>
      <c r="AI24">
        <f t="shared" si="11"/>
        <v>0.37303607689750684</v>
      </c>
      <c r="AJ24" s="44">
        <f t="shared" si="45"/>
        <v>0.37303607689750684</v>
      </c>
      <c r="AK24" s="42">
        <f t="shared" si="12"/>
        <v>9.0666666666666664</v>
      </c>
      <c r="AL24">
        <f t="shared" si="13"/>
        <v>160</v>
      </c>
      <c r="AM24" s="44">
        <f t="shared" si="28"/>
        <v>5.6666666666666664E-2</v>
      </c>
      <c r="AN24" s="42">
        <f t="shared" si="29"/>
        <v>2</v>
      </c>
      <c r="AO24">
        <f t="shared" si="30"/>
        <v>0.59511903571190417</v>
      </c>
      <c r="AP24">
        <f t="shared" si="31"/>
        <v>9.521904571390466E-2</v>
      </c>
      <c r="AQ24">
        <f t="shared" si="32"/>
        <v>0.19043809142780932</v>
      </c>
      <c r="AR24">
        <f t="shared" si="46"/>
        <v>0.19043809142780932</v>
      </c>
      <c r="AS24" s="44">
        <f t="shared" si="47"/>
        <v>8.4819383977861484E-2</v>
      </c>
      <c r="AT24" s="42"/>
      <c r="AU24">
        <f t="shared" si="33"/>
        <v>3.8533333333333333E-5</v>
      </c>
      <c r="AV24" s="44">
        <f t="shared" si="48"/>
        <v>3.8533333333333333E-5</v>
      </c>
      <c r="AW24" s="42">
        <f t="shared" si="34"/>
        <v>4</v>
      </c>
      <c r="AX24">
        <f t="shared" si="35"/>
        <v>1.6999999999999998E-2</v>
      </c>
      <c r="AY24" s="44">
        <f t="shared" si="49"/>
        <v>4.0170000000000003</v>
      </c>
      <c r="AZ24" s="42">
        <f t="shared" si="14"/>
        <v>0</v>
      </c>
      <c r="BA24">
        <f t="shared" si="15"/>
        <v>0</v>
      </c>
      <c r="BB24">
        <f t="shared" si="50"/>
        <v>0</v>
      </c>
      <c r="BC24" s="44">
        <f t="shared" si="36"/>
        <v>0</v>
      </c>
      <c r="BD24" s="42">
        <v>0</v>
      </c>
      <c r="BE24">
        <f t="shared" si="51"/>
        <v>0</v>
      </c>
      <c r="BF24" s="44">
        <f t="shared" si="52"/>
        <v>0</v>
      </c>
      <c r="BG24" s="42">
        <f t="shared" si="37"/>
        <v>0</v>
      </c>
      <c r="BH24">
        <f t="shared" si="38"/>
        <v>0</v>
      </c>
      <c r="BI24" s="44">
        <f t="shared" si="39"/>
        <v>0</v>
      </c>
      <c r="BK24" s="42">
        <f t="shared" si="17"/>
        <v>0</v>
      </c>
      <c r="BL24">
        <f t="shared" si="18"/>
        <v>0</v>
      </c>
      <c r="BM24">
        <f t="shared" si="19"/>
        <v>0</v>
      </c>
      <c r="BN24" s="44">
        <f t="shared" si="40"/>
        <v>0</v>
      </c>
      <c r="BO24" s="42">
        <v>0</v>
      </c>
      <c r="BP24">
        <f t="shared" si="41"/>
        <v>0</v>
      </c>
      <c r="BQ24" s="44">
        <f t="shared" si="53"/>
        <v>0</v>
      </c>
      <c r="BR24" s="42">
        <f t="shared" si="42"/>
        <v>0</v>
      </c>
      <c r="BS24">
        <f t="shared" si="54"/>
        <v>0</v>
      </c>
      <c r="BT24" s="44">
        <f t="shared" si="55"/>
        <v>0</v>
      </c>
      <c r="BU24" s="42">
        <f t="shared" si="20"/>
        <v>2.877731159353563E-3</v>
      </c>
      <c r="BV24">
        <f t="shared" si="21"/>
        <v>0.23625000000000002</v>
      </c>
      <c r="BW24" s="44">
        <f t="shared" si="22"/>
        <v>1.0800000000000001E-2</v>
      </c>
      <c r="BX24">
        <f t="shared" si="56"/>
        <v>0.18612955193225592</v>
      </c>
      <c r="BY24">
        <f t="shared" si="43"/>
        <v>5.0074652266557829</v>
      </c>
      <c r="BZ24">
        <f t="shared" si="44"/>
        <v>64.420787977469487</v>
      </c>
    </row>
    <row r="25" spans="1:78" s="174" customFormat="1" x14ac:dyDescent="0.3">
      <c r="Q25" s="174">
        <v>18</v>
      </c>
      <c r="R25" s="42">
        <f t="shared" si="0"/>
        <v>9.6</v>
      </c>
      <c r="S25">
        <f t="shared" si="1"/>
        <v>24</v>
      </c>
      <c r="T25" s="44">
        <f t="shared" si="2"/>
        <v>0.39999999999999997</v>
      </c>
      <c r="U25" s="42">
        <f t="shared" si="3"/>
        <v>2</v>
      </c>
      <c r="V25">
        <f t="shared" si="4"/>
        <v>0.4</v>
      </c>
      <c r="W25">
        <f t="shared" si="5"/>
        <v>0.6</v>
      </c>
      <c r="X25">
        <f t="shared" si="23"/>
        <v>0</v>
      </c>
      <c r="Y25" s="42">
        <f t="shared" si="24"/>
        <v>0.99999999999999978</v>
      </c>
      <c r="Z25">
        <f t="shared" si="6"/>
        <v>1.9200000000000004</v>
      </c>
      <c r="AA25">
        <f t="shared" si="25"/>
        <v>1.96</v>
      </c>
      <c r="AB25" s="44">
        <f t="shared" si="7"/>
        <v>0.7231044184625065</v>
      </c>
      <c r="AC25" s="42">
        <v>0</v>
      </c>
      <c r="AD25">
        <f t="shared" si="26"/>
        <v>5.228799999999997E-3</v>
      </c>
      <c r="AE25" s="44">
        <f t="shared" si="27"/>
        <v>5.228799999999997E-3</v>
      </c>
      <c r="AF25" s="42">
        <f t="shared" si="8"/>
        <v>0.192</v>
      </c>
      <c r="AG25" s="44">
        <f t="shared" si="9"/>
        <v>0.192</v>
      </c>
      <c r="AH25" s="42">
        <f t="shared" si="10"/>
        <v>0</v>
      </c>
      <c r="AI25">
        <f t="shared" si="11"/>
        <v>0.39176624182763992</v>
      </c>
      <c r="AJ25" s="177">
        <f t="shared" si="45"/>
        <v>0.39176624182763992</v>
      </c>
      <c r="AK25" s="42">
        <f t="shared" si="12"/>
        <v>9.6</v>
      </c>
      <c r="AL25">
        <f t="shared" si="13"/>
        <v>160</v>
      </c>
      <c r="AM25" s="44">
        <f t="shared" si="28"/>
        <v>0.06</v>
      </c>
      <c r="AN25" s="42">
        <f t="shared" si="29"/>
        <v>2</v>
      </c>
      <c r="AO25">
        <f t="shared" si="30"/>
        <v>0.60000000000000009</v>
      </c>
      <c r="AP25">
        <f t="shared" si="31"/>
        <v>9.9999999999999978E-2</v>
      </c>
      <c r="AQ25">
        <f t="shared" si="32"/>
        <v>0.19200000000000003</v>
      </c>
      <c r="AR25">
        <f t="shared" si="46"/>
        <v>0.19600000000000001</v>
      </c>
      <c r="AS25" s="44">
        <f t="shared" si="47"/>
        <v>8.8561842799255289E-2</v>
      </c>
      <c r="AT25" s="42"/>
      <c r="AU25">
        <f t="shared" si="33"/>
        <v>4.32E-5</v>
      </c>
      <c r="AV25" s="44">
        <f t="shared" si="48"/>
        <v>4.32E-5</v>
      </c>
      <c r="AW25" s="42">
        <f t="shared" si="34"/>
        <v>4</v>
      </c>
      <c r="AX25">
        <f t="shared" si="35"/>
        <v>1.7999999999999999E-2</v>
      </c>
      <c r="AY25" s="44">
        <f t="shared" si="49"/>
        <v>4.0179999999999998</v>
      </c>
      <c r="AZ25" s="42">
        <f t="shared" si="14"/>
        <v>0</v>
      </c>
      <c r="BA25">
        <f t="shared" si="15"/>
        <v>0</v>
      </c>
      <c r="BB25">
        <f t="shared" si="50"/>
        <v>0</v>
      </c>
      <c r="BC25" s="44">
        <f t="shared" si="36"/>
        <v>0</v>
      </c>
      <c r="BD25" s="42">
        <v>0</v>
      </c>
      <c r="BE25">
        <f t="shared" si="51"/>
        <v>0</v>
      </c>
      <c r="BF25" s="44">
        <f t="shared" si="52"/>
        <v>0</v>
      </c>
      <c r="BG25" s="42">
        <f t="shared" si="37"/>
        <v>0</v>
      </c>
      <c r="BH25">
        <f t="shared" si="38"/>
        <v>0</v>
      </c>
      <c r="BI25" s="44">
        <f t="shared" si="39"/>
        <v>0</v>
      </c>
      <c r="BJ25"/>
      <c r="BK25" s="42">
        <f t="shared" si="17"/>
        <v>0</v>
      </c>
      <c r="BL25">
        <f t="shared" si="18"/>
        <v>0</v>
      </c>
      <c r="BM25">
        <f t="shared" si="19"/>
        <v>0</v>
      </c>
      <c r="BN25" s="44">
        <f t="shared" si="40"/>
        <v>0</v>
      </c>
      <c r="BO25" s="42">
        <v>0</v>
      </c>
      <c r="BP25">
        <f t="shared" si="41"/>
        <v>0</v>
      </c>
      <c r="BQ25" s="44">
        <f t="shared" si="53"/>
        <v>0</v>
      </c>
      <c r="BR25" s="42">
        <f t="shared" si="42"/>
        <v>0</v>
      </c>
      <c r="BS25">
        <f t="shared" si="54"/>
        <v>0</v>
      </c>
      <c r="BT25" s="44">
        <f t="shared" si="55"/>
        <v>0</v>
      </c>
      <c r="BU25" s="42">
        <f t="shared" si="20"/>
        <v>3.1372799999999979E-3</v>
      </c>
      <c r="BV25">
        <f t="shared" si="21"/>
        <v>0.23625000000000002</v>
      </c>
      <c r="BW25" s="44">
        <f t="shared" si="22"/>
        <v>1.0800000000000001E-2</v>
      </c>
      <c r="BX25">
        <f t="shared" si="56"/>
        <v>0.19722880000000001</v>
      </c>
      <c r="BY25">
        <f t="shared" si="43"/>
        <v>5.0492255218276405</v>
      </c>
      <c r="BZ25">
        <f t="shared" si="44"/>
        <v>65.532474639671605</v>
      </c>
    </row>
    <row r="26" spans="1:78" x14ac:dyDescent="0.3">
      <c r="Q26">
        <v>19</v>
      </c>
      <c r="R26" s="42">
        <f t="shared" si="0"/>
        <v>10.133333333333333</v>
      </c>
      <c r="S26">
        <f t="shared" si="1"/>
        <v>24</v>
      </c>
      <c r="T26" s="44">
        <f t="shared" si="2"/>
        <v>0.42222222222222222</v>
      </c>
      <c r="U26" s="42">
        <f t="shared" si="3"/>
        <v>2</v>
      </c>
      <c r="V26">
        <f t="shared" si="4"/>
        <v>0.4</v>
      </c>
      <c r="W26">
        <f t="shared" si="5"/>
        <v>0.6</v>
      </c>
      <c r="X26">
        <f t="shared" si="23"/>
        <v>0</v>
      </c>
      <c r="Y26" s="42">
        <f t="shared" si="24"/>
        <v>1.0555555555555554</v>
      </c>
      <c r="Z26">
        <f t="shared" si="6"/>
        <v>1.9200000000000004</v>
      </c>
      <c r="AA26">
        <f t="shared" si="25"/>
        <v>2.0155555555555553</v>
      </c>
      <c r="AB26" s="44">
        <f t="shared" si="7"/>
        <v>0.75402852223618089</v>
      </c>
      <c r="AC26" s="42">
        <v>0</v>
      </c>
      <c r="AD26">
        <f t="shared" si="26"/>
        <v>5.6855901234567872E-3</v>
      </c>
      <c r="AE26" s="44">
        <f t="shared" si="27"/>
        <v>5.6855901234567872E-3</v>
      </c>
      <c r="AF26" s="42">
        <f t="shared" si="8"/>
        <v>0.20266666666666666</v>
      </c>
      <c r="AG26" s="44">
        <f t="shared" si="9"/>
        <v>0.20266666666666666</v>
      </c>
      <c r="AH26" s="42">
        <f t="shared" si="10"/>
        <v>0</v>
      </c>
      <c r="AI26">
        <f t="shared" si="11"/>
        <v>0.4135310330402866</v>
      </c>
      <c r="AJ26" s="44">
        <f t="shared" si="45"/>
        <v>0.4135310330402866</v>
      </c>
      <c r="AK26" s="42">
        <f t="shared" si="12"/>
        <v>10.133333333333333</v>
      </c>
      <c r="AL26">
        <f t="shared" si="13"/>
        <v>160</v>
      </c>
      <c r="AM26" s="44">
        <f t="shared" si="28"/>
        <v>6.3333333333333325E-2</v>
      </c>
      <c r="AN26" s="42">
        <f t="shared" si="29"/>
        <v>2</v>
      </c>
      <c r="AO26">
        <f t="shared" si="30"/>
        <v>0.6</v>
      </c>
      <c r="AP26">
        <f t="shared" si="31"/>
        <v>0.10555555555555554</v>
      </c>
      <c r="AQ26">
        <f t="shared" si="32"/>
        <v>0.192</v>
      </c>
      <c r="AR26">
        <f t="shared" si="46"/>
        <v>0.20155555555555554</v>
      </c>
      <c r="AS26" s="44">
        <f t="shared" si="47"/>
        <v>9.2349256549174127E-2</v>
      </c>
      <c r="AT26" s="42"/>
      <c r="AU26">
        <f t="shared" si="33"/>
        <v>4.8133333333333322E-5</v>
      </c>
      <c r="AV26" s="44">
        <f t="shared" si="48"/>
        <v>4.8133333333333322E-5</v>
      </c>
      <c r="AW26" s="42">
        <f t="shared" si="34"/>
        <v>4</v>
      </c>
      <c r="AX26">
        <f t="shared" si="35"/>
        <v>1.8999999999999996E-2</v>
      </c>
      <c r="AY26" s="44">
        <f t="shared" si="49"/>
        <v>4.0190000000000001</v>
      </c>
      <c r="AZ26" s="42">
        <f t="shared" si="14"/>
        <v>0</v>
      </c>
      <c r="BA26">
        <f t="shared" si="15"/>
        <v>0</v>
      </c>
      <c r="BB26">
        <f t="shared" si="50"/>
        <v>0</v>
      </c>
      <c r="BC26" s="44">
        <f t="shared" si="36"/>
        <v>0</v>
      </c>
      <c r="BD26" s="42">
        <v>0</v>
      </c>
      <c r="BE26">
        <f t="shared" si="51"/>
        <v>0</v>
      </c>
      <c r="BF26" s="44">
        <f t="shared" si="52"/>
        <v>0</v>
      </c>
      <c r="BG26" s="42">
        <f t="shared" si="37"/>
        <v>0</v>
      </c>
      <c r="BH26">
        <f t="shared" si="38"/>
        <v>0</v>
      </c>
      <c r="BI26" s="44">
        <f t="shared" si="39"/>
        <v>0</v>
      </c>
      <c r="BK26" s="42">
        <f t="shared" si="17"/>
        <v>0</v>
      </c>
      <c r="BL26">
        <f t="shared" si="18"/>
        <v>0</v>
      </c>
      <c r="BM26">
        <f t="shared" si="19"/>
        <v>0</v>
      </c>
      <c r="BN26" s="44">
        <f t="shared" si="40"/>
        <v>0</v>
      </c>
      <c r="BO26" s="42">
        <v>0</v>
      </c>
      <c r="BP26">
        <f t="shared" si="41"/>
        <v>0</v>
      </c>
      <c r="BQ26" s="44">
        <f t="shared" si="53"/>
        <v>0</v>
      </c>
      <c r="BR26" s="42">
        <f t="shared" si="42"/>
        <v>0</v>
      </c>
      <c r="BS26">
        <f t="shared" si="54"/>
        <v>0</v>
      </c>
      <c r="BT26" s="44">
        <f t="shared" si="55"/>
        <v>0</v>
      </c>
      <c r="BU26" s="42">
        <f t="shared" si="20"/>
        <v>3.4113540740740725E-3</v>
      </c>
      <c r="BV26">
        <f t="shared" si="21"/>
        <v>0.23625000000000002</v>
      </c>
      <c r="BW26" s="44">
        <f t="shared" si="22"/>
        <v>1.0800000000000001E-2</v>
      </c>
      <c r="BX26">
        <f t="shared" si="56"/>
        <v>0.20835225679012345</v>
      </c>
      <c r="BY26">
        <f t="shared" si="43"/>
        <v>5.0940594439044844</v>
      </c>
      <c r="BZ26">
        <f t="shared" si="44"/>
        <v>66.546739035199934</v>
      </c>
    </row>
    <row r="27" spans="1:78" x14ac:dyDescent="0.3">
      <c r="Q27">
        <v>20</v>
      </c>
      <c r="R27" s="42">
        <f t="shared" si="0"/>
        <v>10.666666666666666</v>
      </c>
      <c r="S27">
        <f t="shared" si="1"/>
        <v>24</v>
      </c>
      <c r="T27" s="44">
        <f t="shared" si="2"/>
        <v>0.44444444444444442</v>
      </c>
      <c r="U27" s="42">
        <f t="shared" si="3"/>
        <v>2</v>
      </c>
      <c r="V27">
        <f t="shared" si="4"/>
        <v>0.4</v>
      </c>
      <c r="W27">
        <f t="shared" si="5"/>
        <v>0.6</v>
      </c>
      <c r="X27">
        <f t="shared" si="23"/>
        <v>0</v>
      </c>
      <c r="Y27" s="42">
        <f t="shared" si="24"/>
        <v>1.1111111111111109</v>
      </c>
      <c r="Z27">
        <f t="shared" si="6"/>
        <v>1.9200000000000004</v>
      </c>
      <c r="AA27">
        <f t="shared" si="25"/>
        <v>2.0711111111111111</v>
      </c>
      <c r="AB27" s="44">
        <f t="shared" si="7"/>
        <v>0.78530704854459776</v>
      </c>
      <c r="AC27" s="42">
        <v>0</v>
      </c>
      <c r="AD27">
        <f t="shared" si="26"/>
        <v>6.1670716049382727E-3</v>
      </c>
      <c r="AE27" s="44">
        <f t="shared" si="27"/>
        <v>6.1670716049382727E-3</v>
      </c>
      <c r="AF27" s="42">
        <f t="shared" si="8"/>
        <v>0.21333333333333332</v>
      </c>
      <c r="AG27" s="44">
        <f t="shared" si="9"/>
        <v>0.21333333333333332</v>
      </c>
      <c r="AH27" s="42">
        <f t="shared" si="10"/>
        <v>0</v>
      </c>
      <c r="AI27">
        <f t="shared" si="11"/>
        <v>0.43529582425293323</v>
      </c>
      <c r="AJ27" s="44">
        <f t="shared" si="45"/>
        <v>0.43529582425293323</v>
      </c>
      <c r="AK27" s="42">
        <f t="shared" si="12"/>
        <v>10.666666666666666</v>
      </c>
      <c r="AL27">
        <f t="shared" si="13"/>
        <v>160</v>
      </c>
      <c r="AM27" s="44">
        <f t="shared" si="28"/>
        <v>6.6666666666666666E-2</v>
      </c>
      <c r="AN27" s="42">
        <f t="shared" si="29"/>
        <v>2</v>
      </c>
      <c r="AO27">
        <f t="shared" si="30"/>
        <v>0.6</v>
      </c>
      <c r="AP27">
        <f t="shared" si="31"/>
        <v>0.1111111111111111</v>
      </c>
      <c r="AQ27">
        <f t="shared" si="32"/>
        <v>0.192</v>
      </c>
      <c r="AR27">
        <f t="shared" si="46"/>
        <v>0.20711111111111111</v>
      </c>
      <c r="AS27" s="44">
        <f t="shared" si="47"/>
        <v>9.6180078017266163E-2</v>
      </c>
      <c r="AT27" s="42"/>
      <c r="AU27">
        <f t="shared" si="33"/>
        <v>5.3333333333333333E-5</v>
      </c>
      <c r="AV27" s="44">
        <f t="shared" si="48"/>
        <v>5.3333333333333333E-5</v>
      </c>
      <c r="AW27" s="42">
        <f t="shared" si="34"/>
        <v>4</v>
      </c>
      <c r="AX27">
        <f t="shared" si="35"/>
        <v>0.02</v>
      </c>
      <c r="AY27" s="44">
        <f t="shared" si="49"/>
        <v>4.0199999999999996</v>
      </c>
      <c r="AZ27" s="42">
        <f t="shared" si="14"/>
        <v>0</v>
      </c>
      <c r="BA27">
        <f t="shared" si="15"/>
        <v>0</v>
      </c>
      <c r="BB27">
        <f t="shared" si="50"/>
        <v>0</v>
      </c>
      <c r="BC27" s="44">
        <f t="shared" si="36"/>
        <v>0</v>
      </c>
      <c r="BD27" s="42">
        <v>0</v>
      </c>
      <c r="BE27">
        <f t="shared" si="51"/>
        <v>0</v>
      </c>
      <c r="BF27" s="44">
        <f t="shared" si="52"/>
        <v>0</v>
      </c>
      <c r="BG27" s="42">
        <f t="shared" si="37"/>
        <v>0</v>
      </c>
      <c r="BH27">
        <f t="shared" si="38"/>
        <v>0</v>
      </c>
      <c r="BI27" s="44">
        <f t="shared" si="39"/>
        <v>0</v>
      </c>
      <c r="BK27" s="42">
        <f t="shared" si="17"/>
        <v>0</v>
      </c>
      <c r="BL27">
        <f t="shared" si="18"/>
        <v>0</v>
      </c>
      <c r="BM27">
        <f t="shared" si="19"/>
        <v>0</v>
      </c>
      <c r="BN27" s="44">
        <f t="shared" si="40"/>
        <v>0</v>
      </c>
      <c r="BO27" s="42">
        <v>0</v>
      </c>
      <c r="BP27">
        <f t="shared" si="41"/>
        <v>0</v>
      </c>
      <c r="BQ27" s="44">
        <f t="shared" si="53"/>
        <v>0</v>
      </c>
      <c r="BR27" s="42">
        <f t="shared" si="42"/>
        <v>0</v>
      </c>
      <c r="BS27">
        <f t="shared" si="54"/>
        <v>0</v>
      </c>
      <c r="BT27" s="44">
        <f t="shared" si="55"/>
        <v>0</v>
      </c>
      <c r="BU27" s="42">
        <f t="shared" si="20"/>
        <v>3.7002429629629636E-3</v>
      </c>
      <c r="BV27">
        <f t="shared" si="21"/>
        <v>0.23625000000000002</v>
      </c>
      <c r="BW27" s="44">
        <f t="shared" si="22"/>
        <v>1.0800000000000001E-2</v>
      </c>
      <c r="BX27">
        <f t="shared" si="56"/>
        <v>0.21950040493827158</v>
      </c>
      <c r="BY27">
        <f t="shared" si="43"/>
        <v>5.1389331388208337</v>
      </c>
      <c r="BZ27">
        <f t="shared" si="44"/>
        <v>67.486630042115436</v>
      </c>
    </row>
    <row r="28" spans="1:78" x14ac:dyDescent="0.3">
      <c r="Q28">
        <v>21</v>
      </c>
      <c r="R28" s="42">
        <f t="shared" si="0"/>
        <v>11.2</v>
      </c>
      <c r="S28">
        <f t="shared" si="1"/>
        <v>24</v>
      </c>
      <c r="T28" s="44">
        <f t="shared" si="2"/>
        <v>0.46666666666666662</v>
      </c>
      <c r="U28" s="42">
        <f t="shared" si="3"/>
        <v>2</v>
      </c>
      <c r="V28">
        <f t="shared" si="4"/>
        <v>0.4</v>
      </c>
      <c r="W28">
        <f t="shared" si="5"/>
        <v>0.6</v>
      </c>
      <c r="X28">
        <f t="shared" si="23"/>
        <v>0</v>
      </c>
      <c r="Y28" s="42">
        <f t="shared" si="24"/>
        <v>1.1666666666666665</v>
      </c>
      <c r="Z28">
        <f t="shared" si="6"/>
        <v>1.9200000000000004</v>
      </c>
      <c r="AA28">
        <f t="shared" si="25"/>
        <v>2.1266666666666669</v>
      </c>
      <c r="AB28" s="44">
        <f t="shared" si="7"/>
        <v>0.81689928659807542</v>
      </c>
      <c r="AC28" s="42">
        <v>0</v>
      </c>
      <c r="AD28">
        <f t="shared" si="26"/>
        <v>6.6732444444444466E-3</v>
      </c>
      <c r="AE28" s="44">
        <f t="shared" si="27"/>
        <v>6.6732444444444466E-3</v>
      </c>
      <c r="AF28" s="42">
        <f t="shared" si="8"/>
        <v>0.22399999999999998</v>
      </c>
      <c r="AG28" s="44">
        <f t="shared" si="9"/>
        <v>0.22399999999999998</v>
      </c>
      <c r="AH28" s="42">
        <f t="shared" si="10"/>
        <v>0</v>
      </c>
      <c r="AI28">
        <f t="shared" si="11"/>
        <v>0.45706061546557991</v>
      </c>
      <c r="AJ28" s="44">
        <f t="shared" si="45"/>
        <v>0.45706061546557991</v>
      </c>
      <c r="AK28" s="42">
        <f t="shared" si="12"/>
        <v>11.2</v>
      </c>
      <c r="AL28">
        <f t="shared" si="13"/>
        <v>160</v>
      </c>
      <c r="AM28" s="44">
        <f t="shared" si="28"/>
        <v>6.9999999999999993E-2</v>
      </c>
      <c r="AN28" s="42">
        <f t="shared" si="29"/>
        <v>2</v>
      </c>
      <c r="AO28">
        <f t="shared" si="30"/>
        <v>0.6</v>
      </c>
      <c r="AP28">
        <f t="shared" si="31"/>
        <v>0.11666666666666665</v>
      </c>
      <c r="AQ28">
        <f t="shared" si="32"/>
        <v>0.192</v>
      </c>
      <c r="AR28">
        <f t="shared" si="46"/>
        <v>0.21266666666666667</v>
      </c>
      <c r="AS28" s="44">
        <f t="shared" si="47"/>
        <v>0.10004932117044407</v>
      </c>
      <c r="AT28" s="42"/>
      <c r="AU28">
        <f t="shared" si="33"/>
        <v>5.8799999999999986E-5</v>
      </c>
      <c r="AV28" s="44">
        <f t="shared" si="48"/>
        <v>5.8799999999999986E-5</v>
      </c>
      <c r="AW28" s="42">
        <f t="shared" si="34"/>
        <v>4</v>
      </c>
      <c r="AX28">
        <f t="shared" si="35"/>
        <v>2.0999999999999998E-2</v>
      </c>
      <c r="AY28" s="44">
        <f t="shared" si="49"/>
        <v>4.0209999999999999</v>
      </c>
      <c r="AZ28" s="42">
        <f t="shared" si="14"/>
        <v>0</v>
      </c>
      <c r="BA28">
        <f t="shared" si="15"/>
        <v>0</v>
      </c>
      <c r="BB28">
        <f t="shared" si="50"/>
        <v>0</v>
      </c>
      <c r="BC28" s="44">
        <f t="shared" si="36"/>
        <v>0</v>
      </c>
      <c r="BD28" s="42">
        <v>0</v>
      </c>
      <c r="BE28">
        <f t="shared" si="51"/>
        <v>0</v>
      </c>
      <c r="BF28" s="44">
        <f t="shared" si="52"/>
        <v>0</v>
      </c>
      <c r="BG28" s="42">
        <f t="shared" si="37"/>
        <v>0</v>
      </c>
      <c r="BH28">
        <f t="shared" si="38"/>
        <v>0</v>
      </c>
      <c r="BI28" s="44">
        <f t="shared" si="39"/>
        <v>0</v>
      </c>
      <c r="BK28" s="42">
        <f t="shared" si="17"/>
        <v>0</v>
      </c>
      <c r="BL28">
        <f t="shared" si="18"/>
        <v>0</v>
      </c>
      <c r="BM28">
        <f t="shared" si="19"/>
        <v>0</v>
      </c>
      <c r="BN28" s="44">
        <f t="shared" si="40"/>
        <v>0</v>
      </c>
      <c r="BO28" s="42">
        <v>0</v>
      </c>
      <c r="BP28">
        <f t="shared" si="41"/>
        <v>0</v>
      </c>
      <c r="BQ28" s="44">
        <f t="shared" si="53"/>
        <v>0</v>
      </c>
      <c r="BR28" s="42">
        <f t="shared" si="42"/>
        <v>0</v>
      </c>
      <c r="BS28">
        <f t="shared" si="54"/>
        <v>0</v>
      </c>
      <c r="BT28" s="44">
        <f t="shared" si="55"/>
        <v>0</v>
      </c>
      <c r="BU28" s="42">
        <f t="shared" si="20"/>
        <v>4.0039466666666676E-3</v>
      </c>
      <c r="BV28">
        <f t="shared" si="21"/>
        <v>0.23625000000000002</v>
      </c>
      <c r="BW28" s="44">
        <f t="shared" si="22"/>
        <v>1.0800000000000001E-2</v>
      </c>
      <c r="BX28">
        <f t="shared" si="56"/>
        <v>0.23067324444444443</v>
      </c>
      <c r="BY28">
        <f t="shared" si="43"/>
        <v>5.1838466065766911</v>
      </c>
      <c r="BZ28">
        <f t="shared" si="44"/>
        <v>68.360015013227553</v>
      </c>
    </row>
    <row r="29" spans="1:78" x14ac:dyDescent="0.3">
      <c r="Q29">
        <v>22</v>
      </c>
      <c r="R29" s="42">
        <f t="shared" si="0"/>
        <v>11.733333333333333</v>
      </c>
      <c r="S29">
        <f t="shared" si="1"/>
        <v>24</v>
      </c>
      <c r="T29" s="44">
        <f t="shared" si="2"/>
        <v>0.48888888888888887</v>
      </c>
      <c r="U29" s="42">
        <f t="shared" si="3"/>
        <v>2</v>
      </c>
      <c r="V29">
        <f t="shared" si="4"/>
        <v>0.4</v>
      </c>
      <c r="W29">
        <f t="shared" si="5"/>
        <v>0.6</v>
      </c>
      <c r="X29">
        <f t="shared" si="23"/>
        <v>0</v>
      </c>
      <c r="Y29" s="42">
        <f t="shared" si="24"/>
        <v>1.2222222222222219</v>
      </c>
      <c r="Z29">
        <f t="shared" si="6"/>
        <v>1.9200000000000004</v>
      </c>
      <c r="AA29">
        <f t="shared" si="25"/>
        <v>2.1822222222222223</v>
      </c>
      <c r="AB29" s="44">
        <f t="shared" si="7"/>
        <v>0.84877020694504268</v>
      </c>
      <c r="AC29" s="42">
        <v>0</v>
      </c>
      <c r="AD29">
        <f t="shared" si="26"/>
        <v>7.2041086419753052E-3</v>
      </c>
      <c r="AE29" s="44">
        <f t="shared" si="27"/>
        <v>7.2041086419753052E-3</v>
      </c>
      <c r="AF29" s="42">
        <f t="shared" si="8"/>
        <v>0.23466666666666666</v>
      </c>
      <c r="AG29" s="44">
        <f t="shared" si="9"/>
        <v>0.23466666666666666</v>
      </c>
      <c r="AH29" s="42">
        <f t="shared" si="10"/>
        <v>0</v>
      </c>
      <c r="AI29">
        <f t="shared" si="11"/>
        <v>0.47882540667822654</v>
      </c>
      <c r="AJ29" s="44">
        <f t="shared" si="45"/>
        <v>0.47882540667822654</v>
      </c>
      <c r="AK29" s="42">
        <f t="shared" si="12"/>
        <v>11.733333333333333</v>
      </c>
      <c r="AL29">
        <f t="shared" si="13"/>
        <v>160</v>
      </c>
      <c r="AM29" s="44">
        <f t="shared" si="28"/>
        <v>7.3333333333333334E-2</v>
      </c>
      <c r="AN29" s="42">
        <f t="shared" si="29"/>
        <v>2</v>
      </c>
      <c r="AO29">
        <f t="shared" si="30"/>
        <v>0.6000000000000002</v>
      </c>
      <c r="AP29">
        <f t="shared" si="31"/>
        <v>0.12222222222222218</v>
      </c>
      <c r="AQ29">
        <f t="shared" si="32"/>
        <v>0.19200000000000006</v>
      </c>
      <c r="AR29">
        <f t="shared" si="46"/>
        <v>0.21822222222222221</v>
      </c>
      <c r="AS29" s="44">
        <f t="shared" si="47"/>
        <v>0.1039526957945919</v>
      </c>
      <c r="AT29" s="42"/>
      <c r="AU29">
        <f t="shared" si="33"/>
        <v>6.4533333333333334E-5</v>
      </c>
      <c r="AV29" s="44">
        <f t="shared" si="48"/>
        <v>6.4533333333333334E-5</v>
      </c>
      <c r="AW29" s="42">
        <f t="shared" si="34"/>
        <v>4</v>
      </c>
      <c r="AX29">
        <f t="shared" si="35"/>
        <v>2.1999999999999999E-2</v>
      </c>
      <c r="AY29" s="44">
        <f t="shared" si="49"/>
        <v>4.0220000000000002</v>
      </c>
      <c r="AZ29" s="42">
        <f t="shared" si="14"/>
        <v>0</v>
      </c>
      <c r="BA29">
        <f t="shared" si="15"/>
        <v>0</v>
      </c>
      <c r="BB29">
        <f t="shared" si="50"/>
        <v>0</v>
      </c>
      <c r="BC29" s="44">
        <f t="shared" si="36"/>
        <v>0</v>
      </c>
      <c r="BD29" s="42">
        <v>0</v>
      </c>
      <c r="BE29">
        <f t="shared" si="51"/>
        <v>0</v>
      </c>
      <c r="BF29" s="44">
        <f t="shared" si="52"/>
        <v>0</v>
      </c>
      <c r="BG29" s="42">
        <f t="shared" si="37"/>
        <v>0</v>
      </c>
      <c r="BH29">
        <f t="shared" si="38"/>
        <v>0</v>
      </c>
      <c r="BI29" s="44">
        <f t="shared" si="39"/>
        <v>0</v>
      </c>
      <c r="BK29" s="42">
        <f t="shared" si="17"/>
        <v>0</v>
      </c>
      <c r="BL29">
        <f t="shared" si="18"/>
        <v>0</v>
      </c>
      <c r="BM29">
        <f t="shared" si="19"/>
        <v>0</v>
      </c>
      <c r="BN29" s="44">
        <f t="shared" si="40"/>
        <v>0</v>
      </c>
      <c r="BO29" s="42">
        <v>0</v>
      </c>
      <c r="BP29">
        <f t="shared" si="41"/>
        <v>0</v>
      </c>
      <c r="BQ29" s="44">
        <f t="shared" si="53"/>
        <v>0</v>
      </c>
      <c r="BR29" s="42">
        <f t="shared" si="42"/>
        <v>0</v>
      </c>
      <c r="BS29">
        <f t="shared" si="54"/>
        <v>0</v>
      </c>
      <c r="BT29" s="44">
        <f t="shared" si="55"/>
        <v>0</v>
      </c>
      <c r="BU29" s="42">
        <f t="shared" si="20"/>
        <v>4.3224651851851833E-3</v>
      </c>
      <c r="BV29">
        <f t="shared" si="21"/>
        <v>0.23625000000000002</v>
      </c>
      <c r="BW29" s="44">
        <f t="shared" si="22"/>
        <v>1.0800000000000001E-2</v>
      </c>
      <c r="BX29">
        <f t="shared" si="56"/>
        <v>0.24187077530864196</v>
      </c>
      <c r="BY29">
        <f t="shared" si="43"/>
        <v>5.2287998471720538</v>
      </c>
      <c r="BZ29">
        <f t="shared" si="44"/>
        <v>69.173689467421923</v>
      </c>
    </row>
    <row r="30" spans="1:78" x14ac:dyDescent="0.3">
      <c r="Q30">
        <v>23</v>
      </c>
      <c r="R30" s="42">
        <f t="shared" si="0"/>
        <v>12.266666666666666</v>
      </c>
      <c r="S30">
        <f t="shared" si="1"/>
        <v>24</v>
      </c>
      <c r="T30" s="44">
        <f t="shared" si="2"/>
        <v>0.51111111111111107</v>
      </c>
      <c r="U30" s="42">
        <f t="shared" si="3"/>
        <v>2</v>
      </c>
      <c r="V30">
        <f t="shared" si="4"/>
        <v>0.4</v>
      </c>
      <c r="W30">
        <f t="shared" si="5"/>
        <v>0.6</v>
      </c>
      <c r="X30">
        <f t="shared" si="23"/>
        <v>0</v>
      </c>
      <c r="Y30" s="42">
        <f t="shared" si="24"/>
        <v>1.2777777777777775</v>
      </c>
      <c r="Z30">
        <f t="shared" si="6"/>
        <v>1.9200000000000004</v>
      </c>
      <c r="AA30">
        <f t="shared" si="25"/>
        <v>2.2377777777777776</v>
      </c>
      <c r="AB30" s="44">
        <f t="shared" si="7"/>
        <v>0.88088956160978915</v>
      </c>
      <c r="AC30" s="42">
        <v>0</v>
      </c>
      <c r="AD30">
        <f t="shared" si="26"/>
        <v>7.7596641975308661E-3</v>
      </c>
      <c r="AE30" s="44">
        <f t="shared" si="27"/>
        <v>7.7596641975308661E-3</v>
      </c>
      <c r="AF30" s="42">
        <f t="shared" si="8"/>
        <v>0.24533333333333332</v>
      </c>
      <c r="AG30" s="44">
        <f t="shared" si="9"/>
        <v>0.24533333333333332</v>
      </c>
      <c r="AH30" s="42">
        <f t="shared" si="10"/>
        <v>0</v>
      </c>
      <c r="AI30">
        <f t="shared" si="11"/>
        <v>0.50059019789087322</v>
      </c>
      <c r="AJ30" s="44">
        <f t="shared" si="45"/>
        <v>0.50059019789087322</v>
      </c>
      <c r="AK30" s="42">
        <f t="shared" si="12"/>
        <v>12.266666666666666</v>
      </c>
      <c r="AL30">
        <f t="shared" si="13"/>
        <v>160</v>
      </c>
      <c r="AM30" s="44">
        <f t="shared" si="28"/>
        <v>7.6666666666666661E-2</v>
      </c>
      <c r="AN30" s="42">
        <f t="shared" si="29"/>
        <v>2</v>
      </c>
      <c r="AO30">
        <f t="shared" si="30"/>
        <v>0.60000000000000009</v>
      </c>
      <c r="AP30">
        <f t="shared" si="31"/>
        <v>0.12777777777777774</v>
      </c>
      <c r="AQ30">
        <f t="shared" si="32"/>
        <v>0.19200000000000003</v>
      </c>
      <c r="AR30">
        <f t="shared" si="46"/>
        <v>0.22377777777777774</v>
      </c>
      <c r="AS30" s="44">
        <f t="shared" si="47"/>
        <v>0.10788649728439742</v>
      </c>
      <c r="AT30" s="42"/>
      <c r="AU30">
        <f t="shared" si="33"/>
        <v>7.0533333333333331E-5</v>
      </c>
      <c r="AV30" s="44">
        <f t="shared" si="48"/>
        <v>7.0533333333333331E-5</v>
      </c>
      <c r="AW30" s="42">
        <f t="shared" si="34"/>
        <v>4</v>
      </c>
      <c r="AX30">
        <f t="shared" si="35"/>
        <v>2.2999999999999996E-2</v>
      </c>
      <c r="AY30" s="44">
        <f t="shared" si="49"/>
        <v>4.0229999999999997</v>
      </c>
      <c r="AZ30" s="42">
        <f t="shared" si="14"/>
        <v>0</v>
      </c>
      <c r="BA30">
        <f t="shared" si="15"/>
        <v>0</v>
      </c>
      <c r="BB30">
        <f t="shared" si="50"/>
        <v>0</v>
      </c>
      <c r="BC30" s="44">
        <f t="shared" si="36"/>
        <v>0</v>
      </c>
      <c r="BD30" s="42">
        <v>0</v>
      </c>
      <c r="BE30">
        <f t="shared" si="51"/>
        <v>0</v>
      </c>
      <c r="BF30" s="44">
        <f t="shared" si="52"/>
        <v>0</v>
      </c>
      <c r="BG30" s="42">
        <f t="shared" si="37"/>
        <v>0</v>
      </c>
      <c r="BH30">
        <f t="shared" si="38"/>
        <v>0</v>
      </c>
      <c r="BI30" s="44">
        <f t="shared" si="39"/>
        <v>0</v>
      </c>
      <c r="BK30" s="42">
        <f t="shared" si="17"/>
        <v>0</v>
      </c>
      <c r="BL30">
        <f t="shared" si="18"/>
        <v>0</v>
      </c>
      <c r="BM30">
        <f t="shared" si="19"/>
        <v>0</v>
      </c>
      <c r="BN30" s="44">
        <f t="shared" si="40"/>
        <v>0</v>
      </c>
      <c r="BO30" s="42">
        <v>0</v>
      </c>
      <c r="BP30">
        <f t="shared" si="41"/>
        <v>0</v>
      </c>
      <c r="BQ30" s="44">
        <f t="shared" si="53"/>
        <v>0</v>
      </c>
      <c r="BR30" s="42">
        <f t="shared" si="42"/>
        <v>0</v>
      </c>
      <c r="BS30">
        <f t="shared" si="54"/>
        <v>0</v>
      </c>
      <c r="BT30" s="44">
        <f t="shared" si="55"/>
        <v>0</v>
      </c>
      <c r="BU30" s="42">
        <f t="shared" si="20"/>
        <v>4.6557985185185198E-3</v>
      </c>
      <c r="BV30">
        <f t="shared" si="21"/>
        <v>0.23625000000000002</v>
      </c>
      <c r="BW30" s="44">
        <f t="shared" si="22"/>
        <v>1.0800000000000001E-2</v>
      </c>
      <c r="BX30">
        <f t="shared" si="56"/>
        <v>0.25309299753086417</v>
      </c>
      <c r="BY30">
        <f t="shared" si="43"/>
        <v>5.2737928606069211</v>
      </c>
      <c r="BZ30">
        <f t="shared" si="44"/>
        <v>69.9335536084062</v>
      </c>
    </row>
    <row r="31" spans="1:78" x14ac:dyDescent="0.3">
      <c r="Q31">
        <v>24</v>
      </c>
      <c r="R31" s="42">
        <f t="shared" si="0"/>
        <v>12.8</v>
      </c>
      <c r="S31">
        <f t="shared" si="1"/>
        <v>24</v>
      </c>
      <c r="T31" s="44">
        <f t="shared" si="2"/>
        <v>0.53333333333333333</v>
      </c>
      <c r="U31" s="42">
        <f t="shared" si="3"/>
        <v>2</v>
      </c>
      <c r="V31">
        <f t="shared" si="4"/>
        <v>0.4</v>
      </c>
      <c r="W31">
        <f t="shared" si="5"/>
        <v>0.6</v>
      </c>
      <c r="X31">
        <f t="shared" si="23"/>
        <v>0</v>
      </c>
      <c r="Y31" s="42">
        <f t="shared" si="24"/>
        <v>1.3333333333333333</v>
      </c>
      <c r="Z31">
        <f t="shared" si="6"/>
        <v>1.9200000000000004</v>
      </c>
      <c r="AA31">
        <f t="shared" si="25"/>
        <v>2.2933333333333334</v>
      </c>
      <c r="AB31" s="44">
        <f t="shared" si="7"/>
        <v>0.913231137834837</v>
      </c>
      <c r="AC31" s="42">
        <v>0</v>
      </c>
      <c r="AD31">
        <f t="shared" si="26"/>
        <v>8.3399111111111101E-3</v>
      </c>
      <c r="AE31" s="44">
        <f t="shared" si="27"/>
        <v>8.3399111111111101E-3</v>
      </c>
      <c r="AF31" s="42">
        <f t="shared" si="8"/>
        <v>0.25600000000000001</v>
      </c>
      <c r="AG31" s="44">
        <f t="shared" si="9"/>
        <v>0.25600000000000001</v>
      </c>
      <c r="AH31" s="42">
        <f t="shared" si="10"/>
        <v>0</v>
      </c>
      <c r="AI31">
        <f t="shared" si="11"/>
        <v>0.52235498910351996</v>
      </c>
      <c r="AJ31" s="44">
        <f t="shared" si="45"/>
        <v>0.52235498910351996</v>
      </c>
      <c r="AK31" s="42">
        <f t="shared" si="12"/>
        <v>12.8</v>
      </c>
      <c r="AL31">
        <f t="shared" si="13"/>
        <v>160</v>
      </c>
      <c r="AM31" s="44">
        <f t="shared" si="28"/>
        <v>0.08</v>
      </c>
      <c r="AN31" s="42">
        <f t="shared" si="29"/>
        <v>2</v>
      </c>
      <c r="AO31">
        <f t="shared" si="30"/>
        <v>0.6</v>
      </c>
      <c r="AP31">
        <f t="shared" si="31"/>
        <v>0.13333333333333333</v>
      </c>
      <c r="AQ31">
        <f t="shared" si="32"/>
        <v>0.192</v>
      </c>
      <c r="AR31">
        <f t="shared" si="46"/>
        <v>0.22933333333333333</v>
      </c>
      <c r="AS31" s="44">
        <f t="shared" si="47"/>
        <v>0.11184751524583222</v>
      </c>
      <c r="AT31" s="42"/>
      <c r="AU31">
        <f t="shared" si="33"/>
        <v>7.680000000000001E-5</v>
      </c>
      <c r="AV31" s="44">
        <f t="shared" si="48"/>
        <v>7.680000000000001E-5</v>
      </c>
      <c r="AW31" s="42">
        <f t="shared" si="34"/>
        <v>4</v>
      </c>
      <c r="AX31">
        <f t="shared" si="35"/>
        <v>2.4E-2</v>
      </c>
      <c r="AY31" s="44">
        <f t="shared" si="49"/>
        <v>4.024</v>
      </c>
      <c r="AZ31" s="42">
        <f t="shared" si="14"/>
        <v>0</v>
      </c>
      <c r="BA31">
        <f t="shared" si="15"/>
        <v>0</v>
      </c>
      <c r="BB31">
        <f t="shared" si="50"/>
        <v>0</v>
      </c>
      <c r="BC31" s="44">
        <f t="shared" si="36"/>
        <v>0</v>
      </c>
      <c r="BD31" s="42">
        <v>0</v>
      </c>
      <c r="BE31">
        <f t="shared" si="51"/>
        <v>0</v>
      </c>
      <c r="BF31" s="44">
        <f t="shared" si="52"/>
        <v>0</v>
      </c>
      <c r="BG31" s="42">
        <f t="shared" si="37"/>
        <v>0</v>
      </c>
      <c r="BH31">
        <f t="shared" si="38"/>
        <v>0</v>
      </c>
      <c r="BI31" s="44">
        <f t="shared" si="39"/>
        <v>0</v>
      </c>
      <c r="BK31" s="42">
        <f t="shared" si="17"/>
        <v>0</v>
      </c>
      <c r="BL31">
        <f t="shared" si="18"/>
        <v>0</v>
      </c>
      <c r="BM31">
        <f t="shared" si="19"/>
        <v>0</v>
      </c>
      <c r="BN31" s="44">
        <f t="shared" si="40"/>
        <v>0</v>
      </c>
      <c r="BO31" s="42">
        <v>0</v>
      </c>
      <c r="BP31">
        <f t="shared" si="41"/>
        <v>0</v>
      </c>
      <c r="BQ31" s="44">
        <f t="shared" si="53"/>
        <v>0</v>
      </c>
      <c r="BR31" s="42">
        <f t="shared" si="42"/>
        <v>0</v>
      </c>
      <c r="BS31">
        <f t="shared" si="54"/>
        <v>0</v>
      </c>
      <c r="BT31" s="44">
        <f t="shared" si="55"/>
        <v>0</v>
      </c>
      <c r="BU31" s="42">
        <f t="shared" si="20"/>
        <v>5.0039466666666659E-3</v>
      </c>
      <c r="BV31">
        <f t="shared" si="21"/>
        <v>0.23625000000000002</v>
      </c>
      <c r="BW31" s="44">
        <f t="shared" si="22"/>
        <v>1.0800000000000001E-2</v>
      </c>
      <c r="BX31">
        <f t="shared" si="56"/>
        <v>0.2643399111111111</v>
      </c>
      <c r="BY31">
        <f t="shared" si="43"/>
        <v>5.3188256468812991</v>
      </c>
      <c r="BZ31">
        <f t="shared" si="44"/>
        <v>70.644755071105834</v>
      </c>
    </row>
    <row r="32" spans="1:78" x14ac:dyDescent="0.3">
      <c r="Q32">
        <v>25</v>
      </c>
      <c r="R32" s="42">
        <f t="shared" si="0"/>
        <v>13.333333333333334</v>
      </c>
      <c r="S32">
        <f t="shared" si="1"/>
        <v>24</v>
      </c>
      <c r="T32" s="44">
        <f t="shared" si="2"/>
        <v>0.55555555555555558</v>
      </c>
      <c r="U32" s="42">
        <f t="shared" si="3"/>
        <v>2</v>
      </c>
      <c r="V32">
        <f t="shared" si="4"/>
        <v>0.4</v>
      </c>
      <c r="W32">
        <f t="shared" si="5"/>
        <v>0.6</v>
      </c>
      <c r="X32">
        <f t="shared" si="23"/>
        <v>0</v>
      </c>
      <c r="Y32" s="42">
        <f t="shared" si="24"/>
        <v>1.3888888888888888</v>
      </c>
      <c r="Z32">
        <f t="shared" si="6"/>
        <v>1.9200000000000004</v>
      </c>
      <c r="AA32">
        <f t="shared" si="25"/>
        <v>2.3488888888888892</v>
      </c>
      <c r="AB32" s="44">
        <f t="shared" si="7"/>
        <v>0.94577213866322218</v>
      </c>
      <c r="AC32" s="42">
        <v>0</v>
      </c>
      <c r="AD32">
        <f t="shared" si="26"/>
        <v>8.9448493827160511E-3</v>
      </c>
      <c r="AE32" s="44">
        <f t="shared" si="27"/>
        <v>8.9448493827160511E-3</v>
      </c>
      <c r="AF32" s="42">
        <f t="shared" si="8"/>
        <v>0.26666666666666666</v>
      </c>
      <c r="AG32" s="44">
        <f t="shared" si="9"/>
        <v>0.26666666666666666</v>
      </c>
      <c r="AH32" s="42">
        <f t="shared" si="10"/>
        <v>0</v>
      </c>
      <c r="AI32">
        <f t="shared" si="11"/>
        <v>0.5441197803161667</v>
      </c>
      <c r="AJ32" s="44">
        <f t="shared" si="45"/>
        <v>0.5441197803161667</v>
      </c>
      <c r="AK32" s="42">
        <f t="shared" si="12"/>
        <v>13.333333333333334</v>
      </c>
      <c r="AL32">
        <f t="shared" si="13"/>
        <v>160</v>
      </c>
      <c r="AM32" s="44">
        <f t="shared" si="28"/>
        <v>8.3333333333333343E-2</v>
      </c>
      <c r="AN32" s="42">
        <f t="shared" si="29"/>
        <v>2</v>
      </c>
      <c r="AO32">
        <f t="shared" si="30"/>
        <v>0.60000000000000009</v>
      </c>
      <c r="AP32">
        <f t="shared" si="31"/>
        <v>0.1388888888888889</v>
      </c>
      <c r="AQ32">
        <f t="shared" si="32"/>
        <v>0.19200000000000003</v>
      </c>
      <c r="AR32">
        <f t="shared" si="46"/>
        <v>0.23488888888888892</v>
      </c>
      <c r="AS32" s="44">
        <f t="shared" si="47"/>
        <v>0.11583295763328362</v>
      </c>
      <c r="AT32" s="42"/>
      <c r="AU32">
        <f t="shared" si="33"/>
        <v>8.3333333333333358E-5</v>
      </c>
      <c r="AV32" s="44">
        <f t="shared" si="48"/>
        <v>8.3333333333333358E-5</v>
      </c>
      <c r="AW32" s="42">
        <f t="shared" si="34"/>
        <v>4</v>
      </c>
      <c r="AX32">
        <f t="shared" si="35"/>
        <v>2.5000000000000001E-2</v>
      </c>
      <c r="AY32" s="44">
        <f t="shared" si="49"/>
        <v>4.0250000000000004</v>
      </c>
      <c r="AZ32" s="42">
        <f t="shared" si="14"/>
        <v>0</v>
      </c>
      <c r="BA32">
        <f t="shared" si="15"/>
        <v>0</v>
      </c>
      <c r="BB32">
        <f t="shared" si="50"/>
        <v>0</v>
      </c>
      <c r="BC32" s="44">
        <f t="shared" si="36"/>
        <v>0</v>
      </c>
      <c r="BD32" s="42">
        <v>0</v>
      </c>
      <c r="BE32">
        <f t="shared" si="51"/>
        <v>0</v>
      </c>
      <c r="BF32" s="44">
        <f t="shared" si="52"/>
        <v>0</v>
      </c>
      <c r="BG32" s="42">
        <f t="shared" si="37"/>
        <v>0</v>
      </c>
      <c r="BH32">
        <f t="shared" si="38"/>
        <v>0</v>
      </c>
      <c r="BI32" s="44">
        <f t="shared" si="39"/>
        <v>0</v>
      </c>
      <c r="BK32" s="42">
        <f t="shared" si="17"/>
        <v>0</v>
      </c>
      <c r="BL32">
        <f t="shared" si="18"/>
        <v>0</v>
      </c>
      <c r="BM32">
        <f t="shared" si="19"/>
        <v>0</v>
      </c>
      <c r="BN32" s="44">
        <f t="shared" si="40"/>
        <v>0</v>
      </c>
      <c r="BO32" s="42">
        <v>0</v>
      </c>
      <c r="BP32">
        <f t="shared" si="41"/>
        <v>0</v>
      </c>
      <c r="BQ32" s="44">
        <f t="shared" si="53"/>
        <v>0</v>
      </c>
      <c r="BR32" s="42">
        <f t="shared" si="42"/>
        <v>0</v>
      </c>
      <c r="BS32">
        <f t="shared" si="54"/>
        <v>0</v>
      </c>
      <c r="BT32" s="44">
        <f t="shared" si="55"/>
        <v>0</v>
      </c>
      <c r="BU32" s="42">
        <f t="shared" si="20"/>
        <v>5.366909629629631E-3</v>
      </c>
      <c r="BV32">
        <f t="shared" si="21"/>
        <v>0.23625000000000002</v>
      </c>
      <c r="BW32" s="44">
        <f t="shared" si="22"/>
        <v>1.0800000000000001E-2</v>
      </c>
      <c r="BX32">
        <f t="shared" si="56"/>
        <v>0.27561151604938272</v>
      </c>
      <c r="BY32">
        <f t="shared" si="43"/>
        <v>5.363898205995179</v>
      </c>
      <c r="BZ32">
        <f t="shared" si="44"/>
        <v>71.311805201146811</v>
      </c>
    </row>
    <row r="33" spans="17:78" x14ac:dyDescent="0.3">
      <c r="Q33">
        <v>26</v>
      </c>
      <c r="R33" s="42">
        <f t="shared" si="0"/>
        <v>13.866666666666667</v>
      </c>
      <c r="S33">
        <f t="shared" si="1"/>
        <v>24</v>
      </c>
      <c r="T33" s="44">
        <f t="shared" si="2"/>
        <v>0.57777777777777783</v>
      </c>
      <c r="U33" s="42">
        <f t="shared" si="3"/>
        <v>2</v>
      </c>
      <c r="V33">
        <f t="shared" si="4"/>
        <v>0.4</v>
      </c>
      <c r="W33">
        <f t="shared" si="5"/>
        <v>0.6</v>
      </c>
      <c r="X33">
        <f t="shared" si="23"/>
        <v>0</v>
      </c>
      <c r="Y33" s="42">
        <f t="shared" si="24"/>
        <v>1.4444444444444442</v>
      </c>
      <c r="Z33">
        <f t="shared" si="6"/>
        <v>1.9200000000000004</v>
      </c>
      <c r="AA33">
        <f t="shared" si="25"/>
        <v>2.4044444444444446</v>
      </c>
      <c r="AB33" s="44">
        <f t="shared" si="7"/>
        <v>0.97849266795135881</v>
      </c>
      <c r="AC33" s="42">
        <v>0</v>
      </c>
      <c r="AD33">
        <f t="shared" si="26"/>
        <v>9.5744790123456821E-3</v>
      </c>
      <c r="AE33" s="44">
        <f t="shared" si="27"/>
        <v>9.5744790123456821E-3</v>
      </c>
      <c r="AF33" s="42">
        <f t="shared" si="8"/>
        <v>0.27733333333333338</v>
      </c>
      <c r="AG33" s="44">
        <f t="shared" si="9"/>
        <v>0.27733333333333338</v>
      </c>
      <c r="AH33" s="42">
        <f t="shared" si="10"/>
        <v>0</v>
      </c>
      <c r="AI33">
        <f t="shared" si="11"/>
        <v>0.56588457152881322</v>
      </c>
      <c r="AJ33" s="44">
        <f t="shared" si="45"/>
        <v>0.56588457152881322</v>
      </c>
      <c r="AK33" s="42">
        <f t="shared" si="12"/>
        <v>13.866666666666667</v>
      </c>
      <c r="AL33">
        <f t="shared" si="13"/>
        <v>160</v>
      </c>
      <c r="AM33" s="44">
        <f t="shared" si="28"/>
        <v>8.666666666666667E-2</v>
      </c>
      <c r="AN33" s="42">
        <f t="shared" si="29"/>
        <v>2</v>
      </c>
      <c r="AO33">
        <f t="shared" si="30"/>
        <v>0.6000000000000002</v>
      </c>
      <c r="AP33">
        <f t="shared" si="31"/>
        <v>0.1444444444444444</v>
      </c>
      <c r="AQ33">
        <f t="shared" si="32"/>
        <v>0.19200000000000006</v>
      </c>
      <c r="AR33">
        <f t="shared" si="46"/>
        <v>0.24044444444444443</v>
      </c>
      <c r="AS33" s="44">
        <f t="shared" si="47"/>
        <v>0.11984038767676999</v>
      </c>
      <c r="AT33" s="42"/>
      <c r="AU33">
        <f t="shared" si="33"/>
        <v>9.0133333333333347E-5</v>
      </c>
      <c r="AV33" s="44">
        <f t="shared" si="48"/>
        <v>9.0133333333333347E-5</v>
      </c>
      <c r="AW33" s="42">
        <f t="shared" si="34"/>
        <v>4</v>
      </c>
      <c r="AX33">
        <f t="shared" si="35"/>
        <v>2.5999999999999999E-2</v>
      </c>
      <c r="AY33" s="44">
        <f t="shared" si="49"/>
        <v>4.0259999999999998</v>
      </c>
      <c r="AZ33" s="42">
        <f t="shared" si="14"/>
        <v>0</v>
      </c>
      <c r="BA33">
        <f t="shared" si="15"/>
        <v>0</v>
      </c>
      <c r="BB33">
        <f t="shared" si="50"/>
        <v>0</v>
      </c>
      <c r="BC33" s="44">
        <f t="shared" si="36"/>
        <v>0</v>
      </c>
      <c r="BD33" s="42">
        <v>0</v>
      </c>
      <c r="BE33">
        <f t="shared" si="51"/>
        <v>0</v>
      </c>
      <c r="BF33" s="44">
        <f t="shared" si="52"/>
        <v>0</v>
      </c>
      <c r="BG33" s="42">
        <f t="shared" si="37"/>
        <v>0</v>
      </c>
      <c r="BH33">
        <f t="shared" si="38"/>
        <v>0</v>
      </c>
      <c r="BI33" s="44">
        <f t="shared" si="39"/>
        <v>0</v>
      </c>
      <c r="BK33" s="42">
        <f t="shared" si="17"/>
        <v>0</v>
      </c>
      <c r="BL33">
        <f t="shared" si="18"/>
        <v>0</v>
      </c>
      <c r="BM33">
        <f t="shared" si="19"/>
        <v>0</v>
      </c>
      <c r="BN33" s="44">
        <f t="shared" si="40"/>
        <v>0</v>
      </c>
      <c r="BO33" s="42">
        <v>0</v>
      </c>
      <c r="BP33">
        <f t="shared" si="41"/>
        <v>0</v>
      </c>
      <c r="BQ33" s="44">
        <f t="shared" si="53"/>
        <v>0</v>
      </c>
      <c r="BR33" s="42">
        <f t="shared" si="42"/>
        <v>0</v>
      </c>
      <c r="BS33">
        <f t="shared" si="54"/>
        <v>0</v>
      </c>
      <c r="BT33" s="44">
        <f t="shared" si="55"/>
        <v>0</v>
      </c>
      <c r="BU33" s="42">
        <f t="shared" si="20"/>
        <v>5.7446874074074091E-3</v>
      </c>
      <c r="BV33">
        <f t="shared" si="21"/>
        <v>0.23625000000000002</v>
      </c>
      <c r="BW33" s="44">
        <f t="shared" si="22"/>
        <v>1.0800000000000001E-2</v>
      </c>
      <c r="BX33">
        <f t="shared" si="56"/>
        <v>0.28690781234567908</v>
      </c>
      <c r="BY33">
        <f t="shared" si="43"/>
        <v>5.4090105379485651</v>
      </c>
      <c r="BZ33">
        <f t="shared" si="44"/>
        <v>71.938674420977179</v>
      </c>
    </row>
    <row r="34" spans="17:78" x14ac:dyDescent="0.3">
      <c r="Q34">
        <v>27</v>
      </c>
      <c r="R34" s="42">
        <f t="shared" si="0"/>
        <v>14.4</v>
      </c>
      <c r="S34">
        <f t="shared" si="1"/>
        <v>24</v>
      </c>
      <c r="T34" s="44">
        <f t="shared" si="2"/>
        <v>0.6</v>
      </c>
      <c r="U34" s="42">
        <f t="shared" si="3"/>
        <v>2</v>
      </c>
      <c r="V34">
        <f t="shared" si="4"/>
        <v>0.4</v>
      </c>
      <c r="W34">
        <f t="shared" si="5"/>
        <v>0.6</v>
      </c>
      <c r="X34">
        <f t="shared" si="23"/>
        <v>0</v>
      </c>
      <c r="Y34" s="42">
        <f t="shared" si="24"/>
        <v>1.4999999999999998</v>
      </c>
      <c r="Z34">
        <f t="shared" si="6"/>
        <v>1.9200000000000004</v>
      </c>
      <c r="AA34">
        <f t="shared" si="25"/>
        <v>2.46</v>
      </c>
      <c r="AB34" s="44">
        <f t="shared" si="7"/>
        <v>1.0113753012606148</v>
      </c>
      <c r="AC34" s="42">
        <v>0</v>
      </c>
      <c r="AD34">
        <f t="shared" si="26"/>
        <v>1.0228799999999994E-2</v>
      </c>
      <c r="AE34" s="44">
        <f t="shared" si="27"/>
        <v>1.0228799999999994E-2</v>
      </c>
      <c r="AF34" s="42">
        <f t="shared" si="8"/>
        <v>0.28800000000000003</v>
      </c>
      <c r="AG34" s="44">
        <f t="shared" si="9"/>
        <v>0.28800000000000003</v>
      </c>
      <c r="AH34" s="42">
        <f t="shared" si="10"/>
        <v>0</v>
      </c>
      <c r="AI34">
        <f t="shared" si="11"/>
        <v>0.58764936274145996</v>
      </c>
      <c r="AJ34" s="44">
        <f t="shared" si="45"/>
        <v>0.58764936274145996</v>
      </c>
      <c r="AK34" s="42">
        <f t="shared" si="12"/>
        <v>14.4</v>
      </c>
      <c r="AL34">
        <f t="shared" si="13"/>
        <v>160</v>
      </c>
      <c r="AM34" s="44">
        <f t="shared" si="28"/>
        <v>0.09</v>
      </c>
      <c r="AN34" s="42">
        <f t="shared" si="29"/>
        <v>2</v>
      </c>
      <c r="AO34">
        <f t="shared" si="30"/>
        <v>0.6</v>
      </c>
      <c r="AP34">
        <f t="shared" si="31"/>
        <v>0.15</v>
      </c>
      <c r="AQ34">
        <f t="shared" si="32"/>
        <v>0.192</v>
      </c>
      <c r="AR34">
        <f t="shared" si="46"/>
        <v>0.246</v>
      </c>
      <c r="AS34" s="44">
        <f t="shared" si="47"/>
        <v>0.12386767132710617</v>
      </c>
      <c r="AT34" s="42"/>
      <c r="AU34">
        <f t="shared" si="33"/>
        <v>9.7199999999999991E-5</v>
      </c>
      <c r="AV34" s="44">
        <f t="shared" si="48"/>
        <v>9.7199999999999991E-5</v>
      </c>
      <c r="AW34" s="42">
        <f t="shared" si="34"/>
        <v>4</v>
      </c>
      <c r="AX34">
        <f t="shared" si="35"/>
        <v>2.7E-2</v>
      </c>
      <c r="AY34" s="44">
        <f t="shared" si="49"/>
        <v>4.0270000000000001</v>
      </c>
      <c r="AZ34" s="42">
        <f t="shared" si="14"/>
        <v>0</v>
      </c>
      <c r="BA34">
        <f t="shared" si="15"/>
        <v>0</v>
      </c>
      <c r="BB34">
        <f t="shared" si="50"/>
        <v>0</v>
      </c>
      <c r="BC34" s="44">
        <f t="shared" si="36"/>
        <v>0</v>
      </c>
      <c r="BD34" s="42">
        <v>0</v>
      </c>
      <c r="BE34">
        <f t="shared" si="51"/>
        <v>0</v>
      </c>
      <c r="BF34" s="44">
        <f t="shared" si="52"/>
        <v>0</v>
      </c>
      <c r="BG34" s="42">
        <f t="shared" si="37"/>
        <v>0</v>
      </c>
      <c r="BH34">
        <f t="shared" si="38"/>
        <v>0</v>
      </c>
      <c r="BI34" s="44">
        <f t="shared" si="39"/>
        <v>0</v>
      </c>
      <c r="BK34" s="42">
        <f t="shared" si="17"/>
        <v>0</v>
      </c>
      <c r="BL34">
        <f t="shared" si="18"/>
        <v>0</v>
      </c>
      <c r="BM34">
        <f t="shared" si="19"/>
        <v>0</v>
      </c>
      <c r="BN34" s="44">
        <f t="shared" si="40"/>
        <v>0</v>
      </c>
      <c r="BO34" s="42">
        <v>0</v>
      </c>
      <c r="BP34">
        <f t="shared" si="41"/>
        <v>0</v>
      </c>
      <c r="BQ34" s="44">
        <f t="shared" si="53"/>
        <v>0</v>
      </c>
      <c r="BR34" s="42">
        <f t="shared" si="42"/>
        <v>0</v>
      </c>
      <c r="BS34">
        <f t="shared" si="54"/>
        <v>0</v>
      </c>
      <c r="BT34" s="44">
        <f t="shared" si="55"/>
        <v>0</v>
      </c>
      <c r="BU34" s="42">
        <f t="shared" si="20"/>
        <v>6.1372799999999958E-3</v>
      </c>
      <c r="BV34">
        <f t="shared" si="21"/>
        <v>0.23625000000000002</v>
      </c>
      <c r="BW34" s="44">
        <f t="shared" si="22"/>
        <v>1.0800000000000001E-2</v>
      </c>
      <c r="BX34">
        <f t="shared" si="56"/>
        <v>0.29822880000000002</v>
      </c>
      <c r="BY34">
        <f t="shared" si="43"/>
        <v>5.4541626427414602</v>
      </c>
      <c r="BZ34">
        <f t="shared" si="44"/>
        <v>72.528870943164847</v>
      </c>
    </row>
    <row r="35" spans="17:78" x14ac:dyDescent="0.3">
      <c r="Q35">
        <v>28</v>
      </c>
      <c r="R35" s="42">
        <f t="shared" si="0"/>
        <v>14.933333333333334</v>
      </c>
      <c r="S35">
        <f t="shared" si="1"/>
        <v>24</v>
      </c>
      <c r="T35" s="44">
        <f t="shared" si="2"/>
        <v>0.62222222222222223</v>
      </c>
      <c r="U35" s="42">
        <f t="shared" si="3"/>
        <v>2</v>
      </c>
      <c r="V35">
        <f t="shared" si="4"/>
        <v>0.4</v>
      </c>
      <c r="W35">
        <f t="shared" si="5"/>
        <v>0.6</v>
      </c>
      <c r="X35">
        <f t="shared" si="23"/>
        <v>0</v>
      </c>
      <c r="Y35" s="42">
        <f t="shared" si="24"/>
        <v>1.5555555555555554</v>
      </c>
      <c r="Z35">
        <f t="shared" si="6"/>
        <v>1.9200000000000004</v>
      </c>
      <c r="AA35">
        <f t="shared" si="25"/>
        <v>2.5155555555555553</v>
      </c>
      <c r="AB35" s="44">
        <f t="shared" si="7"/>
        <v>1.0444047273772274</v>
      </c>
      <c r="AC35" s="42">
        <v>0</v>
      </c>
      <c r="AD35">
        <f t="shared" si="26"/>
        <v>1.0907812345679009E-2</v>
      </c>
      <c r="AE35" s="44">
        <f t="shared" si="27"/>
        <v>1.0907812345679009E-2</v>
      </c>
      <c r="AF35" s="42">
        <f t="shared" si="8"/>
        <v>0.29866666666666669</v>
      </c>
      <c r="AG35" s="44">
        <f t="shared" si="9"/>
        <v>0.29866666666666669</v>
      </c>
      <c r="AH35" s="42">
        <f t="shared" si="10"/>
        <v>0</v>
      </c>
      <c r="AI35">
        <f t="shared" si="11"/>
        <v>0.60941415395410659</v>
      </c>
      <c r="AJ35" s="44">
        <f t="shared" si="45"/>
        <v>0.60941415395410659</v>
      </c>
      <c r="AK35" s="42">
        <f t="shared" si="12"/>
        <v>14.933333333333334</v>
      </c>
      <c r="AL35">
        <f t="shared" si="13"/>
        <v>160</v>
      </c>
      <c r="AM35" s="44">
        <f t="shared" si="28"/>
        <v>9.3333333333333338E-2</v>
      </c>
      <c r="AN35" s="42">
        <f t="shared" si="29"/>
        <v>2</v>
      </c>
      <c r="AO35">
        <f t="shared" si="30"/>
        <v>0.60000000000000009</v>
      </c>
      <c r="AP35">
        <f t="shared" si="31"/>
        <v>0.15555555555555553</v>
      </c>
      <c r="AQ35">
        <f t="shared" si="32"/>
        <v>0.19200000000000003</v>
      </c>
      <c r="AR35">
        <f t="shared" si="46"/>
        <v>0.25155555555555553</v>
      </c>
      <c r="AS35" s="44">
        <f t="shared" si="47"/>
        <v>0.12791293335123902</v>
      </c>
      <c r="AT35" s="42"/>
      <c r="AU35">
        <f t="shared" si="33"/>
        <v>1.0453333333333334E-4</v>
      </c>
      <c r="AV35" s="44">
        <f t="shared" si="48"/>
        <v>1.0453333333333334E-4</v>
      </c>
      <c r="AW35" s="42">
        <f t="shared" si="34"/>
        <v>4</v>
      </c>
      <c r="AX35">
        <f t="shared" si="35"/>
        <v>2.8000000000000001E-2</v>
      </c>
      <c r="AY35" s="44">
        <f t="shared" si="49"/>
        <v>4.0279999999999996</v>
      </c>
      <c r="AZ35" s="42">
        <f t="shared" si="14"/>
        <v>0</v>
      </c>
      <c r="BA35">
        <f t="shared" si="15"/>
        <v>0</v>
      </c>
      <c r="BB35">
        <f t="shared" si="50"/>
        <v>0</v>
      </c>
      <c r="BC35" s="44">
        <f t="shared" si="36"/>
        <v>0</v>
      </c>
      <c r="BD35" s="42">
        <v>0</v>
      </c>
      <c r="BE35">
        <f t="shared" si="51"/>
        <v>0</v>
      </c>
      <c r="BF35" s="44">
        <f t="shared" si="52"/>
        <v>0</v>
      </c>
      <c r="BG35" s="42">
        <f t="shared" si="37"/>
        <v>0</v>
      </c>
      <c r="BH35">
        <f t="shared" si="38"/>
        <v>0</v>
      </c>
      <c r="BI35" s="44">
        <f t="shared" si="39"/>
        <v>0</v>
      </c>
      <c r="BK35" s="42">
        <f t="shared" si="17"/>
        <v>0</v>
      </c>
      <c r="BL35">
        <f t="shared" si="18"/>
        <v>0</v>
      </c>
      <c r="BM35">
        <f t="shared" si="19"/>
        <v>0</v>
      </c>
      <c r="BN35" s="44">
        <f t="shared" si="40"/>
        <v>0</v>
      </c>
      <c r="BO35" s="42">
        <v>0</v>
      </c>
      <c r="BP35">
        <f t="shared" si="41"/>
        <v>0</v>
      </c>
      <c r="BQ35" s="44">
        <f t="shared" si="53"/>
        <v>0</v>
      </c>
      <c r="BR35" s="42">
        <f t="shared" si="42"/>
        <v>0</v>
      </c>
      <c r="BS35">
        <f t="shared" si="54"/>
        <v>0</v>
      </c>
      <c r="BT35" s="44">
        <f t="shared" si="55"/>
        <v>0</v>
      </c>
      <c r="BU35" s="42">
        <f t="shared" si="20"/>
        <v>6.5446874074074051E-3</v>
      </c>
      <c r="BV35">
        <f t="shared" si="21"/>
        <v>0.23625000000000002</v>
      </c>
      <c r="BW35" s="44">
        <f t="shared" si="22"/>
        <v>1.0800000000000001E-2</v>
      </c>
      <c r="BX35">
        <f t="shared" si="56"/>
        <v>0.30957447901234569</v>
      </c>
      <c r="BY35">
        <f t="shared" si="43"/>
        <v>5.499354520373859</v>
      </c>
      <c r="BZ35">
        <f t="shared" si="44"/>
        <v>73.08550612749616</v>
      </c>
    </row>
    <row r="36" spans="17:78" s="174" customFormat="1" x14ac:dyDescent="0.3">
      <c r="Q36" s="174">
        <v>29</v>
      </c>
      <c r="R36" s="42">
        <f t="shared" si="0"/>
        <v>15.466666666666667</v>
      </c>
      <c r="S36">
        <f t="shared" si="1"/>
        <v>24</v>
      </c>
      <c r="T36" s="44">
        <f t="shared" si="2"/>
        <v>0.64444444444444449</v>
      </c>
      <c r="U36" s="42">
        <f t="shared" si="3"/>
        <v>2</v>
      </c>
      <c r="V36">
        <f t="shared" si="4"/>
        <v>0.4</v>
      </c>
      <c r="W36">
        <f t="shared" si="5"/>
        <v>0.6</v>
      </c>
      <c r="X36">
        <f t="shared" si="23"/>
        <v>0</v>
      </c>
      <c r="Y36" s="42">
        <f t="shared" si="24"/>
        <v>1.6111111111111109</v>
      </c>
      <c r="Z36">
        <f t="shared" si="6"/>
        <v>1.9200000000000004</v>
      </c>
      <c r="AA36">
        <f t="shared" si="25"/>
        <v>2.5711111111111111</v>
      </c>
      <c r="AB36" s="44">
        <f t="shared" si="7"/>
        <v>1.0775674479763535</v>
      </c>
      <c r="AC36" s="42">
        <v>0</v>
      </c>
      <c r="AD36">
        <f t="shared" si="26"/>
        <v>1.1611516049382714E-2</v>
      </c>
      <c r="AE36" s="44">
        <f t="shared" si="27"/>
        <v>1.1611516049382714E-2</v>
      </c>
      <c r="AF36" s="42">
        <f t="shared" si="8"/>
        <v>0.30933333333333335</v>
      </c>
      <c r="AG36" s="44">
        <f t="shared" si="9"/>
        <v>0.30933333333333335</v>
      </c>
      <c r="AH36" s="42">
        <f t="shared" si="10"/>
        <v>0</v>
      </c>
      <c r="AI36">
        <f t="shared" si="11"/>
        <v>0.63117894516675332</v>
      </c>
      <c r="AJ36" s="177">
        <f t="shared" si="45"/>
        <v>0.63117894516675332</v>
      </c>
      <c r="AK36" s="42">
        <f t="shared" si="12"/>
        <v>15.466666666666667</v>
      </c>
      <c r="AL36">
        <f t="shared" si="13"/>
        <v>160</v>
      </c>
      <c r="AM36" s="44">
        <f t="shared" si="28"/>
        <v>9.6666666666666665E-2</v>
      </c>
      <c r="AN36" s="42">
        <f t="shared" si="29"/>
        <v>2</v>
      </c>
      <c r="AO36">
        <f t="shared" si="30"/>
        <v>0.6</v>
      </c>
      <c r="AP36">
        <f t="shared" si="31"/>
        <v>0.16111111111111112</v>
      </c>
      <c r="AQ36">
        <f t="shared" si="32"/>
        <v>0.192</v>
      </c>
      <c r="AR36">
        <f t="shared" si="46"/>
        <v>0.25711111111111112</v>
      </c>
      <c r="AS36" s="44">
        <f t="shared" si="47"/>
        <v>0.13197452054875625</v>
      </c>
      <c r="AT36" s="42"/>
      <c r="AU36">
        <f t="shared" si="33"/>
        <v>1.1213333333333333E-4</v>
      </c>
      <c r="AV36" s="44">
        <f t="shared" si="48"/>
        <v>1.1213333333333333E-4</v>
      </c>
      <c r="AW36" s="42">
        <f t="shared" si="34"/>
        <v>4</v>
      </c>
      <c r="AX36">
        <f t="shared" si="35"/>
        <v>2.8999999999999998E-2</v>
      </c>
      <c r="AY36" s="44">
        <f t="shared" si="49"/>
        <v>4.0289999999999999</v>
      </c>
      <c r="AZ36" s="42">
        <f t="shared" si="14"/>
        <v>0</v>
      </c>
      <c r="BA36">
        <f t="shared" si="15"/>
        <v>0</v>
      </c>
      <c r="BB36">
        <f t="shared" si="50"/>
        <v>0</v>
      </c>
      <c r="BC36" s="44">
        <f t="shared" si="36"/>
        <v>0</v>
      </c>
      <c r="BD36" s="42">
        <v>0</v>
      </c>
      <c r="BE36">
        <f t="shared" si="51"/>
        <v>0</v>
      </c>
      <c r="BF36" s="44">
        <f t="shared" si="52"/>
        <v>0</v>
      </c>
      <c r="BG36" s="42">
        <f t="shared" si="37"/>
        <v>0</v>
      </c>
      <c r="BH36">
        <f t="shared" si="38"/>
        <v>0</v>
      </c>
      <c r="BI36" s="44">
        <f t="shared" si="39"/>
        <v>0</v>
      </c>
      <c r="BJ36"/>
      <c r="BK36" s="42">
        <f t="shared" si="17"/>
        <v>0</v>
      </c>
      <c r="BL36">
        <f t="shared" si="18"/>
        <v>0</v>
      </c>
      <c r="BM36">
        <f t="shared" si="19"/>
        <v>0</v>
      </c>
      <c r="BN36" s="44">
        <f t="shared" si="40"/>
        <v>0</v>
      </c>
      <c r="BO36" s="42">
        <v>0</v>
      </c>
      <c r="BP36">
        <f t="shared" si="41"/>
        <v>0</v>
      </c>
      <c r="BQ36" s="44">
        <f t="shared" si="53"/>
        <v>0</v>
      </c>
      <c r="BR36" s="42">
        <f t="shared" si="42"/>
        <v>0</v>
      </c>
      <c r="BS36">
        <f t="shared" si="54"/>
        <v>0</v>
      </c>
      <c r="BT36" s="44">
        <f t="shared" si="55"/>
        <v>0</v>
      </c>
      <c r="BU36" s="42">
        <f t="shared" si="20"/>
        <v>6.9669096296296282E-3</v>
      </c>
      <c r="BV36">
        <f t="shared" si="21"/>
        <v>0.23625000000000002</v>
      </c>
      <c r="BW36" s="44">
        <f t="shared" si="22"/>
        <v>1.0800000000000001E-2</v>
      </c>
      <c r="BX36">
        <f t="shared" si="56"/>
        <v>0.32094484938271606</v>
      </c>
      <c r="BY36">
        <f t="shared" si="43"/>
        <v>5.5445861708457649</v>
      </c>
      <c r="BZ36">
        <f t="shared" si="44"/>
        <v>73.611349053176212</v>
      </c>
    </row>
    <row r="37" spans="17:78" x14ac:dyDescent="0.3">
      <c r="Q37">
        <v>30</v>
      </c>
      <c r="R37" s="42">
        <f t="shared" si="0"/>
        <v>16</v>
      </c>
      <c r="S37">
        <f t="shared" si="1"/>
        <v>24</v>
      </c>
      <c r="T37" s="44">
        <f t="shared" si="2"/>
        <v>0.66666666666666663</v>
      </c>
      <c r="U37" s="42">
        <f t="shared" si="3"/>
        <v>2</v>
      </c>
      <c r="V37">
        <f t="shared" si="4"/>
        <v>0.4</v>
      </c>
      <c r="W37">
        <f t="shared" si="5"/>
        <v>0.6</v>
      </c>
      <c r="X37">
        <f t="shared" si="23"/>
        <v>0</v>
      </c>
      <c r="Y37" s="42">
        <f t="shared" si="24"/>
        <v>1.6666666666666665</v>
      </c>
      <c r="Z37">
        <f t="shared" si="6"/>
        <v>1.9200000000000004</v>
      </c>
      <c r="AA37">
        <f t="shared" si="25"/>
        <v>2.6266666666666669</v>
      </c>
      <c r="AB37" s="44">
        <f t="shared" si="7"/>
        <v>1.1108515252323827</v>
      </c>
      <c r="AC37" s="42">
        <v>0</v>
      </c>
      <c r="AD37">
        <f t="shared" si="26"/>
        <v>1.233991111111111E-2</v>
      </c>
      <c r="AE37" s="44">
        <f t="shared" si="27"/>
        <v>1.233991111111111E-2</v>
      </c>
      <c r="AF37" s="42">
        <f t="shared" si="8"/>
        <v>0.32</v>
      </c>
      <c r="AG37" s="44">
        <f t="shared" si="9"/>
        <v>0.32</v>
      </c>
      <c r="AH37" s="42">
        <f t="shared" si="10"/>
        <v>0</v>
      </c>
      <c r="AI37">
        <f t="shared" si="11"/>
        <v>0.65294373637939995</v>
      </c>
      <c r="AJ37" s="44">
        <f t="shared" si="45"/>
        <v>0.65294373637939995</v>
      </c>
      <c r="AK37" s="42">
        <f t="shared" si="12"/>
        <v>16</v>
      </c>
      <c r="AL37">
        <f t="shared" si="13"/>
        <v>160</v>
      </c>
      <c r="AM37" s="44">
        <f t="shared" si="28"/>
        <v>0.1</v>
      </c>
      <c r="AN37" s="42">
        <f t="shared" si="29"/>
        <v>2</v>
      </c>
      <c r="AO37">
        <f t="shared" si="30"/>
        <v>0.60000000000000009</v>
      </c>
      <c r="AP37">
        <f t="shared" si="31"/>
        <v>0.16666666666666666</v>
      </c>
      <c r="AQ37">
        <f t="shared" si="32"/>
        <v>0.19200000000000003</v>
      </c>
      <c r="AR37">
        <f t="shared" si="46"/>
        <v>0.26266666666666666</v>
      </c>
      <c r="AS37" s="44">
        <f t="shared" si="47"/>
        <v>0.13605097084058854</v>
      </c>
      <c r="AT37" s="42"/>
      <c r="AU37">
        <f t="shared" si="33"/>
        <v>1.2000000000000003E-4</v>
      </c>
      <c r="AV37" s="44">
        <f t="shared" si="48"/>
        <v>1.2000000000000003E-4</v>
      </c>
      <c r="AW37" s="42">
        <f t="shared" si="34"/>
        <v>4</v>
      </c>
      <c r="AX37">
        <f t="shared" si="35"/>
        <v>0.03</v>
      </c>
      <c r="AY37" s="44">
        <f t="shared" si="49"/>
        <v>4.03</v>
      </c>
      <c r="AZ37" s="42">
        <f t="shared" si="14"/>
        <v>0</v>
      </c>
      <c r="BA37">
        <f t="shared" si="15"/>
        <v>0</v>
      </c>
      <c r="BB37">
        <f t="shared" si="50"/>
        <v>0</v>
      </c>
      <c r="BC37" s="44">
        <f t="shared" si="36"/>
        <v>0</v>
      </c>
      <c r="BD37" s="42">
        <v>0</v>
      </c>
      <c r="BE37">
        <f t="shared" si="51"/>
        <v>0</v>
      </c>
      <c r="BF37" s="44">
        <f t="shared" si="52"/>
        <v>0</v>
      </c>
      <c r="BG37" s="42">
        <f t="shared" si="37"/>
        <v>0</v>
      </c>
      <c r="BH37">
        <f t="shared" si="38"/>
        <v>0</v>
      </c>
      <c r="BI37" s="44">
        <f t="shared" si="39"/>
        <v>0</v>
      </c>
      <c r="BK37" s="42">
        <f t="shared" si="17"/>
        <v>0</v>
      </c>
      <c r="BL37">
        <f t="shared" si="18"/>
        <v>0</v>
      </c>
      <c r="BM37">
        <f t="shared" si="19"/>
        <v>0</v>
      </c>
      <c r="BN37" s="44">
        <f t="shared" si="40"/>
        <v>0</v>
      </c>
      <c r="BO37" s="42">
        <v>0</v>
      </c>
      <c r="BP37">
        <f t="shared" si="41"/>
        <v>0</v>
      </c>
      <c r="BQ37" s="44">
        <f t="shared" si="53"/>
        <v>0</v>
      </c>
      <c r="BR37" s="42">
        <f t="shared" si="42"/>
        <v>0</v>
      </c>
      <c r="BS37">
        <f t="shared" si="54"/>
        <v>0</v>
      </c>
      <c r="BT37" s="44">
        <f t="shared" si="55"/>
        <v>0</v>
      </c>
      <c r="BU37" s="42">
        <f t="shared" si="20"/>
        <v>7.4039466666666661E-3</v>
      </c>
      <c r="BV37">
        <f t="shared" si="21"/>
        <v>0.23625000000000002</v>
      </c>
      <c r="BW37" s="44">
        <f t="shared" si="22"/>
        <v>1.0800000000000001E-2</v>
      </c>
      <c r="BX37">
        <f t="shared" si="56"/>
        <v>0.33233991111111111</v>
      </c>
      <c r="BY37">
        <f t="shared" si="43"/>
        <v>5.589857594157178</v>
      </c>
      <c r="BZ37">
        <f t="shared" si="44"/>
        <v>74.108872326837627</v>
      </c>
    </row>
    <row r="38" spans="17:78" x14ac:dyDescent="0.3">
      <c r="Q38">
        <v>31</v>
      </c>
      <c r="R38" s="42">
        <f t="shared" si="0"/>
        <v>16.533333333333331</v>
      </c>
      <c r="S38">
        <f t="shared" si="1"/>
        <v>24</v>
      </c>
      <c r="T38" s="44">
        <f t="shared" si="2"/>
        <v>0.68888888888888877</v>
      </c>
      <c r="U38" s="42">
        <f t="shared" si="3"/>
        <v>2</v>
      </c>
      <c r="V38">
        <f t="shared" si="4"/>
        <v>0.4</v>
      </c>
      <c r="W38">
        <f t="shared" si="5"/>
        <v>0.6</v>
      </c>
      <c r="X38">
        <f t="shared" si="23"/>
        <v>0</v>
      </c>
      <c r="Y38" s="42">
        <f t="shared" si="24"/>
        <v>1.7222222222222219</v>
      </c>
      <c r="Z38">
        <f t="shared" si="6"/>
        <v>1.9200000000000004</v>
      </c>
      <c r="AA38">
        <f t="shared" si="25"/>
        <v>2.6822222222222223</v>
      </c>
      <c r="AB38" s="44">
        <f t="shared" si="7"/>
        <v>1.1442463690510098</v>
      </c>
      <c r="AC38" s="42">
        <v>0</v>
      </c>
      <c r="AD38">
        <f t="shared" si="26"/>
        <v>1.3092997530864198E-2</v>
      </c>
      <c r="AE38" s="44">
        <f t="shared" si="27"/>
        <v>1.3092997530864198E-2</v>
      </c>
      <c r="AF38" s="42">
        <f t="shared" si="8"/>
        <v>0.33066666666666661</v>
      </c>
      <c r="AG38" s="44">
        <f t="shared" si="9"/>
        <v>0.33066666666666661</v>
      </c>
      <c r="AH38" s="42">
        <f t="shared" si="10"/>
        <v>0</v>
      </c>
      <c r="AI38">
        <f t="shared" si="11"/>
        <v>0.67470852759204647</v>
      </c>
      <c r="AJ38" s="44">
        <f t="shared" si="45"/>
        <v>0.67470852759204647</v>
      </c>
      <c r="AK38" s="42">
        <f t="shared" si="12"/>
        <v>16.533333333333331</v>
      </c>
      <c r="AL38">
        <f t="shared" si="13"/>
        <v>160</v>
      </c>
      <c r="AM38" s="44">
        <f t="shared" si="28"/>
        <v>0.10333333333333332</v>
      </c>
      <c r="AN38" s="42">
        <f t="shared" si="29"/>
        <v>2</v>
      </c>
      <c r="AO38">
        <f t="shared" si="30"/>
        <v>0.6</v>
      </c>
      <c r="AP38">
        <f t="shared" si="31"/>
        <v>0.17222222222222219</v>
      </c>
      <c r="AQ38">
        <f t="shared" si="32"/>
        <v>0.192</v>
      </c>
      <c r="AR38">
        <f t="shared" si="46"/>
        <v>0.2682222222222222</v>
      </c>
      <c r="AS38" s="44">
        <f t="shared" si="47"/>
        <v>0.14014098721036716</v>
      </c>
      <c r="AT38" s="42"/>
      <c r="AU38">
        <f t="shared" si="33"/>
        <v>1.2813333333333332E-4</v>
      </c>
      <c r="AV38" s="44">
        <f t="shared" si="48"/>
        <v>1.2813333333333332E-4</v>
      </c>
      <c r="AW38" s="42">
        <f t="shared" si="34"/>
        <v>4</v>
      </c>
      <c r="AX38">
        <f t="shared" si="35"/>
        <v>3.0999999999999993E-2</v>
      </c>
      <c r="AY38" s="44">
        <f t="shared" si="49"/>
        <v>4.0309999999999997</v>
      </c>
      <c r="AZ38" s="42">
        <f t="shared" si="14"/>
        <v>0</v>
      </c>
      <c r="BA38">
        <f t="shared" si="15"/>
        <v>0</v>
      </c>
      <c r="BB38">
        <f t="shared" si="50"/>
        <v>0</v>
      </c>
      <c r="BC38" s="44">
        <f t="shared" si="36"/>
        <v>0</v>
      </c>
      <c r="BD38" s="42">
        <v>0</v>
      </c>
      <c r="BE38">
        <f t="shared" si="51"/>
        <v>0</v>
      </c>
      <c r="BF38" s="44">
        <f t="shared" si="52"/>
        <v>0</v>
      </c>
      <c r="BG38" s="42">
        <f t="shared" si="37"/>
        <v>0</v>
      </c>
      <c r="BH38">
        <f t="shared" si="38"/>
        <v>0</v>
      </c>
      <c r="BI38" s="44">
        <f t="shared" si="39"/>
        <v>0</v>
      </c>
      <c r="BK38" s="42">
        <f t="shared" si="17"/>
        <v>0</v>
      </c>
      <c r="BL38">
        <f t="shared" si="18"/>
        <v>0</v>
      </c>
      <c r="BM38">
        <f t="shared" si="19"/>
        <v>0</v>
      </c>
      <c r="BN38" s="44">
        <f t="shared" si="40"/>
        <v>0</v>
      </c>
      <c r="BO38" s="42">
        <v>0</v>
      </c>
      <c r="BP38">
        <f t="shared" si="41"/>
        <v>0</v>
      </c>
      <c r="BQ38" s="44">
        <f t="shared" si="53"/>
        <v>0</v>
      </c>
      <c r="BR38" s="42">
        <f t="shared" si="42"/>
        <v>0</v>
      </c>
      <c r="BS38">
        <f t="shared" si="54"/>
        <v>0</v>
      </c>
      <c r="BT38" s="44">
        <f t="shared" si="55"/>
        <v>0</v>
      </c>
      <c r="BU38" s="42">
        <f t="shared" si="20"/>
        <v>7.8557985185185187E-3</v>
      </c>
      <c r="BV38">
        <f t="shared" si="21"/>
        <v>0.23625000000000002</v>
      </c>
      <c r="BW38" s="44">
        <f t="shared" si="22"/>
        <v>1.0800000000000001E-2</v>
      </c>
      <c r="BX38">
        <f t="shared" si="56"/>
        <v>0.34375966419753079</v>
      </c>
      <c r="BY38">
        <f t="shared" si="43"/>
        <v>5.6351687903080956</v>
      </c>
      <c r="BZ38">
        <f t="shared" si="44"/>
        <v>74.580290725648467</v>
      </c>
    </row>
    <row r="39" spans="17:78" x14ac:dyDescent="0.3">
      <c r="Q39">
        <v>32</v>
      </c>
      <c r="R39" s="42">
        <f t="shared" ref="R39:R70" si="57">AK39+AZ39+BK39</f>
        <v>17.066666666666666</v>
      </c>
      <c r="S39">
        <f t="shared" si="1"/>
        <v>24</v>
      </c>
      <c r="T39" s="44">
        <f t="shared" ref="T39:T70" si="58">(R39)/(S39*EFF_est)</f>
        <v>0.71111111111111114</v>
      </c>
      <c r="U39" s="42">
        <f t="shared" ref="U39:U70" si="59">IF(R39&lt;((((Np/NS1_)*(AL39)/((S39+((Np/NS1_)*(AL39)))))^2)*(S39^2))/(2*Lm*Fsw),1,2)</f>
        <v>2</v>
      </c>
      <c r="V39">
        <f t="shared" ref="V39:V70" si="60">CHOOSE(U39,SQRT((2*Lm*R39*Fsw)/((S39^2)*EFF_est)),(((Np/NS1_)*(AL39))/(S39+((Np/NS1_)*(AL39)))))</f>
        <v>0.4</v>
      </c>
      <c r="W39">
        <f t="shared" ref="W39:W70" si="61">CHOOSE(U39,(NS1_*S39*V39)/(Np*AL39),1-V39)</f>
        <v>0.6</v>
      </c>
      <c r="X39">
        <f t="shared" si="23"/>
        <v>0</v>
      </c>
      <c r="Y39" s="42">
        <f t="shared" si="24"/>
        <v>1.7777777777777775</v>
      </c>
      <c r="Z39">
        <f t="shared" ref="Z39:Z70" si="62">(S39*V39)/(Lm*Fsw)</f>
        <v>1.9200000000000004</v>
      </c>
      <c r="AA39">
        <f t="shared" si="25"/>
        <v>2.7377777777777776</v>
      </c>
      <c r="AB39" s="44">
        <f t="shared" ref="AB39:AB70" si="63">CHOOSE(U39,AA39*SQRT(V39/3),SQRT(V39*((AA39^2)+((Z39^2)/(3))-(AA39*Z39))))</f>
        <v>1.1777425571253666</v>
      </c>
      <c r="AC39" s="42">
        <v>0</v>
      </c>
      <c r="AD39">
        <f t="shared" ref="AD39:AD70" si="64">(AB39^2)*Rdcr</f>
        <v>1.3870775308641975E-2</v>
      </c>
      <c r="AE39" s="44">
        <f t="shared" si="27"/>
        <v>1.3870775308641975E-2</v>
      </c>
      <c r="AF39" s="42">
        <f t="shared" ref="AF39:AF70" si="65">R39*0.02</f>
        <v>0.34133333333333332</v>
      </c>
      <c r="AG39" s="44">
        <f t="shared" ref="AG39:AG70" si="66">R39*0.02</f>
        <v>0.34133333333333332</v>
      </c>
      <c r="AH39" s="42">
        <f t="shared" ref="AH39:AH70" si="67">(AB39^2)*RDS_on</f>
        <v>0</v>
      </c>
      <c r="AI39">
        <f t="shared" ref="AI39:AI70" si="68">((Y39*(S39+((Np/NS1_)*VOUT1)))/2)*Fsw*(tr_sw+tf_sw)</f>
        <v>0.69647331880469332</v>
      </c>
      <c r="AJ39" s="44">
        <f t="shared" si="45"/>
        <v>0.69647331880469332</v>
      </c>
      <c r="AK39" s="42">
        <f t="shared" ref="AK39:AK70" si="69">Q39*$B$11</f>
        <v>17.066666666666666</v>
      </c>
      <c r="AL39">
        <f t="shared" si="13"/>
        <v>160</v>
      </c>
      <c r="AM39" s="44">
        <f t="shared" si="28"/>
        <v>0.10666666666666666</v>
      </c>
      <c r="AN39" s="42">
        <f t="shared" si="29"/>
        <v>2</v>
      </c>
      <c r="AO39">
        <f t="shared" si="30"/>
        <v>0.6</v>
      </c>
      <c r="AP39">
        <f t="shared" si="31"/>
        <v>0.17777777777777776</v>
      </c>
      <c r="AQ39">
        <f t="shared" si="32"/>
        <v>0.192</v>
      </c>
      <c r="AR39">
        <f t="shared" si="46"/>
        <v>0.27377777777777779</v>
      </c>
      <c r="AS39" s="44">
        <f t="shared" si="47"/>
        <v>0.14424341566589083</v>
      </c>
      <c r="AT39" s="42"/>
      <c r="AU39">
        <f t="shared" si="33"/>
        <v>1.3653333333333331E-4</v>
      </c>
      <c r="AV39" s="44">
        <f t="shared" si="48"/>
        <v>1.3653333333333331E-4</v>
      </c>
      <c r="AW39" s="42">
        <f t="shared" si="34"/>
        <v>4</v>
      </c>
      <c r="AX39">
        <f t="shared" si="35"/>
        <v>3.1999999999999994E-2</v>
      </c>
      <c r="AY39" s="44">
        <f t="shared" si="49"/>
        <v>4.032</v>
      </c>
      <c r="AZ39" s="42">
        <f t="shared" ref="AZ39:AZ70" si="70">IF(EN_OUT_2=1,Q39*$B$15,0)</f>
        <v>0</v>
      </c>
      <c r="BA39">
        <f t="shared" ref="BA39:BA70" si="71">IF(EN_OUT_2=1,VOUT2,0)</f>
        <v>0</v>
      </c>
      <c r="BB39">
        <f t="shared" si="50"/>
        <v>0</v>
      </c>
      <c r="BC39" s="44">
        <f t="shared" si="36"/>
        <v>0</v>
      </c>
      <c r="BD39" s="42">
        <v>0</v>
      </c>
      <c r="BE39">
        <f t="shared" si="51"/>
        <v>0</v>
      </c>
      <c r="BF39" s="44">
        <f t="shared" si="52"/>
        <v>0</v>
      </c>
      <c r="BG39" s="42">
        <f t="shared" si="37"/>
        <v>0</v>
      </c>
      <c r="BH39">
        <f t="shared" si="38"/>
        <v>0</v>
      </c>
      <c r="BI39" s="44">
        <f t="shared" si="39"/>
        <v>0</v>
      </c>
      <c r="BK39" s="42">
        <f t="shared" ref="BK39:BK70" si="72">IF(EN_OUT_3=1,Q39*$B$19,0)</f>
        <v>0</v>
      </c>
      <c r="BL39">
        <f t="shared" si="18"/>
        <v>0</v>
      </c>
      <c r="BM39">
        <f t="shared" ref="BM39:BM70" si="73">IF(EN_OUT_3=1,BK39/BL39,0)</f>
        <v>0</v>
      </c>
      <c r="BN39" s="44">
        <f t="shared" si="40"/>
        <v>0</v>
      </c>
      <c r="BO39" s="42">
        <v>0</v>
      </c>
      <c r="BP39">
        <f t="shared" si="41"/>
        <v>0</v>
      </c>
      <c r="BQ39" s="44">
        <f t="shared" si="53"/>
        <v>0</v>
      </c>
      <c r="BR39" s="42">
        <f t="shared" si="42"/>
        <v>0</v>
      </c>
      <c r="BS39">
        <f t="shared" si="54"/>
        <v>0</v>
      </c>
      <c r="BT39" s="44">
        <f t="shared" si="55"/>
        <v>0</v>
      </c>
      <c r="BU39" s="42">
        <f t="shared" ref="BU39:BU70" si="74">(AB39^2)*R_cs</f>
        <v>8.3224651851851843E-3</v>
      </c>
      <c r="BV39">
        <f t="shared" si="21"/>
        <v>0.23625000000000002</v>
      </c>
      <c r="BW39" s="44">
        <f t="shared" ref="BW39:BW70" si="75">IQ*S39</f>
        <v>1.0800000000000001E-2</v>
      </c>
      <c r="BX39">
        <f t="shared" si="56"/>
        <v>0.35520410864197527</v>
      </c>
      <c r="BY39">
        <f t="shared" si="43"/>
        <v>5.6805197592985195</v>
      </c>
      <c r="BZ39">
        <f t="shared" si="44"/>
        <v>75.027593949753765</v>
      </c>
    </row>
    <row r="40" spans="17:78" x14ac:dyDescent="0.3">
      <c r="Q40">
        <v>33</v>
      </c>
      <c r="R40" s="42">
        <f t="shared" si="57"/>
        <v>17.600000000000001</v>
      </c>
      <c r="S40">
        <f t="shared" si="1"/>
        <v>24</v>
      </c>
      <c r="T40" s="44">
        <f t="shared" si="58"/>
        <v>0.73333333333333339</v>
      </c>
      <c r="U40" s="42">
        <f t="shared" si="59"/>
        <v>2</v>
      </c>
      <c r="V40">
        <f t="shared" si="60"/>
        <v>0.4</v>
      </c>
      <c r="W40">
        <f t="shared" si="61"/>
        <v>0.6</v>
      </c>
      <c r="X40">
        <f t="shared" si="23"/>
        <v>0</v>
      </c>
      <c r="Y40" s="42">
        <f t="shared" ref="Y40:Y71" si="76">R40/(S40*EFF_est*V40)</f>
        <v>1.8333333333333333</v>
      </c>
      <c r="Z40">
        <f t="shared" si="62"/>
        <v>1.9200000000000004</v>
      </c>
      <c r="AA40">
        <f t="shared" si="25"/>
        <v>2.7933333333333334</v>
      </c>
      <c r="AB40" s="44">
        <f t="shared" si="63"/>
        <v>1.2113316822590106</v>
      </c>
      <c r="AC40" s="42">
        <v>0</v>
      </c>
      <c r="AD40">
        <f t="shared" si="64"/>
        <v>1.4673244444444445E-2</v>
      </c>
      <c r="AE40" s="44">
        <f t="shared" si="27"/>
        <v>1.4673244444444445E-2</v>
      </c>
      <c r="AF40" s="42">
        <f t="shared" si="65"/>
        <v>0.35200000000000004</v>
      </c>
      <c r="AG40" s="44">
        <f t="shared" si="66"/>
        <v>0.35200000000000004</v>
      </c>
      <c r="AH40" s="42">
        <f t="shared" si="67"/>
        <v>0</v>
      </c>
      <c r="AI40">
        <f t="shared" si="68"/>
        <v>0.71823811001733995</v>
      </c>
      <c r="AJ40" s="44">
        <f t="shared" si="45"/>
        <v>0.71823811001733995</v>
      </c>
      <c r="AK40" s="42">
        <f t="shared" si="69"/>
        <v>17.600000000000001</v>
      </c>
      <c r="AL40">
        <f t="shared" si="13"/>
        <v>160</v>
      </c>
      <c r="AM40" s="44">
        <f t="shared" si="28"/>
        <v>0.11000000000000001</v>
      </c>
      <c r="AN40" s="42">
        <f t="shared" ref="AN40:AN71" si="77">IF(((AL40*AO40)/(Fsw*$AO$2))/2&gt;AP40,1,2)</f>
        <v>2</v>
      </c>
      <c r="AO40">
        <f t="shared" ref="AO40:AO71" si="78">AM40/AP40</f>
        <v>0.60000000000000009</v>
      </c>
      <c r="AP40">
        <f t="shared" ref="AP40:AP71" si="79">Np*$Y40*AK40/(R40*NS1_)</f>
        <v>0.18333333333333332</v>
      </c>
      <c r="AQ40">
        <f t="shared" ref="AQ40:AQ71" si="80">(AL40*AO40)/(Fsw*$AO$2)</f>
        <v>0.19200000000000003</v>
      </c>
      <c r="AR40">
        <f t="shared" si="46"/>
        <v>0.27933333333333332</v>
      </c>
      <c r="AS40" s="44">
        <f t="shared" si="47"/>
        <v>0.1483572265400869</v>
      </c>
      <c r="AT40" s="42"/>
      <c r="AU40">
        <f t="shared" ref="AU40:AU71" si="81">(AM40^2)*Rdcr1</f>
        <v>1.4520000000000003E-4</v>
      </c>
      <c r="AV40" s="44">
        <f t="shared" si="48"/>
        <v>1.4520000000000003E-4</v>
      </c>
      <c r="AW40" s="42">
        <f t="shared" ref="AW40:AW71" si="82">(VOUT1+((NS1_/Np)*S40))*QRR1_*Fsw</f>
        <v>4</v>
      </c>
      <c r="AX40">
        <f t="shared" ref="AX40:AX71" si="83">AM40*VD1_</f>
        <v>3.3000000000000002E-2</v>
      </c>
      <c r="AY40" s="44">
        <f t="shared" si="49"/>
        <v>4.0330000000000004</v>
      </c>
      <c r="AZ40" s="42">
        <f t="shared" si="70"/>
        <v>0</v>
      </c>
      <c r="BA40">
        <f t="shared" si="71"/>
        <v>0</v>
      </c>
      <c r="BB40">
        <f t="shared" si="50"/>
        <v>0</v>
      </c>
      <c r="BC40" s="44">
        <f t="shared" ref="BC40:BC71" si="84">IF(EN_OUT_2=1,AZ40/BA40,0)</f>
        <v>0</v>
      </c>
      <c r="BD40" s="42">
        <v>0</v>
      </c>
      <c r="BE40">
        <f t="shared" ref="BE40:BE71" si="85">(BB40^2)*Rdcr2</f>
        <v>0</v>
      </c>
      <c r="BF40" s="44">
        <f t="shared" si="52"/>
        <v>0</v>
      </c>
      <c r="BG40" s="42">
        <f t="shared" ref="BG40:BG71" si="86">(VOUT2+((NS2_/Np)*S40))*QRR2_*Fsw</f>
        <v>0</v>
      </c>
      <c r="BH40">
        <f t="shared" ref="BH40:BH71" si="87">BB40*VD2_</f>
        <v>0</v>
      </c>
      <c r="BI40" s="44">
        <f t="shared" ref="BI40:BI71" si="88">BH40+BG40</f>
        <v>0</v>
      </c>
      <c r="BK40" s="42">
        <f t="shared" si="72"/>
        <v>0</v>
      </c>
      <c r="BL40">
        <f t="shared" si="18"/>
        <v>0</v>
      </c>
      <c r="BM40">
        <f t="shared" si="73"/>
        <v>0</v>
      </c>
      <c r="BN40" s="44">
        <f t="shared" ref="BN40:BN71" si="89">Y40*(Np/NS3_)*(BK40/R40)</f>
        <v>0</v>
      </c>
      <c r="BO40" s="42">
        <v>0</v>
      </c>
      <c r="BP40">
        <f t="shared" ref="BP40:BP71" si="90">(BM40^2)*Rdcr3</f>
        <v>0</v>
      </c>
      <c r="BQ40" s="44">
        <f t="shared" si="53"/>
        <v>0</v>
      </c>
      <c r="BR40" s="42">
        <f t="shared" ref="BR40:BR71" si="91">(VOUT3+((NS3_/Np)*S40))*QRR3_*Fsw</f>
        <v>0</v>
      </c>
      <c r="BS40">
        <f t="shared" ref="BS40:BS71" si="92">BM40*VD3_</f>
        <v>0</v>
      </c>
      <c r="BT40" s="44">
        <f t="shared" si="55"/>
        <v>0</v>
      </c>
      <c r="BU40" s="42">
        <f t="shared" si="74"/>
        <v>8.8039466666666663E-3</v>
      </c>
      <c r="BV40">
        <f t="shared" si="21"/>
        <v>0.23625000000000002</v>
      </c>
      <c r="BW40" s="44">
        <f t="shared" si="75"/>
        <v>1.0800000000000001E-2</v>
      </c>
      <c r="BX40">
        <f t="shared" si="56"/>
        <v>0.36667324444444449</v>
      </c>
      <c r="BY40">
        <f t="shared" si="43"/>
        <v>5.7259105011284523</v>
      </c>
      <c r="BZ40">
        <f t="shared" ref="BZ40:BZ71" si="93">(R40/(R40+BY40))*100</f>
        <v>75.452574505713528</v>
      </c>
    </row>
    <row r="41" spans="17:78" x14ac:dyDescent="0.3">
      <c r="Q41">
        <v>34</v>
      </c>
      <c r="R41" s="42">
        <f t="shared" si="57"/>
        <v>18.133333333333333</v>
      </c>
      <c r="S41">
        <f t="shared" si="1"/>
        <v>24</v>
      </c>
      <c r="T41" s="44">
        <f t="shared" si="58"/>
        <v>0.75555555555555554</v>
      </c>
      <c r="U41" s="42">
        <f t="shared" si="59"/>
        <v>2</v>
      </c>
      <c r="V41">
        <f t="shared" si="60"/>
        <v>0.4</v>
      </c>
      <c r="W41">
        <f t="shared" si="61"/>
        <v>0.6</v>
      </c>
      <c r="X41">
        <f t="shared" si="23"/>
        <v>0</v>
      </c>
      <c r="Y41" s="42">
        <f t="shared" si="76"/>
        <v>1.8888888888888886</v>
      </c>
      <c r="Z41">
        <f t="shared" si="62"/>
        <v>1.9200000000000004</v>
      </c>
      <c r="AA41">
        <f t="shared" si="25"/>
        <v>2.8488888888888888</v>
      </c>
      <c r="AB41" s="44">
        <f t="shared" si="63"/>
        <v>1.2450062224049965</v>
      </c>
      <c r="AC41" s="42">
        <v>0</v>
      </c>
      <c r="AD41">
        <f t="shared" si="64"/>
        <v>1.5500404938271595E-2</v>
      </c>
      <c r="AE41" s="44">
        <f t="shared" si="27"/>
        <v>1.5500404938271595E-2</v>
      </c>
      <c r="AF41" s="42">
        <f t="shared" si="65"/>
        <v>0.36266666666666664</v>
      </c>
      <c r="AG41" s="44">
        <f t="shared" si="66"/>
        <v>0.36266666666666664</v>
      </c>
      <c r="AH41" s="42">
        <f t="shared" si="67"/>
        <v>0</v>
      </c>
      <c r="AI41">
        <f t="shared" si="68"/>
        <v>0.74000290122998647</v>
      </c>
      <c r="AJ41" s="44">
        <f t="shared" si="45"/>
        <v>0.74000290122998647</v>
      </c>
      <c r="AK41" s="42">
        <f t="shared" si="69"/>
        <v>18.133333333333333</v>
      </c>
      <c r="AL41">
        <f t="shared" si="13"/>
        <v>160</v>
      </c>
      <c r="AM41" s="44">
        <f t="shared" si="28"/>
        <v>0.11333333333333333</v>
      </c>
      <c r="AN41" s="42">
        <f t="shared" si="77"/>
        <v>2</v>
      </c>
      <c r="AO41">
        <f t="shared" si="78"/>
        <v>0.6</v>
      </c>
      <c r="AP41">
        <f t="shared" si="79"/>
        <v>0.18888888888888888</v>
      </c>
      <c r="AQ41">
        <f t="shared" si="80"/>
        <v>0.192</v>
      </c>
      <c r="AR41">
        <f t="shared" si="46"/>
        <v>0.28488888888888886</v>
      </c>
      <c r="AS41" s="44">
        <f t="shared" si="47"/>
        <v>0.15248149857411358</v>
      </c>
      <c r="AT41" s="42"/>
      <c r="AU41">
        <f t="shared" si="81"/>
        <v>1.5413333333333333E-4</v>
      </c>
      <c r="AV41" s="44">
        <f t="shared" si="48"/>
        <v>1.5413333333333333E-4</v>
      </c>
      <c r="AW41" s="42">
        <f t="shared" si="82"/>
        <v>4</v>
      </c>
      <c r="AX41">
        <f t="shared" si="83"/>
        <v>3.3999999999999996E-2</v>
      </c>
      <c r="AY41" s="44">
        <f t="shared" si="49"/>
        <v>4.0339999999999998</v>
      </c>
      <c r="AZ41" s="42">
        <f t="shared" si="70"/>
        <v>0</v>
      </c>
      <c r="BA41">
        <f t="shared" si="71"/>
        <v>0</v>
      </c>
      <c r="BB41">
        <f t="shared" si="50"/>
        <v>0</v>
      </c>
      <c r="BC41" s="44">
        <f t="shared" si="84"/>
        <v>0</v>
      </c>
      <c r="BD41" s="42">
        <v>0</v>
      </c>
      <c r="BE41">
        <f t="shared" si="85"/>
        <v>0</v>
      </c>
      <c r="BF41" s="44">
        <f t="shared" si="52"/>
        <v>0</v>
      </c>
      <c r="BG41" s="42">
        <f t="shared" si="86"/>
        <v>0</v>
      </c>
      <c r="BH41">
        <f t="shared" si="87"/>
        <v>0</v>
      </c>
      <c r="BI41" s="44">
        <f t="shared" si="88"/>
        <v>0</v>
      </c>
      <c r="BK41" s="42">
        <f t="shared" si="72"/>
        <v>0</v>
      </c>
      <c r="BL41">
        <f t="shared" si="18"/>
        <v>0</v>
      </c>
      <c r="BM41">
        <f t="shared" si="73"/>
        <v>0</v>
      </c>
      <c r="BN41" s="44">
        <f t="shared" si="89"/>
        <v>0</v>
      </c>
      <c r="BO41" s="42">
        <v>0</v>
      </c>
      <c r="BP41">
        <f t="shared" si="90"/>
        <v>0</v>
      </c>
      <c r="BQ41" s="44">
        <f t="shared" si="53"/>
        <v>0</v>
      </c>
      <c r="BR41" s="42">
        <f t="shared" si="91"/>
        <v>0</v>
      </c>
      <c r="BS41">
        <f t="shared" si="92"/>
        <v>0</v>
      </c>
      <c r="BT41" s="44">
        <f t="shared" si="55"/>
        <v>0</v>
      </c>
      <c r="BU41" s="42">
        <f t="shared" si="74"/>
        <v>9.3002429629629579E-3</v>
      </c>
      <c r="BV41">
        <f t="shared" si="21"/>
        <v>0.23625000000000002</v>
      </c>
      <c r="BW41" s="44">
        <f t="shared" si="75"/>
        <v>1.0800000000000001E-2</v>
      </c>
      <c r="BX41">
        <f t="shared" si="56"/>
        <v>0.37816707160493823</v>
      </c>
      <c r="BY41">
        <f t="shared" si="43"/>
        <v>5.7713410157978871</v>
      </c>
      <c r="BZ41">
        <f t="shared" si="93"/>
        <v>75.85685154498816</v>
      </c>
    </row>
    <row r="42" spans="17:78" x14ac:dyDescent="0.3">
      <c r="Q42">
        <v>35</v>
      </c>
      <c r="R42" s="42">
        <f t="shared" si="57"/>
        <v>18.666666666666668</v>
      </c>
      <c r="S42">
        <f t="shared" si="1"/>
        <v>24</v>
      </c>
      <c r="T42" s="44">
        <f t="shared" si="58"/>
        <v>0.77777777777777779</v>
      </c>
      <c r="U42" s="42">
        <f t="shared" si="59"/>
        <v>2</v>
      </c>
      <c r="V42">
        <f t="shared" si="60"/>
        <v>0.4</v>
      </c>
      <c r="W42">
        <f t="shared" si="61"/>
        <v>0.6</v>
      </c>
      <c r="X42">
        <f t="shared" si="23"/>
        <v>0</v>
      </c>
      <c r="Y42" s="42">
        <f t="shared" si="76"/>
        <v>1.9444444444444442</v>
      </c>
      <c r="Z42">
        <f t="shared" si="62"/>
        <v>1.9200000000000004</v>
      </c>
      <c r="AA42">
        <f t="shared" si="25"/>
        <v>2.9044444444444446</v>
      </c>
      <c r="AB42" s="44">
        <f t="shared" si="63"/>
        <v>1.2787594296865792</v>
      </c>
      <c r="AC42" s="42">
        <v>0</v>
      </c>
      <c r="AD42">
        <f t="shared" si="64"/>
        <v>1.6352256790123452E-2</v>
      </c>
      <c r="AE42" s="44">
        <f t="shared" si="27"/>
        <v>1.6352256790123452E-2</v>
      </c>
      <c r="AF42" s="42">
        <f t="shared" si="65"/>
        <v>0.37333333333333335</v>
      </c>
      <c r="AG42" s="44">
        <f t="shared" si="66"/>
        <v>0.37333333333333335</v>
      </c>
      <c r="AH42" s="42">
        <f t="shared" si="67"/>
        <v>0</v>
      </c>
      <c r="AI42">
        <f t="shared" si="68"/>
        <v>0.76176769244263332</v>
      </c>
      <c r="AJ42" s="44">
        <f t="shared" si="45"/>
        <v>0.76176769244263332</v>
      </c>
      <c r="AK42" s="42">
        <f t="shared" si="69"/>
        <v>18.666666666666668</v>
      </c>
      <c r="AL42">
        <f t="shared" si="13"/>
        <v>160</v>
      </c>
      <c r="AM42" s="44">
        <f t="shared" si="28"/>
        <v>0.11666666666666667</v>
      </c>
      <c r="AN42" s="42">
        <f t="shared" si="77"/>
        <v>2</v>
      </c>
      <c r="AO42">
        <f t="shared" si="78"/>
        <v>0.6000000000000002</v>
      </c>
      <c r="AP42">
        <f t="shared" si="79"/>
        <v>0.19444444444444439</v>
      </c>
      <c r="AQ42">
        <f t="shared" si="80"/>
        <v>0.19200000000000006</v>
      </c>
      <c r="AR42">
        <f t="shared" si="46"/>
        <v>0.29044444444444439</v>
      </c>
      <c r="AS42" s="44">
        <f t="shared" si="47"/>
        <v>0.15661540532522711</v>
      </c>
      <c r="AT42" s="42"/>
      <c r="AU42">
        <f t="shared" si="81"/>
        <v>1.6333333333333334E-4</v>
      </c>
      <c r="AV42" s="44">
        <f t="shared" si="48"/>
        <v>1.6333333333333334E-4</v>
      </c>
      <c r="AW42" s="42">
        <f t="shared" si="82"/>
        <v>4</v>
      </c>
      <c r="AX42">
        <f t="shared" si="83"/>
        <v>3.4999999999999996E-2</v>
      </c>
      <c r="AY42" s="44">
        <f t="shared" si="49"/>
        <v>4.0350000000000001</v>
      </c>
      <c r="AZ42" s="42">
        <f t="shared" si="70"/>
        <v>0</v>
      </c>
      <c r="BA42">
        <f t="shared" si="71"/>
        <v>0</v>
      </c>
      <c r="BB42">
        <f t="shared" si="50"/>
        <v>0</v>
      </c>
      <c r="BC42" s="44">
        <f t="shared" si="84"/>
        <v>0</v>
      </c>
      <c r="BD42" s="42">
        <v>0</v>
      </c>
      <c r="BE42">
        <f t="shared" si="85"/>
        <v>0</v>
      </c>
      <c r="BF42" s="44">
        <f t="shared" si="52"/>
        <v>0</v>
      </c>
      <c r="BG42" s="42">
        <f t="shared" si="86"/>
        <v>0</v>
      </c>
      <c r="BH42">
        <f t="shared" si="87"/>
        <v>0</v>
      </c>
      <c r="BI42" s="44">
        <f t="shared" si="88"/>
        <v>0</v>
      </c>
      <c r="BK42" s="42">
        <f t="shared" si="72"/>
        <v>0</v>
      </c>
      <c r="BL42">
        <f t="shared" si="18"/>
        <v>0</v>
      </c>
      <c r="BM42">
        <f t="shared" si="73"/>
        <v>0</v>
      </c>
      <c r="BN42" s="44">
        <f t="shared" si="89"/>
        <v>0</v>
      </c>
      <c r="BO42" s="42">
        <v>0</v>
      </c>
      <c r="BP42">
        <f t="shared" si="90"/>
        <v>0</v>
      </c>
      <c r="BQ42" s="44">
        <f t="shared" si="53"/>
        <v>0</v>
      </c>
      <c r="BR42" s="42">
        <f t="shared" si="91"/>
        <v>0</v>
      </c>
      <c r="BS42">
        <f t="shared" si="92"/>
        <v>0</v>
      </c>
      <c r="BT42" s="44">
        <f t="shared" si="55"/>
        <v>0</v>
      </c>
      <c r="BU42" s="42">
        <f t="shared" si="74"/>
        <v>9.8113540740740711E-3</v>
      </c>
      <c r="BV42">
        <f t="shared" si="21"/>
        <v>0.23625000000000002</v>
      </c>
      <c r="BW42" s="44">
        <f t="shared" si="75"/>
        <v>1.0800000000000001E-2</v>
      </c>
      <c r="BX42">
        <f t="shared" si="56"/>
        <v>0.38968559012345683</v>
      </c>
      <c r="BY42">
        <f t="shared" si="43"/>
        <v>5.8168113033068307</v>
      </c>
      <c r="BZ42">
        <f t="shared" si="93"/>
        <v>76.241891325895111</v>
      </c>
    </row>
    <row r="43" spans="17:78" x14ac:dyDescent="0.3">
      <c r="Q43">
        <v>36</v>
      </c>
      <c r="R43" s="42">
        <f t="shared" si="57"/>
        <v>19.2</v>
      </c>
      <c r="S43">
        <f t="shared" si="1"/>
        <v>24</v>
      </c>
      <c r="T43" s="44">
        <f t="shared" si="58"/>
        <v>0.79999999999999993</v>
      </c>
      <c r="U43" s="42">
        <f t="shared" si="59"/>
        <v>2</v>
      </c>
      <c r="V43">
        <f t="shared" si="60"/>
        <v>0.4</v>
      </c>
      <c r="W43">
        <f t="shared" si="61"/>
        <v>0.6</v>
      </c>
      <c r="X43">
        <f t="shared" si="23"/>
        <v>0</v>
      </c>
      <c r="Y43" s="42">
        <f t="shared" si="76"/>
        <v>1.9999999999999996</v>
      </c>
      <c r="Z43">
        <f t="shared" si="62"/>
        <v>1.9200000000000004</v>
      </c>
      <c r="AA43">
        <f t="shared" si="25"/>
        <v>2.96</v>
      </c>
      <c r="AB43" s="44">
        <f t="shared" si="63"/>
        <v>1.3125852353275955</v>
      </c>
      <c r="AC43" s="42">
        <v>0</v>
      </c>
      <c r="AD43">
        <f t="shared" si="64"/>
        <v>1.7228799999999992E-2</v>
      </c>
      <c r="AE43" s="44">
        <f t="shared" si="27"/>
        <v>1.7228799999999992E-2</v>
      </c>
      <c r="AF43" s="42">
        <f t="shared" si="65"/>
        <v>0.38400000000000001</v>
      </c>
      <c r="AG43" s="44">
        <f t="shared" si="66"/>
        <v>0.38400000000000001</v>
      </c>
      <c r="AH43" s="42">
        <f t="shared" si="67"/>
        <v>0</v>
      </c>
      <c r="AI43">
        <f t="shared" si="68"/>
        <v>0.78353248365527983</v>
      </c>
      <c r="AJ43" s="44">
        <f t="shared" si="45"/>
        <v>0.78353248365527983</v>
      </c>
      <c r="AK43" s="42">
        <f t="shared" si="69"/>
        <v>19.2</v>
      </c>
      <c r="AL43">
        <f t="shared" si="13"/>
        <v>160</v>
      </c>
      <c r="AM43" s="44">
        <f t="shared" si="28"/>
        <v>0.12</v>
      </c>
      <c r="AN43" s="42">
        <f t="shared" si="77"/>
        <v>2</v>
      </c>
      <c r="AO43">
        <f t="shared" si="78"/>
        <v>0.60000000000000009</v>
      </c>
      <c r="AP43">
        <f t="shared" si="79"/>
        <v>0.19999999999999996</v>
      </c>
      <c r="AQ43">
        <f t="shared" si="80"/>
        <v>0.19200000000000003</v>
      </c>
      <c r="AR43">
        <f t="shared" si="46"/>
        <v>0.29599999999999999</v>
      </c>
      <c r="AS43" s="44">
        <f t="shared" si="47"/>
        <v>0.16075820352317949</v>
      </c>
      <c r="AT43" s="42"/>
      <c r="AU43">
        <f t="shared" si="81"/>
        <v>1.728E-4</v>
      </c>
      <c r="AV43" s="44">
        <f t="shared" si="48"/>
        <v>1.728E-4</v>
      </c>
      <c r="AW43" s="42">
        <f t="shared" si="82"/>
        <v>4</v>
      </c>
      <c r="AX43">
        <f t="shared" si="83"/>
        <v>3.5999999999999997E-2</v>
      </c>
      <c r="AY43" s="44">
        <f t="shared" si="49"/>
        <v>4.0359999999999996</v>
      </c>
      <c r="AZ43" s="42">
        <f t="shared" si="70"/>
        <v>0</v>
      </c>
      <c r="BA43">
        <f t="shared" si="71"/>
        <v>0</v>
      </c>
      <c r="BB43">
        <f t="shared" si="50"/>
        <v>0</v>
      </c>
      <c r="BC43" s="44">
        <f t="shared" si="84"/>
        <v>0</v>
      </c>
      <c r="BD43" s="42">
        <v>0</v>
      </c>
      <c r="BE43">
        <f t="shared" si="85"/>
        <v>0</v>
      </c>
      <c r="BF43" s="44">
        <f t="shared" si="52"/>
        <v>0</v>
      </c>
      <c r="BG43" s="42">
        <f t="shared" si="86"/>
        <v>0</v>
      </c>
      <c r="BH43">
        <f t="shared" si="87"/>
        <v>0</v>
      </c>
      <c r="BI43" s="44">
        <f t="shared" si="88"/>
        <v>0</v>
      </c>
      <c r="BK43" s="42">
        <f t="shared" si="72"/>
        <v>0</v>
      </c>
      <c r="BL43">
        <f t="shared" si="18"/>
        <v>0</v>
      </c>
      <c r="BM43">
        <f t="shared" si="73"/>
        <v>0</v>
      </c>
      <c r="BN43" s="44">
        <f t="shared" si="89"/>
        <v>0</v>
      </c>
      <c r="BO43" s="42">
        <v>0</v>
      </c>
      <c r="BP43">
        <f t="shared" si="90"/>
        <v>0</v>
      </c>
      <c r="BQ43" s="44">
        <f t="shared" si="53"/>
        <v>0</v>
      </c>
      <c r="BR43" s="42">
        <f t="shared" si="91"/>
        <v>0</v>
      </c>
      <c r="BS43">
        <f t="shared" si="92"/>
        <v>0</v>
      </c>
      <c r="BT43" s="44">
        <f t="shared" si="55"/>
        <v>0</v>
      </c>
      <c r="BU43" s="42">
        <f t="shared" si="74"/>
        <v>1.0337279999999996E-2</v>
      </c>
      <c r="BV43">
        <f t="shared" si="21"/>
        <v>0.23625000000000002</v>
      </c>
      <c r="BW43" s="44">
        <f t="shared" si="75"/>
        <v>1.0800000000000001E-2</v>
      </c>
      <c r="BX43">
        <f t="shared" si="56"/>
        <v>0.4012288</v>
      </c>
      <c r="BY43">
        <f t="shared" si="43"/>
        <v>5.8623213636552789</v>
      </c>
      <c r="BZ43">
        <f t="shared" si="93"/>
        <v>76.609024844136485</v>
      </c>
    </row>
    <row r="44" spans="17:78" x14ac:dyDescent="0.3">
      <c r="Q44">
        <v>37</v>
      </c>
      <c r="R44" s="42">
        <f t="shared" si="57"/>
        <v>19.733333333333334</v>
      </c>
      <c r="S44">
        <f t="shared" si="1"/>
        <v>24</v>
      </c>
      <c r="T44" s="44">
        <f t="shared" si="58"/>
        <v>0.8222222222222223</v>
      </c>
      <c r="U44" s="42">
        <f t="shared" si="59"/>
        <v>2</v>
      </c>
      <c r="V44">
        <f t="shared" si="60"/>
        <v>0.4</v>
      </c>
      <c r="W44">
        <f t="shared" si="61"/>
        <v>0.6</v>
      </c>
      <c r="X44">
        <f t="shared" si="23"/>
        <v>0</v>
      </c>
      <c r="Y44" s="42">
        <f t="shared" si="76"/>
        <v>2.0555555555555554</v>
      </c>
      <c r="Z44">
        <f t="shared" si="62"/>
        <v>1.9200000000000004</v>
      </c>
      <c r="AA44">
        <f t="shared" si="25"/>
        <v>3.0155555555555553</v>
      </c>
      <c r="AB44" s="44">
        <f t="shared" si="63"/>
        <v>1.3464781679589619</v>
      </c>
      <c r="AC44" s="42">
        <v>0</v>
      </c>
      <c r="AD44">
        <f t="shared" si="64"/>
        <v>1.8130034567901226E-2</v>
      </c>
      <c r="AE44" s="44">
        <f t="shared" si="27"/>
        <v>1.8130034567901226E-2</v>
      </c>
      <c r="AF44" s="42">
        <f t="shared" si="65"/>
        <v>0.39466666666666672</v>
      </c>
      <c r="AG44" s="44">
        <f t="shared" si="66"/>
        <v>0.39466666666666672</v>
      </c>
      <c r="AH44" s="42">
        <f t="shared" si="67"/>
        <v>0</v>
      </c>
      <c r="AI44">
        <f t="shared" si="68"/>
        <v>0.80529727486792657</v>
      </c>
      <c r="AJ44" s="44">
        <f t="shared" si="45"/>
        <v>0.80529727486792657</v>
      </c>
      <c r="AK44" s="42">
        <f t="shared" si="69"/>
        <v>19.733333333333334</v>
      </c>
      <c r="AL44">
        <f t="shared" si="13"/>
        <v>160</v>
      </c>
      <c r="AM44" s="44">
        <f t="shared" si="28"/>
        <v>0.12333333333333334</v>
      </c>
      <c r="AN44" s="42">
        <f t="shared" si="77"/>
        <v>2</v>
      </c>
      <c r="AO44">
        <f t="shared" si="78"/>
        <v>0.60000000000000009</v>
      </c>
      <c r="AP44">
        <f t="shared" si="79"/>
        <v>0.20555555555555555</v>
      </c>
      <c r="AQ44">
        <f t="shared" si="80"/>
        <v>0.19200000000000003</v>
      </c>
      <c r="AR44">
        <f t="shared" si="46"/>
        <v>0.30155555555555558</v>
      </c>
      <c r="AS44" s="44">
        <f t="shared" si="47"/>
        <v>0.1649092230648482</v>
      </c>
      <c r="AT44" s="42"/>
      <c r="AU44">
        <f t="shared" si="81"/>
        <v>1.8253333333333337E-4</v>
      </c>
      <c r="AV44" s="44">
        <f t="shared" si="48"/>
        <v>1.8253333333333337E-4</v>
      </c>
      <c r="AW44" s="42">
        <f t="shared" si="82"/>
        <v>4</v>
      </c>
      <c r="AX44">
        <f t="shared" si="83"/>
        <v>3.6999999999999998E-2</v>
      </c>
      <c r="AY44" s="44">
        <f t="shared" si="49"/>
        <v>4.0369999999999999</v>
      </c>
      <c r="AZ44" s="42">
        <f t="shared" si="70"/>
        <v>0</v>
      </c>
      <c r="BA44">
        <f t="shared" si="71"/>
        <v>0</v>
      </c>
      <c r="BB44">
        <f t="shared" si="50"/>
        <v>0</v>
      </c>
      <c r="BC44" s="44">
        <f t="shared" si="84"/>
        <v>0</v>
      </c>
      <c r="BD44" s="42">
        <v>0</v>
      </c>
      <c r="BE44">
        <f t="shared" si="85"/>
        <v>0</v>
      </c>
      <c r="BF44" s="44">
        <f t="shared" si="52"/>
        <v>0</v>
      </c>
      <c r="BG44" s="42">
        <f t="shared" si="86"/>
        <v>0</v>
      </c>
      <c r="BH44">
        <f t="shared" si="87"/>
        <v>0</v>
      </c>
      <c r="BI44" s="44">
        <f t="shared" si="88"/>
        <v>0</v>
      </c>
      <c r="BK44" s="42">
        <f t="shared" si="72"/>
        <v>0</v>
      </c>
      <c r="BL44">
        <f t="shared" si="18"/>
        <v>0</v>
      </c>
      <c r="BM44">
        <f t="shared" si="73"/>
        <v>0</v>
      </c>
      <c r="BN44" s="44">
        <f t="shared" si="89"/>
        <v>0</v>
      </c>
      <c r="BO44" s="42">
        <v>0</v>
      </c>
      <c r="BP44">
        <f t="shared" si="90"/>
        <v>0</v>
      </c>
      <c r="BQ44" s="44">
        <f t="shared" si="53"/>
        <v>0</v>
      </c>
      <c r="BR44" s="42">
        <f t="shared" si="91"/>
        <v>0</v>
      </c>
      <c r="BS44">
        <f t="shared" si="92"/>
        <v>0</v>
      </c>
      <c r="BT44" s="44">
        <f t="shared" si="55"/>
        <v>0</v>
      </c>
      <c r="BU44" s="42">
        <f t="shared" si="74"/>
        <v>1.0878020740740735E-2</v>
      </c>
      <c r="BV44">
        <f t="shared" si="21"/>
        <v>0.23625000000000002</v>
      </c>
      <c r="BW44" s="44">
        <f t="shared" si="75"/>
        <v>1.0800000000000001E-2</v>
      </c>
      <c r="BX44">
        <f t="shared" si="56"/>
        <v>0.41279670123456796</v>
      </c>
      <c r="BY44">
        <f t="shared" si="43"/>
        <v>5.9078711968432351</v>
      </c>
      <c r="BZ44">
        <f t="shared" si="93"/>
        <v>76.959463078692764</v>
      </c>
    </row>
    <row r="45" spans="17:78" x14ac:dyDescent="0.3">
      <c r="Q45">
        <v>38</v>
      </c>
      <c r="R45" s="42">
        <f t="shared" si="57"/>
        <v>20.266666666666666</v>
      </c>
      <c r="S45">
        <f t="shared" si="1"/>
        <v>24</v>
      </c>
      <c r="T45" s="44">
        <f t="shared" si="58"/>
        <v>0.84444444444444444</v>
      </c>
      <c r="U45" s="42">
        <f t="shared" si="59"/>
        <v>2</v>
      </c>
      <c r="V45">
        <f t="shared" si="60"/>
        <v>0.4</v>
      </c>
      <c r="W45">
        <f t="shared" si="61"/>
        <v>0.6</v>
      </c>
      <c r="X45">
        <f t="shared" si="23"/>
        <v>0</v>
      </c>
      <c r="Y45" s="42">
        <f t="shared" si="76"/>
        <v>2.1111111111111107</v>
      </c>
      <c r="Z45">
        <f t="shared" si="62"/>
        <v>1.9200000000000004</v>
      </c>
      <c r="AA45">
        <f t="shared" si="25"/>
        <v>3.0711111111111107</v>
      </c>
      <c r="AB45" s="44">
        <f t="shared" si="63"/>
        <v>1.3804332832059341</v>
      </c>
      <c r="AC45" s="42">
        <v>0</v>
      </c>
      <c r="AD45">
        <f t="shared" si="64"/>
        <v>1.9055960493827146E-2</v>
      </c>
      <c r="AE45" s="44">
        <f t="shared" si="27"/>
        <v>1.9055960493827146E-2</v>
      </c>
      <c r="AF45" s="42">
        <f t="shared" si="65"/>
        <v>0.40533333333333332</v>
      </c>
      <c r="AG45" s="44">
        <f t="shared" si="66"/>
        <v>0.40533333333333332</v>
      </c>
      <c r="AH45" s="42">
        <f t="shared" si="67"/>
        <v>0</v>
      </c>
      <c r="AI45">
        <f t="shared" si="68"/>
        <v>0.8270620660805732</v>
      </c>
      <c r="AJ45" s="44">
        <f t="shared" si="45"/>
        <v>0.8270620660805732</v>
      </c>
      <c r="AK45" s="42">
        <f t="shared" si="69"/>
        <v>20.266666666666666</v>
      </c>
      <c r="AL45">
        <f t="shared" si="13"/>
        <v>160</v>
      </c>
      <c r="AM45" s="44">
        <f t="shared" si="28"/>
        <v>0.12666666666666665</v>
      </c>
      <c r="AN45" s="42">
        <f t="shared" si="77"/>
        <v>2</v>
      </c>
      <c r="AO45">
        <f t="shared" si="78"/>
        <v>0.6</v>
      </c>
      <c r="AP45">
        <f t="shared" si="79"/>
        <v>0.21111111111111108</v>
      </c>
      <c r="AQ45">
        <f t="shared" si="80"/>
        <v>0.192</v>
      </c>
      <c r="AR45">
        <f t="shared" si="46"/>
        <v>0.30711111111111111</v>
      </c>
      <c r="AS45" s="44">
        <f t="shared" si="47"/>
        <v>0.16906785839047214</v>
      </c>
      <c r="AT45" s="42"/>
      <c r="AU45">
        <f t="shared" si="81"/>
        <v>1.9253333333333329E-4</v>
      </c>
      <c r="AV45" s="44">
        <f t="shared" si="48"/>
        <v>1.9253333333333329E-4</v>
      </c>
      <c r="AW45" s="42">
        <f t="shared" si="82"/>
        <v>4</v>
      </c>
      <c r="AX45">
        <f t="shared" si="83"/>
        <v>3.7999999999999992E-2</v>
      </c>
      <c r="AY45" s="44">
        <f t="shared" si="49"/>
        <v>4.0380000000000003</v>
      </c>
      <c r="AZ45" s="42">
        <f t="shared" si="70"/>
        <v>0</v>
      </c>
      <c r="BA45">
        <f t="shared" si="71"/>
        <v>0</v>
      </c>
      <c r="BB45">
        <f t="shared" si="50"/>
        <v>0</v>
      </c>
      <c r="BC45" s="44">
        <f t="shared" si="84"/>
        <v>0</v>
      </c>
      <c r="BD45" s="42">
        <v>0</v>
      </c>
      <c r="BE45">
        <f t="shared" si="85"/>
        <v>0</v>
      </c>
      <c r="BF45" s="44">
        <f t="shared" si="52"/>
        <v>0</v>
      </c>
      <c r="BG45" s="42">
        <f t="shared" si="86"/>
        <v>0</v>
      </c>
      <c r="BH45">
        <f t="shared" si="87"/>
        <v>0</v>
      </c>
      <c r="BI45" s="44">
        <f t="shared" si="88"/>
        <v>0</v>
      </c>
      <c r="BK45" s="42">
        <f t="shared" si="72"/>
        <v>0</v>
      </c>
      <c r="BL45">
        <f t="shared" si="18"/>
        <v>0</v>
      </c>
      <c r="BM45">
        <f t="shared" si="73"/>
        <v>0</v>
      </c>
      <c r="BN45" s="44">
        <f t="shared" si="89"/>
        <v>0</v>
      </c>
      <c r="BO45" s="42">
        <v>0</v>
      </c>
      <c r="BP45">
        <f t="shared" si="90"/>
        <v>0</v>
      </c>
      <c r="BQ45" s="44">
        <f t="shared" si="53"/>
        <v>0</v>
      </c>
      <c r="BR45" s="42">
        <f t="shared" si="91"/>
        <v>0</v>
      </c>
      <c r="BS45">
        <f t="shared" si="92"/>
        <v>0</v>
      </c>
      <c r="BT45" s="44">
        <f t="shared" si="55"/>
        <v>0</v>
      </c>
      <c r="BU45" s="42">
        <f t="shared" si="74"/>
        <v>1.1433576296296289E-2</v>
      </c>
      <c r="BV45">
        <f t="shared" si="21"/>
        <v>0.23625000000000002</v>
      </c>
      <c r="BW45" s="44">
        <f t="shared" si="75"/>
        <v>1.0800000000000001E-2</v>
      </c>
      <c r="BX45">
        <f t="shared" si="56"/>
        <v>0.42438929382716045</v>
      </c>
      <c r="BY45">
        <f t="shared" si="43"/>
        <v>5.9534608028706968</v>
      </c>
      <c r="BZ45">
        <f t="shared" si="93"/>
        <v>77.2943102210794</v>
      </c>
    </row>
    <row r="46" spans="17:78" x14ac:dyDescent="0.3">
      <c r="Q46">
        <v>39</v>
      </c>
      <c r="R46" s="42">
        <f t="shared" si="57"/>
        <v>20.8</v>
      </c>
      <c r="S46">
        <f t="shared" si="1"/>
        <v>24</v>
      </c>
      <c r="T46" s="44">
        <f t="shared" si="58"/>
        <v>0.8666666666666667</v>
      </c>
      <c r="U46" s="42">
        <f t="shared" si="59"/>
        <v>2</v>
      </c>
      <c r="V46">
        <f t="shared" si="60"/>
        <v>0.4</v>
      </c>
      <c r="W46">
        <f t="shared" si="61"/>
        <v>0.6</v>
      </c>
      <c r="X46">
        <f t="shared" si="23"/>
        <v>0</v>
      </c>
      <c r="Y46" s="42">
        <f t="shared" si="76"/>
        <v>2.1666666666666665</v>
      </c>
      <c r="Z46">
        <f t="shared" si="62"/>
        <v>1.9200000000000004</v>
      </c>
      <c r="AA46">
        <f t="shared" si="25"/>
        <v>3.1266666666666669</v>
      </c>
      <c r="AB46" s="44">
        <f t="shared" si="63"/>
        <v>1.4144461028182651</v>
      </c>
      <c r="AC46" s="42">
        <v>0</v>
      </c>
      <c r="AD46">
        <f t="shared" si="64"/>
        <v>2.0006577777777781E-2</v>
      </c>
      <c r="AE46" s="44">
        <f t="shared" si="27"/>
        <v>2.0006577777777781E-2</v>
      </c>
      <c r="AF46" s="42">
        <f t="shared" si="65"/>
        <v>0.41600000000000004</v>
      </c>
      <c r="AG46" s="44">
        <f t="shared" si="66"/>
        <v>0.41600000000000004</v>
      </c>
      <c r="AH46" s="42">
        <f t="shared" si="67"/>
        <v>0</v>
      </c>
      <c r="AI46">
        <f t="shared" si="68"/>
        <v>0.84882685729321994</v>
      </c>
      <c r="AJ46" s="44">
        <f t="shared" si="45"/>
        <v>0.84882685729321994</v>
      </c>
      <c r="AK46" s="42">
        <f t="shared" si="69"/>
        <v>20.8</v>
      </c>
      <c r="AL46">
        <f t="shared" si="13"/>
        <v>160</v>
      </c>
      <c r="AM46" s="44">
        <f t="shared" si="28"/>
        <v>0.13</v>
      </c>
      <c r="AN46" s="42">
        <f t="shared" si="77"/>
        <v>2</v>
      </c>
      <c r="AO46">
        <f t="shared" si="78"/>
        <v>0.60000000000000009</v>
      </c>
      <c r="AP46">
        <f t="shared" si="79"/>
        <v>0.21666666666666665</v>
      </c>
      <c r="AQ46">
        <f t="shared" si="80"/>
        <v>0.19200000000000003</v>
      </c>
      <c r="AR46">
        <f t="shared" si="46"/>
        <v>0.31266666666666665</v>
      </c>
      <c r="AS46" s="44">
        <f t="shared" si="47"/>
        <v>0.17323356102864901</v>
      </c>
      <c r="AT46" s="42"/>
      <c r="AU46">
        <f t="shared" si="81"/>
        <v>2.0280000000000002E-4</v>
      </c>
      <c r="AV46" s="44">
        <f t="shared" si="48"/>
        <v>2.0280000000000002E-4</v>
      </c>
      <c r="AW46" s="42">
        <f t="shared" si="82"/>
        <v>4</v>
      </c>
      <c r="AX46">
        <f t="shared" si="83"/>
        <v>3.9E-2</v>
      </c>
      <c r="AY46" s="44">
        <f t="shared" si="49"/>
        <v>4.0389999999999997</v>
      </c>
      <c r="AZ46" s="42">
        <f t="shared" si="70"/>
        <v>0</v>
      </c>
      <c r="BA46">
        <f t="shared" si="71"/>
        <v>0</v>
      </c>
      <c r="BB46">
        <f t="shared" si="50"/>
        <v>0</v>
      </c>
      <c r="BC46" s="44">
        <f t="shared" si="84"/>
        <v>0</v>
      </c>
      <c r="BD46" s="42">
        <v>0</v>
      </c>
      <c r="BE46">
        <f t="shared" si="85"/>
        <v>0</v>
      </c>
      <c r="BF46" s="44">
        <f t="shared" si="52"/>
        <v>0</v>
      </c>
      <c r="BG46" s="42">
        <f t="shared" si="86"/>
        <v>0</v>
      </c>
      <c r="BH46">
        <f t="shared" si="87"/>
        <v>0</v>
      </c>
      <c r="BI46" s="44">
        <f t="shared" si="88"/>
        <v>0</v>
      </c>
      <c r="BK46" s="42">
        <f t="shared" si="72"/>
        <v>0</v>
      </c>
      <c r="BL46">
        <f t="shared" si="18"/>
        <v>0</v>
      </c>
      <c r="BM46">
        <f t="shared" si="73"/>
        <v>0</v>
      </c>
      <c r="BN46" s="44">
        <f t="shared" si="89"/>
        <v>0</v>
      </c>
      <c r="BO46" s="42">
        <v>0</v>
      </c>
      <c r="BP46">
        <f t="shared" si="90"/>
        <v>0</v>
      </c>
      <c r="BQ46" s="44">
        <f t="shared" si="53"/>
        <v>0</v>
      </c>
      <c r="BR46" s="42">
        <f t="shared" si="91"/>
        <v>0</v>
      </c>
      <c r="BS46">
        <f t="shared" si="92"/>
        <v>0</v>
      </c>
      <c r="BT46" s="44">
        <f t="shared" si="55"/>
        <v>0</v>
      </c>
      <c r="BU46" s="42">
        <f t="shared" si="74"/>
        <v>1.2003946666666669E-2</v>
      </c>
      <c r="BV46">
        <f t="shared" si="21"/>
        <v>0.23625000000000002</v>
      </c>
      <c r="BW46" s="44">
        <f t="shared" si="75"/>
        <v>1.0800000000000001E-2</v>
      </c>
      <c r="BX46">
        <f t="shared" si="56"/>
        <v>0.43600657777777779</v>
      </c>
      <c r="BY46">
        <f t="shared" si="43"/>
        <v>5.9990901817376656</v>
      </c>
      <c r="BZ46">
        <f t="shared" si="93"/>
        <v>77.614575192460194</v>
      </c>
    </row>
    <row r="47" spans="17:78" x14ac:dyDescent="0.3">
      <c r="Q47">
        <v>40</v>
      </c>
      <c r="R47" s="42">
        <f t="shared" si="57"/>
        <v>21.333333333333332</v>
      </c>
      <c r="S47">
        <f t="shared" si="1"/>
        <v>24</v>
      </c>
      <c r="T47" s="44">
        <f t="shared" si="58"/>
        <v>0.88888888888888884</v>
      </c>
      <c r="U47" s="42">
        <f t="shared" si="59"/>
        <v>2</v>
      </c>
      <c r="V47">
        <f t="shared" si="60"/>
        <v>0.4</v>
      </c>
      <c r="W47">
        <f t="shared" si="61"/>
        <v>0.6</v>
      </c>
      <c r="X47">
        <f t="shared" si="23"/>
        <v>0</v>
      </c>
      <c r="Y47" s="42">
        <f t="shared" si="76"/>
        <v>2.2222222222222219</v>
      </c>
      <c r="Z47">
        <f t="shared" si="62"/>
        <v>1.9200000000000004</v>
      </c>
      <c r="AA47">
        <f t="shared" si="25"/>
        <v>3.1822222222222223</v>
      </c>
      <c r="AB47" s="44">
        <f t="shared" si="63"/>
        <v>1.4485125618976553</v>
      </c>
      <c r="AC47" s="42">
        <v>0</v>
      </c>
      <c r="AD47">
        <f t="shared" si="64"/>
        <v>2.0981886419753088E-2</v>
      </c>
      <c r="AE47" s="44">
        <f t="shared" si="27"/>
        <v>2.0981886419753088E-2</v>
      </c>
      <c r="AF47" s="42">
        <f t="shared" si="65"/>
        <v>0.42666666666666664</v>
      </c>
      <c r="AG47" s="44">
        <f t="shared" si="66"/>
        <v>0.42666666666666664</v>
      </c>
      <c r="AH47" s="42">
        <f t="shared" si="67"/>
        <v>0</v>
      </c>
      <c r="AI47">
        <f t="shared" si="68"/>
        <v>0.87059164850586646</v>
      </c>
      <c r="AJ47" s="44">
        <f t="shared" si="45"/>
        <v>0.87059164850586646</v>
      </c>
      <c r="AK47" s="42">
        <f t="shared" si="69"/>
        <v>21.333333333333332</v>
      </c>
      <c r="AL47">
        <f t="shared" si="13"/>
        <v>160</v>
      </c>
      <c r="AM47" s="44">
        <f t="shared" si="28"/>
        <v>0.13333333333333333</v>
      </c>
      <c r="AN47" s="42">
        <f t="shared" si="77"/>
        <v>2</v>
      </c>
      <c r="AO47">
        <f t="shared" si="78"/>
        <v>0.6</v>
      </c>
      <c r="AP47">
        <f t="shared" si="79"/>
        <v>0.22222222222222221</v>
      </c>
      <c r="AQ47">
        <f t="shared" si="80"/>
        <v>0.192</v>
      </c>
      <c r="AR47">
        <f t="shared" si="46"/>
        <v>0.31822222222222218</v>
      </c>
      <c r="AS47" s="44">
        <f t="shared" si="47"/>
        <v>0.17740583313304448</v>
      </c>
      <c r="AT47" s="42"/>
      <c r="AU47">
        <f t="shared" si="81"/>
        <v>2.1333333333333333E-4</v>
      </c>
      <c r="AV47" s="44">
        <f t="shared" si="48"/>
        <v>2.1333333333333333E-4</v>
      </c>
      <c r="AW47" s="42">
        <f t="shared" si="82"/>
        <v>4</v>
      </c>
      <c r="AX47">
        <f t="shared" si="83"/>
        <v>0.04</v>
      </c>
      <c r="AY47" s="44">
        <f t="shared" si="49"/>
        <v>4.04</v>
      </c>
      <c r="AZ47" s="42">
        <f t="shared" si="70"/>
        <v>0</v>
      </c>
      <c r="BA47">
        <f t="shared" si="71"/>
        <v>0</v>
      </c>
      <c r="BB47">
        <f t="shared" si="50"/>
        <v>0</v>
      </c>
      <c r="BC47" s="44">
        <f t="shared" si="84"/>
        <v>0</v>
      </c>
      <c r="BD47" s="42">
        <v>0</v>
      </c>
      <c r="BE47">
        <f t="shared" si="85"/>
        <v>0</v>
      </c>
      <c r="BF47" s="44">
        <f t="shared" si="52"/>
        <v>0</v>
      </c>
      <c r="BG47" s="42">
        <f t="shared" si="86"/>
        <v>0</v>
      </c>
      <c r="BH47">
        <f t="shared" si="87"/>
        <v>0</v>
      </c>
      <c r="BI47" s="44">
        <f t="shared" si="88"/>
        <v>0</v>
      </c>
      <c r="BK47" s="42">
        <f t="shared" si="72"/>
        <v>0</v>
      </c>
      <c r="BL47">
        <f t="shared" si="18"/>
        <v>0</v>
      </c>
      <c r="BM47">
        <f t="shared" si="73"/>
        <v>0</v>
      </c>
      <c r="BN47" s="44">
        <f t="shared" si="89"/>
        <v>0</v>
      </c>
      <c r="BO47" s="42">
        <v>0</v>
      </c>
      <c r="BP47">
        <f t="shared" si="90"/>
        <v>0</v>
      </c>
      <c r="BQ47" s="44">
        <f t="shared" si="53"/>
        <v>0</v>
      </c>
      <c r="BR47" s="42">
        <f t="shared" si="91"/>
        <v>0</v>
      </c>
      <c r="BS47">
        <f t="shared" si="92"/>
        <v>0</v>
      </c>
      <c r="BT47" s="44">
        <f t="shared" si="55"/>
        <v>0</v>
      </c>
      <c r="BU47" s="42">
        <f t="shared" si="74"/>
        <v>1.2589131851851853E-2</v>
      </c>
      <c r="BV47">
        <f t="shared" si="21"/>
        <v>0.23625000000000002</v>
      </c>
      <c r="BW47" s="44">
        <f t="shared" si="75"/>
        <v>1.0800000000000001E-2</v>
      </c>
      <c r="BX47">
        <f t="shared" si="56"/>
        <v>0.44764855308641971</v>
      </c>
      <c r="BY47">
        <f t="shared" si="43"/>
        <v>6.0447593334441381</v>
      </c>
      <c r="BZ47">
        <f t="shared" si="93"/>
        <v>77.921181701677568</v>
      </c>
    </row>
    <row r="48" spans="17:78" x14ac:dyDescent="0.3">
      <c r="Q48">
        <v>41</v>
      </c>
      <c r="R48" s="42">
        <f t="shared" si="57"/>
        <v>21.866666666666667</v>
      </c>
      <c r="S48">
        <f t="shared" si="1"/>
        <v>24</v>
      </c>
      <c r="T48" s="44">
        <f t="shared" si="58"/>
        <v>0.91111111111111109</v>
      </c>
      <c r="U48" s="42">
        <f t="shared" si="59"/>
        <v>2</v>
      </c>
      <c r="V48">
        <f t="shared" si="60"/>
        <v>0.4</v>
      </c>
      <c r="W48">
        <f t="shared" si="61"/>
        <v>0.6</v>
      </c>
      <c r="X48">
        <f t="shared" si="23"/>
        <v>0</v>
      </c>
      <c r="Y48" s="42">
        <f t="shared" si="76"/>
        <v>2.2777777777777777</v>
      </c>
      <c r="Z48">
        <f t="shared" si="62"/>
        <v>1.9200000000000004</v>
      </c>
      <c r="AA48">
        <f t="shared" si="25"/>
        <v>3.2377777777777776</v>
      </c>
      <c r="AB48" s="44">
        <f t="shared" si="63"/>
        <v>1.4826289630164748</v>
      </c>
      <c r="AC48" s="42">
        <v>0</v>
      </c>
      <c r="AD48">
        <f t="shared" si="64"/>
        <v>2.1981886419753075E-2</v>
      </c>
      <c r="AE48" s="44">
        <f t="shared" si="27"/>
        <v>2.1981886419753075E-2</v>
      </c>
      <c r="AF48" s="42">
        <f t="shared" si="65"/>
        <v>0.43733333333333335</v>
      </c>
      <c r="AG48" s="44">
        <f t="shared" si="66"/>
        <v>0.43733333333333335</v>
      </c>
      <c r="AH48" s="42">
        <f t="shared" si="67"/>
        <v>0</v>
      </c>
      <c r="AI48">
        <f t="shared" si="68"/>
        <v>0.89235643971851342</v>
      </c>
      <c r="AJ48" s="44">
        <f t="shared" si="45"/>
        <v>0.89235643971851342</v>
      </c>
      <c r="AK48" s="42">
        <f t="shared" si="69"/>
        <v>21.866666666666667</v>
      </c>
      <c r="AL48">
        <f t="shared" si="13"/>
        <v>160</v>
      </c>
      <c r="AM48" s="44">
        <f t="shared" si="28"/>
        <v>0.13666666666666666</v>
      </c>
      <c r="AN48" s="42">
        <f t="shared" si="77"/>
        <v>2</v>
      </c>
      <c r="AO48">
        <f t="shared" si="78"/>
        <v>0.60000000000000009</v>
      </c>
      <c r="AP48">
        <f t="shared" si="79"/>
        <v>0.22777777777777775</v>
      </c>
      <c r="AQ48">
        <f t="shared" si="80"/>
        <v>0.19200000000000003</v>
      </c>
      <c r="AR48">
        <f t="shared" si="46"/>
        <v>0.32377777777777778</v>
      </c>
      <c r="AS48" s="44">
        <f t="shared" si="47"/>
        <v>0.18158422186310583</v>
      </c>
      <c r="AT48" s="42"/>
      <c r="AU48">
        <f t="shared" si="81"/>
        <v>2.2413333333333332E-4</v>
      </c>
      <c r="AV48" s="44">
        <f t="shared" si="48"/>
        <v>2.2413333333333332E-4</v>
      </c>
      <c r="AW48" s="42">
        <f t="shared" si="82"/>
        <v>4</v>
      </c>
      <c r="AX48">
        <f t="shared" si="83"/>
        <v>4.0999999999999995E-2</v>
      </c>
      <c r="AY48" s="44">
        <f t="shared" si="49"/>
        <v>4.0410000000000004</v>
      </c>
      <c r="AZ48" s="42">
        <f t="shared" si="70"/>
        <v>0</v>
      </c>
      <c r="BA48">
        <f t="shared" si="71"/>
        <v>0</v>
      </c>
      <c r="BB48">
        <f t="shared" si="50"/>
        <v>0</v>
      </c>
      <c r="BC48" s="44">
        <f t="shared" si="84"/>
        <v>0</v>
      </c>
      <c r="BD48" s="42">
        <v>0</v>
      </c>
      <c r="BE48">
        <f t="shared" si="85"/>
        <v>0</v>
      </c>
      <c r="BF48" s="44">
        <f t="shared" si="52"/>
        <v>0</v>
      </c>
      <c r="BG48" s="42">
        <f t="shared" si="86"/>
        <v>0</v>
      </c>
      <c r="BH48">
        <f t="shared" si="87"/>
        <v>0</v>
      </c>
      <c r="BI48" s="44">
        <f t="shared" si="88"/>
        <v>0</v>
      </c>
      <c r="BK48" s="42">
        <f t="shared" si="72"/>
        <v>0</v>
      </c>
      <c r="BL48">
        <f t="shared" si="18"/>
        <v>0</v>
      </c>
      <c r="BM48">
        <f t="shared" si="73"/>
        <v>0</v>
      </c>
      <c r="BN48" s="44">
        <f t="shared" si="89"/>
        <v>0</v>
      </c>
      <c r="BO48" s="42">
        <v>0</v>
      </c>
      <c r="BP48">
        <f t="shared" si="90"/>
        <v>0</v>
      </c>
      <c r="BQ48" s="44">
        <f t="shared" si="53"/>
        <v>0</v>
      </c>
      <c r="BR48" s="42">
        <f t="shared" si="91"/>
        <v>0</v>
      </c>
      <c r="BS48">
        <f t="shared" si="92"/>
        <v>0</v>
      </c>
      <c r="BT48" s="44">
        <f t="shared" si="55"/>
        <v>0</v>
      </c>
      <c r="BU48" s="42">
        <f t="shared" si="74"/>
        <v>1.3189131851851846E-2</v>
      </c>
      <c r="BV48">
        <f t="shared" si="21"/>
        <v>0.23625000000000002</v>
      </c>
      <c r="BW48" s="44">
        <f t="shared" si="75"/>
        <v>1.0800000000000001E-2</v>
      </c>
      <c r="BX48">
        <f t="shared" si="56"/>
        <v>0.45931521975308642</v>
      </c>
      <c r="BY48">
        <f t="shared" si="43"/>
        <v>6.0904682579901177</v>
      </c>
      <c r="BZ48">
        <f t="shared" si="93"/>
        <v>78.214977055396943</v>
      </c>
    </row>
    <row r="49" spans="17:78" x14ac:dyDescent="0.3">
      <c r="Q49">
        <v>42</v>
      </c>
      <c r="R49" s="42">
        <f t="shared" si="57"/>
        <v>22.4</v>
      </c>
      <c r="S49">
        <f t="shared" si="1"/>
        <v>24</v>
      </c>
      <c r="T49" s="44">
        <f t="shared" si="58"/>
        <v>0.93333333333333324</v>
      </c>
      <c r="U49" s="42">
        <f t="shared" si="59"/>
        <v>2</v>
      </c>
      <c r="V49">
        <f t="shared" si="60"/>
        <v>0.4</v>
      </c>
      <c r="W49">
        <f t="shared" si="61"/>
        <v>0.6</v>
      </c>
      <c r="X49">
        <f t="shared" si="23"/>
        <v>0</v>
      </c>
      <c r="Y49" s="42">
        <f t="shared" si="76"/>
        <v>2.333333333333333</v>
      </c>
      <c r="Z49">
        <f t="shared" si="62"/>
        <v>1.9200000000000004</v>
      </c>
      <c r="AA49">
        <f t="shared" si="25"/>
        <v>3.293333333333333</v>
      </c>
      <c r="AB49" s="44">
        <f t="shared" si="63"/>
        <v>1.5167919362186024</v>
      </c>
      <c r="AC49" s="42">
        <v>0</v>
      </c>
      <c r="AD49">
        <f t="shared" si="64"/>
        <v>2.300657777777777E-2</v>
      </c>
      <c r="AE49" s="44">
        <f t="shared" si="27"/>
        <v>2.300657777777777E-2</v>
      </c>
      <c r="AF49" s="42">
        <f t="shared" si="65"/>
        <v>0.44799999999999995</v>
      </c>
      <c r="AG49" s="44">
        <f t="shared" si="66"/>
        <v>0.44799999999999995</v>
      </c>
      <c r="AH49" s="42">
        <f t="shared" si="67"/>
        <v>0</v>
      </c>
      <c r="AI49">
        <f t="shared" si="68"/>
        <v>0.91412123093115982</v>
      </c>
      <c r="AJ49" s="44">
        <f t="shared" si="45"/>
        <v>0.91412123093115982</v>
      </c>
      <c r="AK49" s="42">
        <f t="shared" si="69"/>
        <v>22.4</v>
      </c>
      <c r="AL49">
        <f t="shared" si="13"/>
        <v>160</v>
      </c>
      <c r="AM49" s="44">
        <f t="shared" si="28"/>
        <v>0.13999999999999999</v>
      </c>
      <c r="AN49" s="42">
        <f t="shared" si="77"/>
        <v>2</v>
      </c>
      <c r="AO49">
        <f t="shared" si="78"/>
        <v>0.6</v>
      </c>
      <c r="AP49">
        <f t="shared" si="79"/>
        <v>0.23333333333333331</v>
      </c>
      <c r="AQ49">
        <f t="shared" si="80"/>
        <v>0.192</v>
      </c>
      <c r="AR49">
        <f t="shared" si="46"/>
        <v>0.32933333333333331</v>
      </c>
      <c r="AS49" s="44">
        <f t="shared" si="47"/>
        <v>0.18576831448518516</v>
      </c>
      <c r="AT49" s="42"/>
      <c r="AU49">
        <f t="shared" si="81"/>
        <v>2.3519999999999994E-4</v>
      </c>
      <c r="AV49" s="44">
        <f t="shared" si="48"/>
        <v>2.3519999999999994E-4</v>
      </c>
      <c r="AW49" s="42">
        <f t="shared" si="82"/>
        <v>4</v>
      </c>
      <c r="AX49">
        <f t="shared" si="83"/>
        <v>4.1999999999999996E-2</v>
      </c>
      <c r="AY49" s="44">
        <f t="shared" si="49"/>
        <v>4.0419999999999998</v>
      </c>
      <c r="AZ49" s="42">
        <f t="shared" si="70"/>
        <v>0</v>
      </c>
      <c r="BA49">
        <f t="shared" si="71"/>
        <v>0</v>
      </c>
      <c r="BB49">
        <f t="shared" si="50"/>
        <v>0</v>
      </c>
      <c r="BC49" s="44">
        <f t="shared" si="84"/>
        <v>0</v>
      </c>
      <c r="BD49" s="42">
        <v>0</v>
      </c>
      <c r="BE49">
        <f t="shared" si="85"/>
        <v>0</v>
      </c>
      <c r="BF49" s="44">
        <f t="shared" si="52"/>
        <v>0</v>
      </c>
      <c r="BG49" s="42">
        <f t="shared" si="86"/>
        <v>0</v>
      </c>
      <c r="BH49">
        <f t="shared" si="87"/>
        <v>0</v>
      </c>
      <c r="BI49" s="44">
        <f t="shared" si="88"/>
        <v>0</v>
      </c>
      <c r="BK49" s="42">
        <f t="shared" si="72"/>
        <v>0</v>
      </c>
      <c r="BL49">
        <f t="shared" si="18"/>
        <v>0</v>
      </c>
      <c r="BM49">
        <f t="shared" si="73"/>
        <v>0</v>
      </c>
      <c r="BN49" s="44">
        <f t="shared" si="89"/>
        <v>0</v>
      </c>
      <c r="BO49" s="42">
        <v>0</v>
      </c>
      <c r="BP49">
        <f t="shared" si="90"/>
        <v>0</v>
      </c>
      <c r="BQ49" s="44">
        <f t="shared" si="53"/>
        <v>0</v>
      </c>
      <c r="BR49" s="42">
        <f t="shared" si="91"/>
        <v>0</v>
      </c>
      <c r="BS49">
        <f t="shared" si="92"/>
        <v>0</v>
      </c>
      <c r="BT49" s="44">
        <f t="shared" si="55"/>
        <v>0</v>
      </c>
      <c r="BU49" s="42">
        <f t="shared" si="74"/>
        <v>1.3803946666666662E-2</v>
      </c>
      <c r="BV49">
        <f t="shared" si="21"/>
        <v>0.23625000000000002</v>
      </c>
      <c r="BW49" s="44">
        <f t="shared" si="75"/>
        <v>1.0800000000000001E-2</v>
      </c>
      <c r="BX49">
        <f t="shared" si="56"/>
        <v>0.47100657777777771</v>
      </c>
      <c r="BY49">
        <f t="shared" si="43"/>
        <v>6.1362169553756054</v>
      </c>
      <c r="BZ49">
        <f t="shared" si="93"/>
        <v>78.496739897333597</v>
      </c>
    </row>
    <row r="50" spans="17:78" x14ac:dyDescent="0.3">
      <c r="Q50">
        <v>43</v>
      </c>
      <c r="R50" s="42">
        <f t="shared" si="57"/>
        <v>22.933333333333334</v>
      </c>
      <c r="S50">
        <f t="shared" si="1"/>
        <v>24</v>
      </c>
      <c r="T50" s="44">
        <f t="shared" si="58"/>
        <v>0.9555555555555556</v>
      </c>
      <c r="U50" s="42">
        <f t="shared" si="59"/>
        <v>2</v>
      </c>
      <c r="V50">
        <f t="shared" si="60"/>
        <v>0.4</v>
      </c>
      <c r="W50">
        <f t="shared" si="61"/>
        <v>0.6</v>
      </c>
      <c r="X50">
        <f t="shared" si="23"/>
        <v>0</v>
      </c>
      <c r="Y50" s="42">
        <f t="shared" si="76"/>
        <v>2.3888888888888884</v>
      </c>
      <c r="Z50">
        <f t="shared" si="62"/>
        <v>1.9200000000000004</v>
      </c>
      <c r="AA50">
        <f t="shared" si="25"/>
        <v>3.3488888888888884</v>
      </c>
      <c r="AB50" s="44">
        <f t="shared" si="63"/>
        <v>1.550998404055502</v>
      </c>
      <c r="AC50" s="42">
        <v>0</v>
      </c>
      <c r="AD50">
        <f t="shared" si="64"/>
        <v>2.4055960493827144E-2</v>
      </c>
      <c r="AE50" s="44">
        <f t="shared" si="27"/>
        <v>2.4055960493827144E-2</v>
      </c>
      <c r="AF50" s="42">
        <f t="shared" si="65"/>
        <v>0.45866666666666667</v>
      </c>
      <c r="AG50" s="44">
        <f t="shared" si="66"/>
        <v>0.45866666666666667</v>
      </c>
      <c r="AH50" s="42">
        <f t="shared" si="67"/>
        <v>0</v>
      </c>
      <c r="AI50">
        <f t="shared" si="68"/>
        <v>0.93588602214380656</v>
      </c>
      <c r="AJ50" s="44">
        <f t="shared" si="45"/>
        <v>0.93588602214380656</v>
      </c>
      <c r="AK50" s="42">
        <f t="shared" si="69"/>
        <v>22.933333333333334</v>
      </c>
      <c r="AL50">
        <f t="shared" si="13"/>
        <v>160</v>
      </c>
      <c r="AM50" s="44">
        <f t="shared" si="28"/>
        <v>0.14333333333333334</v>
      </c>
      <c r="AN50" s="42">
        <f t="shared" si="77"/>
        <v>2</v>
      </c>
      <c r="AO50">
        <f t="shared" si="78"/>
        <v>0.60000000000000009</v>
      </c>
      <c r="AP50">
        <f t="shared" si="79"/>
        <v>0.23888888888888885</v>
      </c>
      <c r="AQ50">
        <f t="shared" si="80"/>
        <v>0.19200000000000003</v>
      </c>
      <c r="AR50">
        <f t="shared" si="46"/>
        <v>0.33488888888888885</v>
      </c>
      <c r="AS50" s="44">
        <f t="shared" si="47"/>
        <v>0.1899577340903516</v>
      </c>
      <c r="AT50" s="42"/>
      <c r="AU50">
        <f t="shared" si="81"/>
        <v>2.4653333333333333E-4</v>
      </c>
      <c r="AV50" s="44">
        <f t="shared" si="48"/>
        <v>2.4653333333333333E-4</v>
      </c>
      <c r="AW50" s="42">
        <f t="shared" si="82"/>
        <v>4</v>
      </c>
      <c r="AX50">
        <f t="shared" si="83"/>
        <v>4.3000000000000003E-2</v>
      </c>
      <c r="AY50" s="44">
        <f t="shared" si="49"/>
        <v>4.0430000000000001</v>
      </c>
      <c r="AZ50" s="42">
        <f t="shared" si="70"/>
        <v>0</v>
      </c>
      <c r="BA50">
        <f t="shared" si="71"/>
        <v>0</v>
      </c>
      <c r="BB50">
        <f t="shared" si="50"/>
        <v>0</v>
      </c>
      <c r="BC50" s="44">
        <f t="shared" si="84"/>
        <v>0</v>
      </c>
      <c r="BD50" s="42">
        <v>0</v>
      </c>
      <c r="BE50">
        <f t="shared" si="85"/>
        <v>0</v>
      </c>
      <c r="BF50" s="44">
        <f t="shared" si="52"/>
        <v>0</v>
      </c>
      <c r="BG50" s="42">
        <f t="shared" si="86"/>
        <v>0</v>
      </c>
      <c r="BH50">
        <f t="shared" si="87"/>
        <v>0</v>
      </c>
      <c r="BI50" s="44">
        <f t="shared" si="88"/>
        <v>0</v>
      </c>
      <c r="BK50" s="42">
        <f t="shared" si="72"/>
        <v>0</v>
      </c>
      <c r="BL50">
        <f t="shared" si="18"/>
        <v>0</v>
      </c>
      <c r="BM50">
        <f t="shared" si="73"/>
        <v>0</v>
      </c>
      <c r="BN50" s="44">
        <f t="shared" si="89"/>
        <v>0</v>
      </c>
      <c r="BO50" s="42">
        <v>0</v>
      </c>
      <c r="BP50">
        <f t="shared" si="90"/>
        <v>0</v>
      </c>
      <c r="BQ50" s="44">
        <f t="shared" si="53"/>
        <v>0</v>
      </c>
      <c r="BR50" s="42">
        <f t="shared" si="91"/>
        <v>0</v>
      </c>
      <c r="BS50">
        <f t="shared" si="92"/>
        <v>0</v>
      </c>
      <c r="BT50" s="44">
        <f t="shared" si="55"/>
        <v>0</v>
      </c>
      <c r="BU50" s="42">
        <f t="shared" si="74"/>
        <v>1.4433576296296286E-2</v>
      </c>
      <c r="BV50">
        <f t="shared" si="21"/>
        <v>0.23625000000000002</v>
      </c>
      <c r="BW50" s="44">
        <f t="shared" si="75"/>
        <v>1.0800000000000001E-2</v>
      </c>
      <c r="BX50">
        <f t="shared" si="56"/>
        <v>0.4827226271604938</v>
      </c>
      <c r="BY50">
        <f t="shared" si="43"/>
        <v>6.1820054256005976</v>
      </c>
      <c r="BZ50">
        <f t="shared" si="93"/>
        <v>78.7671870254174</v>
      </c>
    </row>
    <row r="51" spans="17:78" x14ac:dyDescent="0.3">
      <c r="Q51">
        <v>44</v>
      </c>
      <c r="R51" s="42">
        <f t="shared" si="57"/>
        <v>23.466666666666665</v>
      </c>
      <c r="S51">
        <f t="shared" si="1"/>
        <v>24</v>
      </c>
      <c r="T51" s="44">
        <f t="shared" si="58"/>
        <v>0.97777777777777775</v>
      </c>
      <c r="U51" s="42">
        <f t="shared" si="59"/>
        <v>2</v>
      </c>
      <c r="V51">
        <f t="shared" si="60"/>
        <v>0.4</v>
      </c>
      <c r="W51">
        <f t="shared" si="61"/>
        <v>0.6</v>
      </c>
      <c r="X51">
        <f t="shared" si="23"/>
        <v>0</v>
      </c>
      <c r="Y51" s="42">
        <f t="shared" si="76"/>
        <v>2.4444444444444438</v>
      </c>
      <c r="Z51">
        <f t="shared" si="62"/>
        <v>1.9200000000000004</v>
      </c>
      <c r="AA51">
        <f t="shared" si="25"/>
        <v>3.4044444444444437</v>
      </c>
      <c r="AB51" s="44">
        <f t="shared" si="63"/>
        <v>1.5852455509447492</v>
      </c>
      <c r="AC51" s="42">
        <v>0</v>
      </c>
      <c r="AD51">
        <f t="shared" si="64"/>
        <v>2.5130034567901211E-2</v>
      </c>
      <c r="AE51" s="44">
        <f t="shared" si="27"/>
        <v>2.5130034567901211E-2</v>
      </c>
      <c r="AF51" s="42">
        <f t="shared" si="65"/>
        <v>0.46933333333333332</v>
      </c>
      <c r="AG51" s="44">
        <f t="shared" si="66"/>
        <v>0.46933333333333332</v>
      </c>
      <c r="AH51" s="42">
        <f t="shared" si="67"/>
        <v>0</v>
      </c>
      <c r="AI51">
        <f t="shared" si="68"/>
        <v>0.95765081335645308</v>
      </c>
      <c r="AJ51" s="44">
        <f t="shared" si="45"/>
        <v>0.95765081335645308</v>
      </c>
      <c r="AK51" s="42">
        <f t="shared" si="69"/>
        <v>23.466666666666665</v>
      </c>
      <c r="AL51">
        <f t="shared" si="13"/>
        <v>160</v>
      </c>
      <c r="AM51" s="44">
        <f t="shared" si="28"/>
        <v>0.14666666666666667</v>
      </c>
      <c r="AN51" s="42">
        <f t="shared" si="77"/>
        <v>2</v>
      </c>
      <c r="AO51">
        <f t="shared" si="78"/>
        <v>0.6000000000000002</v>
      </c>
      <c r="AP51">
        <f t="shared" si="79"/>
        <v>0.24444444444444435</v>
      </c>
      <c r="AQ51">
        <f t="shared" si="80"/>
        <v>0.19200000000000006</v>
      </c>
      <c r="AR51">
        <f t="shared" si="46"/>
        <v>0.34044444444444438</v>
      </c>
      <c r="AS51" s="44">
        <f t="shared" si="47"/>
        <v>0.19415213584159158</v>
      </c>
      <c r="AT51" s="42"/>
      <c r="AU51">
        <f t="shared" si="81"/>
        <v>2.5813333333333334E-4</v>
      </c>
      <c r="AV51" s="44">
        <f t="shared" si="48"/>
        <v>2.5813333333333334E-4</v>
      </c>
      <c r="AW51" s="42">
        <f t="shared" si="82"/>
        <v>4</v>
      </c>
      <c r="AX51">
        <f t="shared" si="83"/>
        <v>4.3999999999999997E-2</v>
      </c>
      <c r="AY51" s="44">
        <f t="shared" si="49"/>
        <v>4.0439999999999996</v>
      </c>
      <c r="AZ51" s="42">
        <f t="shared" si="70"/>
        <v>0</v>
      </c>
      <c r="BA51">
        <f t="shared" si="71"/>
        <v>0</v>
      </c>
      <c r="BB51">
        <f t="shared" si="50"/>
        <v>0</v>
      </c>
      <c r="BC51" s="44">
        <f t="shared" si="84"/>
        <v>0</v>
      </c>
      <c r="BD51" s="42">
        <v>0</v>
      </c>
      <c r="BE51">
        <f t="shared" si="85"/>
        <v>0</v>
      </c>
      <c r="BF51" s="44">
        <f t="shared" si="52"/>
        <v>0</v>
      </c>
      <c r="BG51" s="42">
        <f t="shared" si="86"/>
        <v>0</v>
      </c>
      <c r="BH51">
        <f t="shared" si="87"/>
        <v>0</v>
      </c>
      <c r="BI51" s="44">
        <f t="shared" si="88"/>
        <v>0</v>
      </c>
      <c r="BK51" s="42">
        <f t="shared" si="72"/>
        <v>0</v>
      </c>
      <c r="BL51">
        <f t="shared" si="18"/>
        <v>0</v>
      </c>
      <c r="BM51">
        <f t="shared" si="73"/>
        <v>0</v>
      </c>
      <c r="BN51" s="44">
        <f t="shared" si="89"/>
        <v>0</v>
      </c>
      <c r="BO51" s="42">
        <v>0</v>
      </c>
      <c r="BP51">
        <f t="shared" si="90"/>
        <v>0</v>
      </c>
      <c r="BQ51" s="44">
        <f t="shared" si="53"/>
        <v>0</v>
      </c>
      <c r="BR51" s="42">
        <f t="shared" si="91"/>
        <v>0</v>
      </c>
      <c r="BS51">
        <f t="shared" si="92"/>
        <v>0</v>
      </c>
      <c r="BT51" s="44">
        <f t="shared" si="55"/>
        <v>0</v>
      </c>
      <c r="BU51" s="42">
        <f t="shared" si="74"/>
        <v>1.5078020740740727E-2</v>
      </c>
      <c r="BV51">
        <f t="shared" si="21"/>
        <v>0.23625000000000002</v>
      </c>
      <c r="BW51" s="44">
        <f t="shared" si="75"/>
        <v>1.0800000000000001E-2</v>
      </c>
      <c r="BX51">
        <f t="shared" si="56"/>
        <v>0.49446336790123452</v>
      </c>
      <c r="BY51">
        <f t="shared" si="43"/>
        <v>6.2278336686650944</v>
      </c>
      <c r="BZ51">
        <f t="shared" si="93"/>
        <v>79.02697941256497</v>
      </c>
    </row>
    <row r="52" spans="17:78" x14ac:dyDescent="0.3">
      <c r="Q52">
        <v>45</v>
      </c>
      <c r="R52" s="42">
        <f t="shared" si="57"/>
        <v>24</v>
      </c>
      <c r="S52">
        <f t="shared" si="1"/>
        <v>24</v>
      </c>
      <c r="T52" s="44">
        <f t="shared" si="58"/>
        <v>1</v>
      </c>
      <c r="U52" s="42">
        <f t="shared" si="59"/>
        <v>2</v>
      </c>
      <c r="V52">
        <f t="shared" si="60"/>
        <v>0.4</v>
      </c>
      <c r="W52">
        <f t="shared" si="61"/>
        <v>0.6</v>
      </c>
      <c r="X52">
        <f t="shared" si="23"/>
        <v>0</v>
      </c>
      <c r="Y52" s="42">
        <f t="shared" si="76"/>
        <v>2.4999999999999996</v>
      </c>
      <c r="Z52">
        <f t="shared" si="62"/>
        <v>1.9200000000000004</v>
      </c>
      <c r="AA52">
        <f t="shared" si="25"/>
        <v>3.46</v>
      </c>
      <c r="AB52" s="44">
        <f t="shared" si="63"/>
        <v>1.6195307962493335</v>
      </c>
      <c r="AC52" s="42">
        <v>0</v>
      </c>
      <c r="AD52">
        <f t="shared" si="64"/>
        <v>2.6228800000000004E-2</v>
      </c>
      <c r="AE52" s="44">
        <f t="shared" si="27"/>
        <v>2.6228800000000004E-2</v>
      </c>
      <c r="AF52" s="42">
        <f t="shared" si="65"/>
        <v>0.48</v>
      </c>
      <c r="AG52" s="44">
        <f t="shared" si="66"/>
        <v>0.48</v>
      </c>
      <c r="AH52" s="42">
        <f t="shared" si="67"/>
        <v>0</v>
      </c>
      <c r="AI52">
        <f t="shared" si="68"/>
        <v>0.97941560456909993</v>
      </c>
      <c r="AJ52" s="44">
        <f t="shared" si="45"/>
        <v>0.97941560456909993</v>
      </c>
      <c r="AK52" s="42">
        <f t="shared" si="69"/>
        <v>24</v>
      </c>
      <c r="AL52">
        <f t="shared" si="13"/>
        <v>160</v>
      </c>
      <c r="AM52" s="44">
        <f t="shared" si="28"/>
        <v>0.15</v>
      </c>
      <c r="AN52" s="42">
        <f t="shared" si="77"/>
        <v>2</v>
      </c>
      <c r="AO52">
        <f t="shared" si="78"/>
        <v>0.60000000000000009</v>
      </c>
      <c r="AP52">
        <f t="shared" si="79"/>
        <v>0.24999999999999994</v>
      </c>
      <c r="AQ52">
        <f t="shared" si="80"/>
        <v>0.19200000000000003</v>
      </c>
      <c r="AR52">
        <f t="shared" si="46"/>
        <v>0.34599999999999997</v>
      </c>
      <c r="AS52" s="44">
        <f t="shared" si="47"/>
        <v>0.19835120367671075</v>
      </c>
      <c r="AT52" s="42"/>
      <c r="AU52">
        <f t="shared" si="81"/>
        <v>2.7E-4</v>
      </c>
      <c r="AV52" s="44">
        <f t="shared" si="48"/>
        <v>2.7E-4</v>
      </c>
      <c r="AW52" s="42">
        <f t="shared" si="82"/>
        <v>4</v>
      </c>
      <c r="AX52">
        <f t="shared" si="83"/>
        <v>4.4999999999999998E-2</v>
      </c>
      <c r="AY52" s="44">
        <f t="shared" si="49"/>
        <v>4.0449999999999999</v>
      </c>
      <c r="AZ52" s="42">
        <f t="shared" si="70"/>
        <v>0</v>
      </c>
      <c r="BA52">
        <f t="shared" si="71"/>
        <v>0</v>
      </c>
      <c r="BB52">
        <f t="shared" si="50"/>
        <v>0</v>
      </c>
      <c r="BC52" s="44">
        <f t="shared" si="84"/>
        <v>0</v>
      </c>
      <c r="BD52" s="42">
        <v>0</v>
      </c>
      <c r="BE52">
        <f t="shared" si="85"/>
        <v>0</v>
      </c>
      <c r="BF52" s="44">
        <f t="shared" si="52"/>
        <v>0</v>
      </c>
      <c r="BG52" s="42">
        <f t="shared" si="86"/>
        <v>0</v>
      </c>
      <c r="BH52">
        <f t="shared" si="87"/>
        <v>0</v>
      </c>
      <c r="BI52" s="44">
        <f t="shared" si="88"/>
        <v>0</v>
      </c>
      <c r="BK52" s="42">
        <f t="shared" si="72"/>
        <v>0</v>
      </c>
      <c r="BL52">
        <f t="shared" si="18"/>
        <v>0</v>
      </c>
      <c r="BM52">
        <f t="shared" si="73"/>
        <v>0</v>
      </c>
      <c r="BN52" s="44">
        <f t="shared" si="89"/>
        <v>0</v>
      </c>
      <c r="BO52" s="42">
        <v>0</v>
      </c>
      <c r="BP52">
        <f t="shared" si="90"/>
        <v>0</v>
      </c>
      <c r="BQ52" s="44">
        <f t="shared" si="53"/>
        <v>0</v>
      </c>
      <c r="BR52" s="42">
        <f t="shared" si="91"/>
        <v>0</v>
      </c>
      <c r="BS52">
        <f t="shared" si="92"/>
        <v>0</v>
      </c>
      <c r="BT52" s="44">
        <f t="shared" si="55"/>
        <v>0</v>
      </c>
      <c r="BU52" s="42">
        <f t="shared" si="74"/>
        <v>1.5737280000000003E-2</v>
      </c>
      <c r="BV52">
        <f t="shared" si="21"/>
        <v>0.23625000000000002</v>
      </c>
      <c r="BW52" s="44">
        <f t="shared" si="75"/>
        <v>1.0800000000000001E-2</v>
      </c>
      <c r="BX52">
        <f t="shared" si="56"/>
        <v>0.50622880000000003</v>
      </c>
      <c r="BY52">
        <f t="shared" si="43"/>
        <v>6.2737016845691009</v>
      </c>
      <c r="BZ52">
        <f t="shared" si="93"/>
        <v>79.27672753752843</v>
      </c>
    </row>
    <row r="53" spans="17:78" x14ac:dyDescent="0.3">
      <c r="Q53">
        <v>46</v>
      </c>
      <c r="R53" s="42">
        <f t="shared" si="57"/>
        <v>24.533333333333331</v>
      </c>
      <c r="S53">
        <f t="shared" si="1"/>
        <v>24</v>
      </c>
      <c r="T53" s="44">
        <f t="shared" si="58"/>
        <v>1.0222222222222221</v>
      </c>
      <c r="U53" s="42">
        <f t="shared" si="59"/>
        <v>2</v>
      </c>
      <c r="V53">
        <f t="shared" si="60"/>
        <v>0.4</v>
      </c>
      <c r="W53">
        <f t="shared" si="61"/>
        <v>0.6</v>
      </c>
      <c r="X53">
        <f t="shared" si="23"/>
        <v>0</v>
      </c>
      <c r="Y53" s="42">
        <f t="shared" si="76"/>
        <v>2.5555555555555549</v>
      </c>
      <c r="Z53">
        <f t="shared" si="62"/>
        <v>1.9200000000000004</v>
      </c>
      <c r="AA53">
        <f t="shared" si="25"/>
        <v>3.5155555555555553</v>
      </c>
      <c r="AB53" s="44">
        <f t="shared" si="63"/>
        <v>1.6538517705684341</v>
      </c>
      <c r="AC53" s="42">
        <v>0</v>
      </c>
      <c r="AD53">
        <f t="shared" si="64"/>
        <v>2.7352256790123444E-2</v>
      </c>
      <c r="AE53" s="44">
        <f t="shared" si="27"/>
        <v>2.7352256790123444E-2</v>
      </c>
      <c r="AF53" s="42">
        <f t="shared" si="65"/>
        <v>0.49066666666666664</v>
      </c>
      <c r="AG53" s="44">
        <f t="shared" si="66"/>
        <v>0.49066666666666664</v>
      </c>
      <c r="AH53" s="42">
        <f t="shared" si="67"/>
        <v>0</v>
      </c>
      <c r="AI53">
        <f t="shared" si="68"/>
        <v>1.0011803957817464</v>
      </c>
      <c r="AJ53" s="44">
        <f t="shared" si="45"/>
        <v>1.0011803957817464</v>
      </c>
      <c r="AK53" s="42">
        <f t="shared" si="69"/>
        <v>24.533333333333331</v>
      </c>
      <c r="AL53">
        <f t="shared" si="13"/>
        <v>160</v>
      </c>
      <c r="AM53" s="44">
        <f t="shared" si="28"/>
        <v>0.15333333333333332</v>
      </c>
      <c r="AN53" s="42">
        <f t="shared" si="77"/>
        <v>2</v>
      </c>
      <c r="AO53">
        <f t="shared" si="78"/>
        <v>0.60000000000000009</v>
      </c>
      <c r="AP53">
        <f t="shared" si="79"/>
        <v>0.25555555555555548</v>
      </c>
      <c r="AQ53">
        <f t="shared" si="80"/>
        <v>0.19200000000000003</v>
      </c>
      <c r="AR53">
        <f t="shared" si="46"/>
        <v>0.35155555555555551</v>
      </c>
      <c r="AS53" s="44">
        <f t="shared" si="47"/>
        <v>0.20255464740455889</v>
      </c>
      <c r="AT53" s="42"/>
      <c r="AU53">
        <f t="shared" si="81"/>
        <v>2.8213333333333332E-4</v>
      </c>
      <c r="AV53" s="44">
        <f t="shared" si="48"/>
        <v>2.8213333333333332E-4</v>
      </c>
      <c r="AW53" s="42">
        <f t="shared" si="82"/>
        <v>4</v>
      </c>
      <c r="AX53">
        <f t="shared" si="83"/>
        <v>4.5999999999999992E-2</v>
      </c>
      <c r="AY53" s="44">
        <f t="shared" si="49"/>
        <v>4.0460000000000003</v>
      </c>
      <c r="AZ53" s="42">
        <f t="shared" si="70"/>
        <v>0</v>
      </c>
      <c r="BA53">
        <f t="shared" si="71"/>
        <v>0</v>
      </c>
      <c r="BB53">
        <f t="shared" si="50"/>
        <v>0</v>
      </c>
      <c r="BC53" s="44">
        <f t="shared" si="84"/>
        <v>0</v>
      </c>
      <c r="BD53" s="42">
        <v>0</v>
      </c>
      <c r="BE53">
        <f t="shared" si="85"/>
        <v>0</v>
      </c>
      <c r="BF53" s="44">
        <f t="shared" si="52"/>
        <v>0</v>
      </c>
      <c r="BG53" s="42">
        <f t="shared" si="86"/>
        <v>0</v>
      </c>
      <c r="BH53">
        <f t="shared" si="87"/>
        <v>0</v>
      </c>
      <c r="BI53" s="44">
        <f t="shared" si="88"/>
        <v>0</v>
      </c>
      <c r="BK53" s="42">
        <f t="shared" si="72"/>
        <v>0</v>
      </c>
      <c r="BL53">
        <f t="shared" si="18"/>
        <v>0</v>
      </c>
      <c r="BM53">
        <f t="shared" si="73"/>
        <v>0</v>
      </c>
      <c r="BN53" s="44">
        <f t="shared" si="89"/>
        <v>0</v>
      </c>
      <c r="BO53" s="42">
        <v>0</v>
      </c>
      <c r="BP53">
        <f t="shared" si="90"/>
        <v>0</v>
      </c>
      <c r="BQ53" s="44">
        <f t="shared" si="53"/>
        <v>0</v>
      </c>
      <c r="BR53" s="42">
        <f t="shared" si="91"/>
        <v>0</v>
      </c>
      <c r="BS53">
        <f t="shared" si="92"/>
        <v>0</v>
      </c>
      <c r="BT53" s="44">
        <f t="shared" si="55"/>
        <v>0</v>
      </c>
      <c r="BU53" s="42">
        <f t="shared" si="74"/>
        <v>1.6411354074074066E-2</v>
      </c>
      <c r="BV53">
        <f t="shared" si="21"/>
        <v>0.23625000000000002</v>
      </c>
      <c r="BW53" s="44">
        <f t="shared" si="75"/>
        <v>1.0800000000000001E-2</v>
      </c>
      <c r="BX53">
        <f t="shared" si="56"/>
        <v>0.51801892345679013</v>
      </c>
      <c r="BY53">
        <f t="shared" si="43"/>
        <v>6.319609473312612</v>
      </c>
      <c r="BZ53">
        <f t="shared" si="93"/>
        <v>79.516996116327292</v>
      </c>
    </row>
    <row r="54" spans="17:78" x14ac:dyDescent="0.3">
      <c r="Q54">
        <v>47</v>
      </c>
      <c r="R54" s="42">
        <f t="shared" si="57"/>
        <v>25.066666666666666</v>
      </c>
      <c r="S54">
        <f t="shared" si="1"/>
        <v>24</v>
      </c>
      <c r="T54" s="44">
        <f t="shared" si="58"/>
        <v>1.0444444444444445</v>
      </c>
      <c r="U54" s="42">
        <f t="shared" si="59"/>
        <v>2</v>
      </c>
      <c r="V54">
        <f t="shared" si="60"/>
        <v>0.4</v>
      </c>
      <c r="W54">
        <f t="shared" si="61"/>
        <v>0.6</v>
      </c>
      <c r="X54">
        <f t="shared" si="23"/>
        <v>0</v>
      </c>
      <c r="Y54" s="42">
        <f t="shared" si="76"/>
        <v>2.6111111111111107</v>
      </c>
      <c r="Z54">
        <f t="shared" si="62"/>
        <v>1.9200000000000004</v>
      </c>
      <c r="AA54">
        <f t="shared" si="25"/>
        <v>3.5711111111111107</v>
      </c>
      <c r="AB54" s="44">
        <f t="shared" si="63"/>
        <v>1.6882062948073493</v>
      </c>
      <c r="AC54" s="42">
        <v>0</v>
      </c>
      <c r="AD54">
        <f t="shared" si="64"/>
        <v>2.8500404938271585E-2</v>
      </c>
      <c r="AE54" s="44">
        <f t="shared" si="27"/>
        <v>2.8500404938271585E-2</v>
      </c>
      <c r="AF54" s="42">
        <f t="shared" si="65"/>
        <v>0.5013333333333333</v>
      </c>
      <c r="AG54" s="44">
        <f t="shared" si="66"/>
        <v>0.5013333333333333</v>
      </c>
      <c r="AH54" s="42">
        <f t="shared" si="67"/>
        <v>0</v>
      </c>
      <c r="AI54">
        <f t="shared" si="68"/>
        <v>1.0229451869943933</v>
      </c>
      <c r="AJ54" s="44">
        <f t="shared" si="45"/>
        <v>1.0229451869943933</v>
      </c>
      <c r="AK54" s="42">
        <f t="shared" si="69"/>
        <v>25.066666666666666</v>
      </c>
      <c r="AL54">
        <f t="shared" si="13"/>
        <v>160</v>
      </c>
      <c r="AM54" s="44">
        <f t="shared" si="28"/>
        <v>0.15666666666666668</v>
      </c>
      <c r="AN54" s="42">
        <f t="shared" si="77"/>
        <v>2</v>
      </c>
      <c r="AO54">
        <f t="shared" si="78"/>
        <v>0.60000000000000009</v>
      </c>
      <c r="AP54">
        <f t="shared" si="79"/>
        <v>0.26111111111111107</v>
      </c>
      <c r="AQ54">
        <f t="shared" si="80"/>
        <v>0.19200000000000003</v>
      </c>
      <c r="AR54">
        <f t="shared" si="46"/>
        <v>0.3571111111111111</v>
      </c>
      <c r="AS54" s="44">
        <f t="shared" si="47"/>
        <v>0.20676220014162985</v>
      </c>
      <c r="AT54" s="42"/>
      <c r="AU54">
        <f t="shared" si="81"/>
        <v>2.9453333333333341E-4</v>
      </c>
      <c r="AV54" s="44">
        <f t="shared" si="48"/>
        <v>2.9453333333333341E-4</v>
      </c>
      <c r="AW54" s="42">
        <f t="shared" si="82"/>
        <v>4</v>
      </c>
      <c r="AX54">
        <f t="shared" si="83"/>
        <v>4.7E-2</v>
      </c>
      <c r="AY54" s="44">
        <f t="shared" si="49"/>
        <v>4.0469999999999997</v>
      </c>
      <c r="AZ54" s="42">
        <f t="shared" si="70"/>
        <v>0</v>
      </c>
      <c r="BA54">
        <f t="shared" si="71"/>
        <v>0</v>
      </c>
      <c r="BB54">
        <f t="shared" si="50"/>
        <v>0</v>
      </c>
      <c r="BC54" s="44">
        <f t="shared" si="84"/>
        <v>0</v>
      </c>
      <c r="BD54" s="42">
        <v>0</v>
      </c>
      <c r="BE54">
        <f t="shared" si="85"/>
        <v>0</v>
      </c>
      <c r="BF54" s="44">
        <f t="shared" si="52"/>
        <v>0</v>
      </c>
      <c r="BG54" s="42">
        <f t="shared" si="86"/>
        <v>0</v>
      </c>
      <c r="BH54">
        <f t="shared" si="87"/>
        <v>0</v>
      </c>
      <c r="BI54" s="44">
        <f t="shared" si="88"/>
        <v>0</v>
      </c>
      <c r="BK54" s="42">
        <f t="shared" si="72"/>
        <v>0</v>
      </c>
      <c r="BL54">
        <f t="shared" si="18"/>
        <v>0</v>
      </c>
      <c r="BM54">
        <f t="shared" si="73"/>
        <v>0</v>
      </c>
      <c r="BN54" s="44">
        <f t="shared" si="89"/>
        <v>0</v>
      </c>
      <c r="BO54" s="42">
        <v>0</v>
      </c>
      <c r="BP54">
        <f t="shared" si="90"/>
        <v>0</v>
      </c>
      <c r="BQ54" s="44">
        <f t="shared" si="53"/>
        <v>0</v>
      </c>
      <c r="BR54" s="42">
        <f t="shared" si="91"/>
        <v>0</v>
      </c>
      <c r="BS54">
        <f t="shared" si="92"/>
        <v>0</v>
      </c>
      <c r="BT54" s="44">
        <f t="shared" si="55"/>
        <v>0</v>
      </c>
      <c r="BU54" s="42">
        <f t="shared" si="74"/>
        <v>1.7100242962962951E-2</v>
      </c>
      <c r="BV54">
        <f t="shared" si="21"/>
        <v>0.23625000000000002</v>
      </c>
      <c r="BW54" s="44">
        <f t="shared" si="75"/>
        <v>1.0800000000000001E-2</v>
      </c>
      <c r="BX54">
        <f t="shared" si="56"/>
        <v>0.52983373827160485</v>
      </c>
      <c r="BY54">
        <f t="shared" si="43"/>
        <v>6.3655570348956276</v>
      </c>
      <c r="BZ54">
        <f t="shared" si="93"/>
        <v>79.748308311450344</v>
      </c>
    </row>
    <row r="55" spans="17:78" x14ac:dyDescent="0.3">
      <c r="Q55">
        <v>48</v>
      </c>
      <c r="R55" s="42">
        <f t="shared" si="57"/>
        <v>25.6</v>
      </c>
      <c r="S55">
        <f t="shared" si="1"/>
        <v>24</v>
      </c>
      <c r="T55" s="44">
        <f t="shared" si="58"/>
        <v>1.0666666666666667</v>
      </c>
      <c r="U55" s="42">
        <f t="shared" si="59"/>
        <v>2</v>
      </c>
      <c r="V55">
        <f t="shared" si="60"/>
        <v>0.4</v>
      </c>
      <c r="W55">
        <f t="shared" si="61"/>
        <v>0.6</v>
      </c>
      <c r="X55">
        <f t="shared" si="23"/>
        <v>0</v>
      </c>
      <c r="Y55" s="42">
        <f t="shared" si="76"/>
        <v>2.6666666666666665</v>
      </c>
      <c r="Z55">
        <f t="shared" si="62"/>
        <v>1.9200000000000004</v>
      </c>
      <c r="AA55">
        <f t="shared" si="25"/>
        <v>3.6266666666666669</v>
      </c>
      <c r="AB55" s="44">
        <f t="shared" si="63"/>
        <v>1.7225923616585685</v>
      </c>
      <c r="AC55" s="42">
        <v>0</v>
      </c>
      <c r="AD55">
        <f t="shared" si="64"/>
        <v>2.9673244444444444E-2</v>
      </c>
      <c r="AE55" s="44">
        <f t="shared" si="27"/>
        <v>2.9673244444444444E-2</v>
      </c>
      <c r="AF55" s="42">
        <f t="shared" si="65"/>
        <v>0.51200000000000001</v>
      </c>
      <c r="AG55" s="44">
        <f t="shared" si="66"/>
        <v>0.51200000000000001</v>
      </c>
      <c r="AH55" s="42">
        <f t="shared" si="67"/>
        <v>0</v>
      </c>
      <c r="AI55">
        <f t="shared" si="68"/>
        <v>1.0447099782070399</v>
      </c>
      <c r="AJ55" s="44">
        <f t="shared" si="45"/>
        <v>1.0447099782070399</v>
      </c>
      <c r="AK55" s="42">
        <f t="shared" si="69"/>
        <v>25.6</v>
      </c>
      <c r="AL55">
        <f t="shared" si="13"/>
        <v>160</v>
      </c>
      <c r="AM55" s="44">
        <f t="shared" si="28"/>
        <v>0.16</v>
      </c>
      <c r="AN55" s="42">
        <f t="shared" si="77"/>
        <v>2</v>
      </c>
      <c r="AO55">
        <f t="shared" si="78"/>
        <v>0.6</v>
      </c>
      <c r="AP55">
        <f t="shared" si="79"/>
        <v>0.26666666666666666</v>
      </c>
      <c r="AQ55">
        <f t="shared" si="80"/>
        <v>0.192</v>
      </c>
      <c r="AR55">
        <f t="shared" si="46"/>
        <v>0.36266666666666669</v>
      </c>
      <c r="AS55" s="44">
        <f t="shared" si="47"/>
        <v>0.21097361604396569</v>
      </c>
      <c r="AT55" s="42"/>
      <c r="AU55">
        <f t="shared" si="81"/>
        <v>3.0720000000000004E-4</v>
      </c>
      <c r="AV55" s="44">
        <f t="shared" si="48"/>
        <v>3.0720000000000004E-4</v>
      </c>
      <c r="AW55" s="42">
        <f t="shared" si="82"/>
        <v>4</v>
      </c>
      <c r="AX55">
        <f t="shared" si="83"/>
        <v>4.8000000000000001E-2</v>
      </c>
      <c r="AY55" s="44">
        <f t="shared" si="49"/>
        <v>4.048</v>
      </c>
      <c r="AZ55" s="42">
        <f t="shared" si="70"/>
        <v>0</v>
      </c>
      <c r="BA55">
        <f t="shared" si="71"/>
        <v>0</v>
      </c>
      <c r="BB55">
        <f t="shared" si="50"/>
        <v>0</v>
      </c>
      <c r="BC55" s="44">
        <f t="shared" si="84"/>
        <v>0</v>
      </c>
      <c r="BD55" s="42">
        <v>0</v>
      </c>
      <c r="BE55">
        <f t="shared" si="85"/>
        <v>0</v>
      </c>
      <c r="BF55" s="44">
        <f t="shared" si="52"/>
        <v>0</v>
      </c>
      <c r="BG55" s="42">
        <f t="shared" si="86"/>
        <v>0</v>
      </c>
      <c r="BH55">
        <f t="shared" si="87"/>
        <v>0</v>
      </c>
      <c r="BI55" s="44">
        <f t="shared" si="88"/>
        <v>0</v>
      </c>
      <c r="BK55" s="42">
        <f t="shared" si="72"/>
        <v>0</v>
      </c>
      <c r="BL55">
        <f t="shared" si="18"/>
        <v>0</v>
      </c>
      <c r="BM55">
        <f t="shared" si="73"/>
        <v>0</v>
      </c>
      <c r="BN55" s="44">
        <f t="shared" si="89"/>
        <v>0</v>
      </c>
      <c r="BO55" s="42">
        <v>0</v>
      </c>
      <c r="BP55">
        <f t="shared" si="90"/>
        <v>0</v>
      </c>
      <c r="BQ55" s="44">
        <f t="shared" si="53"/>
        <v>0</v>
      </c>
      <c r="BR55" s="42">
        <f t="shared" si="91"/>
        <v>0</v>
      </c>
      <c r="BS55">
        <f t="shared" si="92"/>
        <v>0</v>
      </c>
      <c r="BT55" s="44">
        <f t="shared" si="55"/>
        <v>0</v>
      </c>
      <c r="BU55" s="42">
        <f t="shared" si="74"/>
        <v>1.7803946666666667E-2</v>
      </c>
      <c r="BV55">
        <f t="shared" si="21"/>
        <v>0.23625000000000002</v>
      </c>
      <c r="BW55" s="44">
        <f t="shared" si="75"/>
        <v>1.0800000000000001E-2</v>
      </c>
      <c r="BX55">
        <f t="shared" si="56"/>
        <v>0.54167324444444442</v>
      </c>
      <c r="BY55">
        <f t="shared" si="43"/>
        <v>6.4115443693181504</v>
      </c>
      <c r="BZ55">
        <f t="shared" si="93"/>
        <v>79.971149484860931</v>
      </c>
    </row>
    <row r="56" spans="17:78" x14ac:dyDescent="0.3">
      <c r="Q56">
        <v>49</v>
      </c>
      <c r="R56" s="42">
        <f t="shared" si="57"/>
        <v>26.133333333333333</v>
      </c>
      <c r="S56">
        <f t="shared" si="1"/>
        <v>24</v>
      </c>
      <c r="T56" s="44">
        <f t="shared" si="58"/>
        <v>1.0888888888888888</v>
      </c>
      <c r="U56" s="42">
        <f t="shared" si="59"/>
        <v>2</v>
      </c>
      <c r="V56">
        <f t="shared" si="60"/>
        <v>0.4</v>
      </c>
      <c r="W56">
        <f t="shared" si="61"/>
        <v>0.6</v>
      </c>
      <c r="X56">
        <f t="shared" si="23"/>
        <v>0</v>
      </c>
      <c r="Y56" s="42">
        <f t="shared" si="76"/>
        <v>2.7222222222222219</v>
      </c>
      <c r="Z56">
        <f t="shared" si="62"/>
        <v>1.9200000000000004</v>
      </c>
      <c r="AA56">
        <f t="shared" si="25"/>
        <v>3.6822222222222223</v>
      </c>
      <c r="AB56" s="44">
        <f t="shared" si="63"/>
        <v>1.7570081191799307</v>
      </c>
      <c r="AC56" s="42">
        <v>0</v>
      </c>
      <c r="AD56">
        <f t="shared" si="64"/>
        <v>3.087077530864198E-2</v>
      </c>
      <c r="AE56" s="44">
        <f t="shared" si="27"/>
        <v>3.087077530864198E-2</v>
      </c>
      <c r="AF56" s="42">
        <f t="shared" si="65"/>
        <v>0.52266666666666661</v>
      </c>
      <c r="AG56" s="44">
        <f t="shared" si="66"/>
        <v>0.52266666666666661</v>
      </c>
      <c r="AH56" s="42">
        <f t="shared" si="67"/>
        <v>0</v>
      </c>
      <c r="AI56">
        <f t="shared" si="68"/>
        <v>1.0664747694196866</v>
      </c>
      <c r="AJ56" s="44">
        <f t="shared" si="45"/>
        <v>1.0664747694196866</v>
      </c>
      <c r="AK56" s="42">
        <f t="shared" si="69"/>
        <v>26.133333333333333</v>
      </c>
      <c r="AL56">
        <f t="shared" si="13"/>
        <v>160</v>
      </c>
      <c r="AM56" s="44">
        <f t="shared" si="28"/>
        <v>0.16333333333333333</v>
      </c>
      <c r="AN56" s="42">
        <f t="shared" si="77"/>
        <v>2</v>
      </c>
      <c r="AO56">
        <f t="shared" si="78"/>
        <v>0.60000000000000009</v>
      </c>
      <c r="AP56">
        <f t="shared" si="79"/>
        <v>0.2722222222222222</v>
      </c>
      <c r="AQ56">
        <f t="shared" si="80"/>
        <v>0.19200000000000003</v>
      </c>
      <c r="AR56">
        <f t="shared" si="46"/>
        <v>0.36822222222222223</v>
      </c>
      <c r="AS56" s="44">
        <f t="shared" si="47"/>
        <v>0.21518866829590019</v>
      </c>
      <c r="AT56" s="42"/>
      <c r="AU56">
        <f t="shared" si="81"/>
        <v>3.2013333333333333E-4</v>
      </c>
      <c r="AV56" s="44">
        <f t="shared" si="48"/>
        <v>3.2013333333333333E-4</v>
      </c>
      <c r="AW56" s="42">
        <f t="shared" si="82"/>
        <v>4</v>
      </c>
      <c r="AX56">
        <f t="shared" si="83"/>
        <v>4.8999999999999995E-2</v>
      </c>
      <c r="AY56" s="44">
        <f t="shared" si="49"/>
        <v>4.0490000000000004</v>
      </c>
      <c r="AZ56" s="42">
        <f t="shared" si="70"/>
        <v>0</v>
      </c>
      <c r="BA56">
        <f t="shared" si="71"/>
        <v>0</v>
      </c>
      <c r="BB56">
        <f t="shared" si="50"/>
        <v>0</v>
      </c>
      <c r="BC56" s="44">
        <f t="shared" si="84"/>
        <v>0</v>
      </c>
      <c r="BD56" s="42">
        <v>0</v>
      </c>
      <c r="BE56">
        <f t="shared" si="85"/>
        <v>0</v>
      </c>
      <c r="BF56" s="44">
        <f t="shared" si="52"/>
        <v>0</v>
      </c>
      <c r="BG56" s="42">
        <f t="shared" si="86"/>
        <v>0</v>
      </c>
      <c r="BH56">
        <f t="shared" si="87"/>
        <v>0</v>
      </c>
      <c r="BI56" s="44">
        <f t="shared" si="88"/>
        <v>0</v>
      </c>
      <c r="BK56" s="42">
        <f t="shared" si="72"/>
        <v>0</v>
      </c>
      <c r="BL56">
        <f t="shared" si="18"/>
        <v>0</v>
      </c>
      <c r="BM56">
        <f t="shared" si="73"/>
        <v>0</v>
      </c>
      <c r="BN56" s="44">
        <f t="shared" si="89"/>
        <v>0</v>
      </c>
      <c r="BO56" s="42">
        <v>0</v>
      </c>
      <c r="BP56">
        <f t="shared" si="90"/>
        <v>0</v>
      </c>
      <c r="BQ56" s="44">
        <f t="shared" si="53"/>
        <v>0</v>
      </c>
      <c r="BR56" s="42">
        <f t="shared" si="91"/>
        <v>0</v>
      </c>
      <c r="BS56">
        <f t="shared" si="92"/>
        <v>0</v>
      </c>
      <c r="BT56" s="44">
        <f t="shared" si="55"/>
        <v>0</v>
      </c>
      <c r="BU56" s="42">
        <f t="shared" si="74"/>
        <v>1.8522465185185188E-2</v>
      </c>
      <c r="BV56">
        <f t="shared" si="21"/>
        <v>0.23625000000000002</v>
      </c>
      <c r="BW56" s="44">
        <f t="shared" si="75"/>
        <v>1.0800000000000001E-2</v>
      </c>
      <c r="BX56">
        <f t="shared" si="56"/>
        <v>0.55353744197530863</v>
      </c>
      <c r="BY56">
        <f t="shared" si="43"/>
        <v>6.4575714765801813</v>
      </c>
      <c r="BZ56">
        <f t="shared" si="93"/>
        <v>80.185970551465289</v>
      </c>
    </row>
    <row r="57" spans="17:78" x14ac:dyDescent="0.3">
      <c r="Q57">
        <v>50</v>
      </c>
      <c r="R57" s="42">
        <f t="shared" si="57"/>
        <v>26.666666666666668</v>
      </c>
      <c r="S57">
        <f t="shared" si="1"/>
        <v>24</v>
      </c>
      <c r="T57" s="44">
        <f t="shared" si="58"/>
        <v>1.1111111111111112</v>
      </c>
      <c r="U57" s="42">
        <f t="shared" si="59"/>
        <v>2</v>
      </c>
      <c r="V57">
        <f t="shared" si="60"/>
        <v>0.4</v>
      </c>
      <c r="W57">
        <f t="shared" si="61"/>
        <v>0.6</v>
      </c>
      <c r="X57">
        <f t="shared" si="23"/>
        <v>0</v>
      </c>
      <c r="Y57" s="42">
        <f t="shared" si="76"/>
        <v>2.7777777777777777</v>
      </c>
      <c r="Z57">
        <f t="shared" si="62"/>
        <v>1.9200000000000004</v>
      </c>
      <c r="AA57">
        <f t="shared" si="25"/>
        <v>3.7377777777777776</v>
      </c>
      <c r="AB57" s="44">
        <f t="shared" si="63"/>
        <v>1.7914518562011144</v>
      </c>
      <c r="AC57" s="42">
        <v>0</v>
      </c>
      <c r="AD57">
        <f t="shared" si="64"/>
        <v>3.2092997530864184E-2</v>
      </c>
      <c r="AE57" s="44">
        <f t="shared" si="27"/>
        <v>3.2092997530864184E-2</v>
      </c>
      <c r="AF57" s="42">
        <f t="shared" si="65"/>
        <v>0.53333333333333333</v>
      </c>
      <c r="AG57" s="44">
        <f t="shared" si="66"/>
        <v>0.53333333333333333</v>
      </c>
      <c r="AH57" s="42">
        <f t="shared" si="67"/>
        <v>0</v>
      </c>
      <c r="AI57">
        <f t="shared" si="68"/>
        <v>1.0882395606323334</v>
      </c>
      <c r="AJ57" s="44">
        <f t="shared" si="45"/>
        <v>1.0882395606323334</v>
      </c>
      <c r="AK57" s="42">
        <f t="shared" si="69"/>
        <v>26.666666666666668</v>
      </c>
      <c r="AL57">
        <f t="shared" si="13"/>
        <v>160</v>
      </c>
      <c r="AM57" s="44">
        <f t="shared" si="28"/>
        <v>0.16666666666666669</v>
      </c>
      <c r="AN57" s="42">
        <f t="shared" si="77"/>
        <v>2</v>
      </c>
      <c r="AO57">
        <f t="shared" si="78"/>
        <v>0.60000000000000009</v>
      </c>
      <c r="AP57">
        <f t="shared" si="79"/>
        <v>0.27777777777777779</v>
      </c>
      <c r="AQ57">
        <f t="shared" si="80"/>
        <v>0.19200000000000003</v>
      </c>
      <c r="AR57">
        <f t="shared" si="46"/>
        <v>0.37377777777777782</v>
      </c>
      <c r="AS57" s="44">
        <f t="shared" si="47"/>
        <v>0.21940714732272582</v>
      </c>
      <c r="AT57" s="42"/>
      <c r="AU57">
        <f t="shared" si="81"/>
        <v>3.3333333333333343E-4</v>
      </c>
      <c r="AV57" s="44">
        <f t="shared" si="48"/>
        <v>3.3333333333333343E-4</v>
      </c>
      <c r="AW57" s="42">
        <f t="shared" si="82"/>
        <v>4</v>
      </c>
      <c r="AX57">
        <f t="shared" si="83"/>
        <v>0.05</v>
      </c>
      <c r="AY57" s="44">
        <f t="shared" si="49"/>
        <v>4.05</v>
      </c>
      <c r="AZ57" s="42">
        <f t="shared" si="70"/>
        <v>0</v>
      </c>
      <c r="BA57">
        <f t="shared" si="71"/>
        <v>0</v>
      </c>
      <c r="BB57">
        <f t="shared" si="50"/>
        <v>0</v>
      </c>
      <c r="BC57" s="44">
        <f t="shared" si="84"/>
        <v>0</v>
      </c>
      <c r="BD57" s="42">
        <v>0</v>
      </c>
      <c r="BE57">
        <f t="shared" si="85"/>
        <v>0</v>
      </c>
      <c r="BF57" s="44">
        <f t="shared" si="52"/>
        <v>0</v>
      </c>
      <c r="BG57" s="42">
        <f t="shared" si="86"/>
        <v>0</v>
      </c>
      <c r="BH57">
        <f t="shared" si="87"/>
        <v>0</v>
      </c>
      <c r="BI57" s="44">
        <f t="shared" si="88"/>
        <v>0</v>
      </c>
      <c r="BK57" s="42">
        <f t="shared" si="72"/>
        <v>0</v>
      </c>
      <c r="BL57">
        <f t="shared" si="18"/>
        <v>0</v>
      </c>
      <c r="BM57">
        <f t="shared" si="73"/>
        <v>0</v>
      </c>
      <c r="BN57" s="44">
        <f t="shared" si="89"/>
        <v>0</v>
      </c>
      <c r="BO57" s="42">
        <v>0</v>
      </c>
      <c r="BP57">
        <f t="shared" si="90"/>
        <v>0</v>
      </c>
      <c r="BQ57" s="44">
        <f t="shared" si="53"/>
        <v>0</v>
      </c>
      <c r="BR57" s="42">
        <f t="shared" si="91"/>
        <v>0</v>
      </c>
      <c r="BS57">
        <f t="shared" si="92"/>
        <v>0</v>
      </c>
      <c r="BT57" s="44">
        <f t="shared" si="55"/>
        <v>0</v>
      </c>
      <c r="BU57" s="42">
        <f t="shared" si="74"/>
        <v>1.925579851851851E-2</v>
      </c>
      <c r="BV57">
        <f t="shared" si="21"/>
        <v>0.23625000000000002</v>
      </c>
      <c r="BW57" s="44">
        <f t="shared" si="75"/>
        <v>1.0800000000000001E-2</v>
      </c>
      <c r="BX57">
        <f t="shared" si="56"/>
        <v>0.56542633086419747</v>
      </c>
      <c r="BY57">
        <f t="shared" si="43"/>
        <v>6.5036383566817166</v>
      </c>
      <c r="BZ57">
        <f t="shared" si="93"/>
        <v>80.393190981801823</v>
      </c>
    </row>
    <row r="58" spans="17:78" x14ac:dyDescent="0.3">
      <c r="Q58">
        <v>51</v>
      </c>
      <c r="R58" s="42">
        <f t="shared" si="57"/>
        <v>27.2</v>
      </c>
      <c r="S58">
        <f t="shared" si="1"/>
        <v>24</v>
      </c>
      <c r="T58" s="44">
        <f t="shared" si="58"/>
        <v>1.1333333333333333</v>
      </c>
      <c r="U58" s="42">
        <f t="shared" si="59"/>
        <v>2</v>
      </c>
      <c r="V58">
        <f t="shared" si="60"/>
        <v>0.4</v>
      </c>
      <c r="W58">
        <f t="shared" si="61"/>
        <v>0.6</v>
      </c>
      <c r="X58">
        <f t="shared" si="23"/>
        <v>0</v>
      </c>
      <c r="Y58" s="42">
        <f t="shared" si="76"/>
        <v>2.833333333333333</v>
      </c>
      <c r="Z58">
        <f t="shared" si="62"/>
        <v>1.9200000000000004</v>
      </c>
      <c r="AA58">
        <f t="shared" si="25"/>
        <v>3.793333333333333</v>
      </c>
      <c r="AB58" s="44">
        <f t="shared" si="63"/>
        <v>1.8259219893278875</v>
      </c>
      <c r="AC58" s="42">
        <v>0</v>
      </c>
      <c r="AD58">
        <f t="shared" si="64"/>
        <v>3.3339911111111106E-2</v>
      </c>
      <c r="AE58" s="44">
        <f t="shared" si="27"/>
        <v>3.3339911111111106E-2</v>
      </c>
      <c r="AF58" s="42">
        <f t="shared" si="65"/>
        <v>0.54400000000000004</v>
      </c>
      <c r="AG58" s="44">
        <f t="shared" si="66"/>
        <v>0.54400000000000004</v>
      </c>
      <c r="AH58" s="42">
        <f t="shared" si="67"/>
        <v>0</v>
      </c>
      <c r="AI58">
        <f t="shared" si="68"/>
        <v>1.1100043518449798</v>
      </c>
      <c r="AJ58" s="44">
        <f t="shared" si="45"/>
        <v>1.1100043518449798</v>
      </c>
      <c r="AK58" s="42">
        <f t="shared" si="69"/>
        <v>27.2</v>
      </c>
      <c r="AL58">
        <f t="shared" si="13"/>
        <v>160</v>
      </c>
      <c r="AM58" s="44">
        <f t="shared" si="28"/>
        <v>0.16999999999999998</v>
      </c>
      <c r="AN58" s="42">
        <f t="shared" si="77"/>
        <v>2</v>
      </c>
      <c r="AO58">
        <f t="shared" si="78"/>
        <v>0.6</v>
      </c>
      <c r="AP58">
        <f t="shared" si="79"/>
        <v>0.28333333333333333</v>
      </c>
      <c r="AQ58">
        <f t="shared" si="80"/>
        <v>0.192</v>
      </c>
      <c r="AR58">
        <f t="shared" si="46"/>
        <v>0.3793333333333333</v>
      </c>
      <c r="AS58" s="44">
        <f t="shared" si="47"/>
        <v>0.22362885919904579</v>
      </c>
      <c r="AT58" s="42"/>
      <c r="AU58">
        <f t="shared" si="81"/>
        <v>3.4679999999999997E-4</v>
      </c>
      <c r="AV58" s="44">
        <f t="shared" si="48"/>
        <v>3.4679999999999997E-4</v>
      </c>
      <c r="AW58" s="42">
        <f t="shared" si="82"/>
        <v>4</v>
      </c>
      <c r="AX58">
        <f t="shared" si="83"/>
        <v>5.0999999999999997E-2</v>
      </c>
      <c r="AY58" s="44">
        <f t="shared" si="49"/>
        <v>4.0510000000000002</v>
      </c>
      <c r="AZ58" s="42">
        <f t="shared" si="70"/>
        <v>0</v>
      </c>
      <c r="BA58">
        <f t="shared" si="71"/>
        <v>0</v>
      </c>
      <c r="BB58">
        <f t="shared" si="50"/>
        <v>0</v>
      </c>
      <c r="BC58" s="44">
        <f t="shared" si="84"/>
        <v>0</v>
      </c>
      <c r="BD58" s="42">
        <v>0</v>
      </c>
      <c r="BE58">
        <f t="shared" si="85"/>
        <v>0</v>
      </c>
      <c r="BF58" s="44">
        <f t="shared" si="52"/>
        <v>0</v>
      </c>
      <c r="BG58" s="42">
        <f t="shared" si="86"/>
        <v>0</v>
      </c>
      <c r="BH58">
        <f t="shared" si="87"/>
        <v>0</v>
      </c>
      <c r="BI58" s="44">
        <f t="shared" si="88"/>
        <v>0</v>
      </c>
      <c r="BK58" s="42">
        <f t="shared" si="72"/>
        <v>0</v>
      </c>
      <c r="BL58">
        <f t="shared" si="18"/>
        <v>0</v>
      </c>
      <c r="BM58">
        <f t="shared" si="73"/>
        <v>0</v>
      </c>
      <c r="BN58" s="44">
        <f t="shared" si="89"/>
        <v>0</v>
      </c>
      <c r="BO58" s="42">
        <v>0</v>
      </c>
      <c r="BP58">
        <f t="shared" si="90"/>
        <v>0</v>
      </c>
      <c r="BQ58" s="44">
        <f t="shared" si="53"/>
        <v>0</v>
      </c>
      <c r="BR58" s="42">
        <f t="shared" si="91"/>
        <v>0</v>
      </c>
      <c r="BS58">
        <f t="shared" si="92"/>
        <v>0</v>
      </c>
      <c r="BT58" s="44">
        <f t="shared" si="55"/>
        <v>0</v>
      </c>
      <c r="BU58" s="42">
        <f t="shared" si="74"/>
        <v>2.0003946666666661E-2</v>
      </c>
      <c r="BV58">
        <f t="shared" si="21"/>
        <v>0.23625000000000002</v>
      </c>
      <c r="BW58" s="44">
        <f t="shared" si="75"/>
        <v>1.0800000000000001E-2</v>
      </c>
      <c r="BX58">
        <f t="shared" si="56"/>
        <v>0.57733991111111116</v>
      </c>
      <c r="BY58">
        <f t="shared" si="43"/>
        <v>6.5497450096227574</v>
      </c>
      <c r="BZ58">
        <f t="shared" si="93"/>
        <v>80.593201496025273</v>
      </c>
    </row>
    <row r="59" spans="17:78" x14ac:dyDescent="0.3">
      <c r="Q59">
        <v>52</v>
      </c>
      <c r="R59" s="42">
        <f t="shared" si="57"/>
        <v>27.733333333333334</v>
      </c>
      <c r="S59">
        <f t="shared" si="1"/>
        <v>24</v>
      </c>
      <c r="T59" s="44">
        <f t="shared" si="58"/>
        <v>1.1555555555555557</v>
      </c>
      <c r="U59" s="42">
        <f t="shared" si="59"/>
        <v>2</v>
      </c>
      <c r="V59">
        <f t="shared" si="60"/>
        <v>0.4</v>
      </c>
      <c r="W59">
        <f t="shared" si="61"/>
        <v>0.6</v>
      </c>
      <c r="X59">
        <f t="shared" si="23"/>
        <v>0</v>
      </c>
      <c r="Y59" s="42">
        <f t="shared" si="76"/>
        <v>2.8888888888888884</v>
      </c>
      <c r="Z59">
        <f t="shared" si="62"/>
        <v>1.9200000000000004</v>
      </c>
      <c r="AA59">
        <f t="shared" si="25"/>
        <v>3.8488888888888884</v>
      </c>
      <c r="AB59" s="44">
        <f t="shared" si="63"/>
        <v>1.8604170513458187</v>
      </c>
      <c r="AC59" s="42">
        <v>0</v>
      </c>
      <c r="AD59">
        <f t="shared" si="64"/>
        <v>3.4611516049382708E-2</v>
      </c>
      <c r="AE59" s="44">
        <f t="shared" si="27"/>
        <v>3.4611516049382708E-2</v>
      </c>
      <c r="AF59" s="42">
        <f t="shared" si="65"/>
        <v>0.55466666666666675</v>
      </c>
      <c r="AG59" s="44">
        <f t="shared" si="66"/>
        <v>0.55466666666666675</v>
      </c>
      <c r="AH59" s="42">
        <f t="shared" si="67"/>
        <v>0</v>
      </c>
      <c r="AI59">
        <f t="shared" si="68"/>
        <v>1.1317691430576264</v>
      </c>
      <c r="AJ59" s="44">
        <f t="shared" si="45"/>
        <v>1.1317691430576264</v>
      </c>
      <c r="AK59" s="42">
        <f t="shared" si="69"/>
        <v>27.733333333333334</v>
      </c>
      <c r="AL59">
        <f t="shared" si="13"/>
        <v>160</v>
      </c>
      <c r="AM59" s="44">
        <f t="shared" si="28"/>
        <v>0.17333333333333334</v>
      </c>
      <c r="AN59" s="42">
        <f t="shared" si="77"/>
        <v>2</v>
      </c>
      <c r="AO59">
        <f t="shared" si="78"/>
        <v>0.6000000000000002</v>
      </c>
      <c r="AP59">
        <f t="shared" si="79"/>
        <v>0.28888888888888881</v>
      </c>
      <c r="AQ59">
        <f t="shared" si="80"/>
        <v>0.19200000000000006</v>
      </c>
      <c r="AR59">
        <f t="shared" si="46"/>
        <v>0.38488888888888884</v>
      </c>
      <c r="AS59" s="44">
        <f t="shared" si="47"/>
        <v>0.22785362422852543</v>
      </c>
      <c r="AT59" s="42"/>
      <c r="AU59">
        <f t="shared" si="81"/>
        <v>3.6053333333333339E-4</v>
      </c>
      <c r="AV59" s="44">
        <f t="shared" si="48"/>
        <v>3.6053333333333339E-4</v>
      </c>
      <c r="AW59" s="42">
        <f t="shared" si="82"/>
        <v>4</v>
      </c>
      <c r="AX59">
        <f t="shared" si="83"/>
        <v>5.1999999999999998E-2</v>
      </c>
      <c r="AY59" s="44">
        <f t="shared" si="49"/>
        <v>4.0519999999999996</v>
      </c>
      <c r="AZ59" s="42">
        <f t="shared" si="70"/>
        <v>0</v>
      </c>
      <c r="BA59">
        <f t="shared" si="71"/>
        <v>0</v>
      </c>
      <c r="BB59">
        <f t="shared" si="50"/>
        <v>0</v>
      </c>
      <c r="BC59" s="44">
        <f t="shared" si="84"/>
        <v>0</v>
      </c>
      <c r="BD59" s="42">
        <v>0</v>
      </c>
      <c r="BE59">
        <f t="shared" si="85"/>
        <v>0</v>
      </c>
      <c r="BF59" s="44">
        <f t="shared" si="52"/>
        <v>0</v>
      </c>
      <c r="BG59" s="42">
        <f t="shared" si="86"/>
        <v>0</v>
      </c>
      <c r="BH59">
        <f t="shared" si="87"/>
        <v>0</v>
      </c>
      <c r="BI59" s="44">
        <f t="shared" si="88"/>
        <v>0</v>
      </c>
      <c r="BK59" s="42">
        <f t="shared" si="72"/>
        <v>0</v>
      </c>
      <c r="BL59">
        <f t="shared" si="18"/>
        <v>0</v>
      </c>
      <c r="BM59">
        <f t="shared" si="73"/>
        <v>0</v>
      </c>
      <c r="BN59" s="44">
        <f t="shared" si="89"/>
        <v>0</v>
      </c>
      <c r="BO59" s="42">
        <v>0</v>
      </c>
      <c r="BP59">
        <f t="shared" si="90"/>
        <v>0</v>
      </c>
      <c r="BQ59" s="44">
        <f t="shared" si="53"/>
        <v>0</v>
      </c>
      <c r="BR59" s="42">
        <f t="shared" si="91"/>
        <v>0</v>
      </c>
      <c r="BS59">
        <f t="shared" si="92"/>
        <v>0</v>
      </c>
      <c r="BT59" s="44">
        <f t="shared" si="55"/>
        <v>0</v>
      </c>
      <c r="BU59" s="42">
        <f t="shared" si="74"/>
        <v>2.0766909629629623E-2</v>
      </c>
      <c r="BV59">
        <f t="shared" si="21"/>
        <v>0.23625000000000002</v>
      </c>
      <c r="BW59" s="44">
        <f t="shared" si="75"/>
        <v>1.0800000000000001E-2</v>
      </c>
      <c r="BX59">
        <f t="shared" si="56"/>
        <v>0.58927818271604948</v>
      </c>
      <c r="BY59">
        <f t="shared" si="43"/>
        <v>6.5958914354033054</v>
      </c>
      <c r="BZ59">
        <f t="shared" si="93"/>
        <v>80.786366485589468</v>
      </c>
    </row>
    <row r="60" spans="17:78" x14ac:dyDescent="0.3">
      <c r="Q60">
        <v>53</v>
      </c>
      <c r="R60" s="42">
        <f t="shared" si="57"/>
        <v>28.266666666666666</v>
      </c>
      <c r="S60">
        <f t="shared" si="1"/>
        <v>24</v>
      </c>
      <c r="T60" s="44">
        <f t="shared" si="58"/>
        <v>1.1777777777777778</v>
      </c>
      <c r="U60" s="42">
        <f t="shared" si="59"/>
        <v>2</v>
      </c>
      <c r="V60">
        <f t="shared" si="60"/>
        <v>0.4</v>
      </c>
      <c r="W60">
        <f t="shared" si="61"/>
        <v>0.6</v>
      </c>
      <c r="X60">
        <f t="shared" si="23"/>
        <v>0</v>
      </c>
      <c r="Y60" s="42">
        <f t="shared" si="76"/>
        <v>2.9444444444444438</v>
      </c>
      <c r="Z60">
        <f t="shared" si="62"/>
        <v>1.9200000000000004</v>
      </c>
      <c r="AA60">
        <f t="shared" si="25"/>
        <v>3.9044444444444437</v>
      </c>
      <c r="AB60" s="44">
        <f t="shared" si="63"/>
        <v>1.8949356808524924</v>
      </c>
      <c r="AC60" s="42">
        <v>0</v>
      </c>
      <c r="AD60">
        <f t="shared" si="64"/>
        <v>3.590781234567899E-2</v>
      </c>
      <c r="AE60" s="44">
        <f t="shared" si="27"/>
        <v>3.590781234567899E-2</v>
      </c>
      <c r="AF60" s="42">
        <f t="shared" si="65"/>
        <v>0.56533333333333335</v>
      </c>
      <c r="AG60" s="44">
        <f t="shared" si="66"/>
        <v>0.56533333333333335</v>
      </c>
      <c r="AH60" s="42">
        <f t="shared" si="67"/>
        <v>0</v>
      </c>
      <c r="AI60">
        <f t="shared" si="68"/>
        <v>1.1535339342702731</v>
      </c>
      <c r="AJ60" s="44">
        <f t="shared" si="45"/>
        <v>1.1535339342702731</v>
      </c>
      <c r="AK60" s="42">
        <f t="shared" si="69"/>
        <v>28.266666666666666</v>
      </c>
      <c r="AL60">
        <f t="shared" si="13"/>
        <v>160</v>
      </c>
      <c r="AM60" s="44">
        <f t="shared" si="28"/>
        <v>0.17666666666666667</v>
      </c>
      <c r="AN60" s="42">
        <f t="shared" si="77"/>
        <v>2</v>
      </c>
      <c r="AO60">
        <f t="shared" si="78"/>
        <v>0.6</v>
      </c>
      <c r="AP60">
        <f t="shared" si="79"/>
        <v>0.29444444444444445</v>
      </c>
      <c r="AQ60">
        <f t="shared" si="80"/>
        <v>0.192</v>
      </c>
      <c r="AR60">
        <f t="shared" si="46"/>
        <v>0.39044444444444448</v>
      </c>
      <c r="AS60" s="44">
        <f t="shared" si="47"/>
        <v>0.232081275674102</v>
      </c>
      <c r="AT60" s="42"/>
      <c r="AU60">
        <f t="shared" si="81"/>
        <v>3.7453333333333335E-4</v>
      </c>
      <c r="AV60" s="44">
        <f t="shared" si="48"/>
        <v>3.7453333333333335E-4</v>
      </c>
      <c r="AW60" s="42">
        <f t="shared" si="82"/>
        <v>4</v>
      </c>
      <c r="AX60">
        <f t="shared" si="83"/>
        <v>5.2999999999999999E-2</v>
      </c>
      <c r="AY60" s="44">
        <f t="shared" si="49"/>
        <v>4.0529999999999999</v>
      </c>
      <c r="AZ60" s="42">
        <f t="shared" si="70"/>
        <v>0</v>
      </c>
      <c r="BA60">
        <f t="shared" si="71"/>
        <v>0</v>
      </c>
      <c r="BB60">
        <f t="shared" si="50"/>
        <v>0</v>
      </c>
      <c r="BC60" s="44">
        <f t="shared" si="84"/>
        <v>0</v>
      </c>
      <c r="BD60" s="42">
        <v>0</v>
      </c>
      <c r="BE60">
        <f t="shared" si="85"/>
        <v>0</v>
      </c>
      <c r="BF60" s="44">
        <f t="shared" si="52"/>
        <v>0</v>
      </c>
      <c r="BG60" s="42">
        <f t="shared" si="86"/>
        <v>0</v>
      </c>
      <c r="BH60">
        <f t="shared" si="87"/>
        <v>0</v>
      </c>
      <c r="BI60" s="44">
        <f t="shared" si="88"/>
        <v>0</v>
      </c>
      <c r="BK60" s="42">
        <f t="shared" si="72"/>
        <v>0</v>
      </c>
      <c r="BL60">
        <f t="shared" si="18"/>
        <v>0</v>
      </c>
      <c r="BM60">
        <f t="shared" si="73"/>
        <v>0</v>
      </c>
      <c r="BN60" s="44">
        <f t="shared" si="89"/>
        <v>0</v>
      </c>
      <c r="BO60" s="42">
        <v>0</v>
      </c>
      <c r="BP60">
        <f t="shared" si="90"/>
        <v>0</v>
      </c>
      <c r="BQ60" s="44">
        <f t="shared" si="53"/>
        <v>0</v>
      </c>
      <c r="BR60" s="42">
        <f t="shared" si="91"/>
        <v>0</v>
      </c>
      <c r="BS60">
        <f t="shared" si="92"/>
        <v>0</v>
      </c>
      <c r="BT60" s="44">
        <f t="shared" si="55"/>
        <v>0</v>
      </c>
      <c r="BU60" s="42">
        <f t="shared" si="74"/>
        <v>2.1544687407407396E-2</v>
      </c>
      <c r="BV60">
        <f t="shared" si="21"/>
        <v>0.23625000000000002</v>
      </c>
      <c r="BW60" s="44">
        <f t="shared" si="75"/>
        <v>1.0800000000000001E-2</v>
      </c>
      <c r="BX60">
        <f t="shared" si="56"/>
        <v>0.60124114567901232</v>
      </c>
      <c r="BY60">
        <f t="shared" si="43"/>
        <v>6.6420776340233587</v>
      </c>
      <c r="BZ60">
        <f t="shared" si="93"/>
        <v>80.973026194207549</v>
      </c>
    </row>
    <row r="61" spans="17:78" x14ac:dyDescent="0.3">
      <c r="Q61">
        <v>54</v>
      </c>
      <c r="R61" s="42">
        <f t="shared" si="57"/>
        <v>28.8</v>
      </c>
      <c r="S61">
        <f t="shared" si="1"/>
        <v>24</v>
      </c>
      <c r="T61" s="44">
        <f t="shared" si="58"/>
        <v>1.2</v>
      </c>
      <c r="U61" s="42">
        <f t="shared" si="59"/>
        <v>2</v>
      </c>
      <c r="V61">
        <f t="shared" si="60"/>
        <v>0.4</v>
      </c>
      <c r="W61">
        <f t="shared" si="61"/>
        <v>0.6</v>
      </c>
      <c r="X61">
        <f t="shared" si="23"/>
        <v>0</v>
      </c>
      <c r="Y61" s="42">
        <f t="shared" si="76"/>
        <v>2.9999999999999996</v>
      </c>
      <c r="Z61">
        <f t="shared" si="62"/>
        <v>1.9200000000000004</v>
      </c>
      <c r="AA61">
        <f t="shared" si="25"/>
        <v>3.96</v>
      </c>
      <c r="AB61" s="44">
        <f t="shared" si="63"/>
        <v>1.9294766129704708</v>
      </c>
      <c r="AC61" s="42">
        <v>0</v>
      </c>
      <c r="AD61">
        <f t="shared" si="64"/>
        <v>3.7228799999999999E-2</v>
      </c>
      <c r="AE61" s="44">
        <f t="shared" si="27"/>
        <v>3.7228799999999999E-2</v>
      </c>
      <c r="AF61" s="42">
        <f t="shared" si="65"/>
        <v>0.57600000000000007</v>
      </c>
      <c r="AG61" s="44">
        <f t="shared" si="66"/>
        <v>0.57600000000000007</v>
      </c>
      <c r="AH61" s="42">
        <f t="shared" si="67"/>
        <v>0</v>
      </c>
      <c r="AI61">
        <f t="shared" si="68"/>
        <v>1.1752987254829199</v>
      </c>
      <c r="AJ61" s="44">
        <f t="shared" si="45"/>
        <v>1.1752987254829199</v>
      </c>
      <c r="AK61" s="42">
        <f t="shared" si="69"/>
        <v>28.8</v>
      </c>
      <c r="AL61">
        <f t="shared" si="13"/>
        <v>160</v>
      </c>
      <c r="AM61" s="44">
        <f t="shared" si="28"/>
        <v>0.18</v>
      </c>
      <c r="AN61" s="42">
        <f t="shared" si="77"/>
        <v>2</v>
      </c>
      <c r="AO61">
        <f t="shared" si="78"/>
        <v>0.6</v>
      </c>
      <c r="AP61">
        <f t="shared" si="79"/>
        <v>0.3</v>
      </c>
      <c r="AQ61">
        <f t="shared" si="80"/>
        <v>0.192</v>
      </c>
      <c r="AR61">
        <f t="shared" si="46"/>
        <v>0.39600000000000002</v>
      </c>
      <c r="AS61" s="44">
        <f t="shared" si="47"/>
        <v>0.23631165862055981</v>
      </c>
      <c r="AT61" s="42"/>
      <c r="AU61">
        <f t="shared" si="81"/>
        <v>3.8879999999999996E-4</v>
      </c>
      <c r="AV61" s="44">
        <f t="shared" si="48"/>
        <v>3.8879999999999996E-4</v>
      </c>
      <c r="AW61" s="42">
        <f t="shared" si="82"/>
        <v>4</v>
      </c>
      <c r="AX61">
        <f t="shared" si="83"/>
        <v>5.3999999999999999E-2</v>
      </c>
      <c r="AY61" s="44">
        <f t="shared" si="49"/>
        <v>4.0540000000000003</v>
      </c>
      <c r="AZ61" s="42">
        <f t="shared" si="70"/>
        <v>0</v>
      </c>
      <c r="BA61">
        <f t="shared" si="71"/>
        <v>0</v>
      </c>
      <c r="BB61">
        <f t="shared" si="50"/>
        <v>0</v>
      </c>
      <c r="BC61" s="44">
        <f t="shared" si="84"/>
        <v>0</v>
      </c>
      <c r="BD61" s="42">
        <v>0</v>
      </c>
      <c r="BE61">
        <f t="shared" si="85"/>
        <v>0</v>
      </c>
      <c r="BF61" s="44">
        <f t="shared" si="52"/>
        <v>0</v>
      </c>
      <c r="BG61" s="42">
        <f t="shared" si="86"/>
        <v>0</v>
      </c>
      <c r="BH61">
        <f t="shared" si="87"/>
        <v>0</v>
      </c>
      <c r="BI61" s="44">
        <f t="shared" si="88"/>
        <v>0</v>
      </c>
      <c r="BK61" s="42">
        <f t="shared" si="72"/>
        <v>0</v>
      </c>
      <c r="BL61">
        <f t="shared" si="18"/>
        <v>0</v>
      </c>
      <c r="BM61">
        <f t="shared" si="73"/>
        <v>0</v>
      </c>
      <c r="BN61" s="44">
        <f t="shared" si="89"/>
        <v>0</v>
      </c>
      <c r="BO61" s="42">
        <v>0</v>
      </c>
      <c r="BP61">
        <f t="shared" si="90"/>
        <v>0</v>
      </c>
      <c r="BQ61" s="44">
        <f t="shared" si="53"/>
        <v>0</v>
      </c>
      <c r="BR61" s="42">
        <f t="shared" si="91"/>
        <v>0</v>
      </c>
      <c r="BS61">
        <f t="shared" si="92"/>
        <v>0</v>
      </c>
      <c r="BT61" s="44">
        <f t="shared" si="55"/>
        <v>0</v>
      </c>
      <c r="BU61" s="42">
        <f t="shared" si="74"/>
        <v>2.2337280000000001E-2</v>
      </c>
      <c r="BV61">
        <f t="shared" si="21"/>
        <v>0.23625000000000002</v>
      </c>
      <c r="BW61" s="44">
        <f t="shared" si="75"/>
        <v>1.0800000000000001E-2</v>
      </c>
      <c r="BX61">
        <f t="shared" si="56"/>
        <v>0.61322880000000002</v>
      </c>
      <c r="BY61">
        <f t="shared" si="43"/>
        <v>6.6883036054829201</v>
      </c>
      <c r="BZ61">
        <f t="shared" si="93"/>
        <v>81.153498685551213</v>
      </c>
    </row>
    <row r="62" spans="17:78" x14ac:dyDescent="0.3">
      <c r="Q62">
        <v>55</v>
      </c>
      <c r="R62" s="42">
        <f t="shared" si="57"/>
        <v>29.333333333333332</v>
      </c>
      <c r="S62">
        <f t="shared" si="1"/>
        <v>24</v>
      </c>
      <c r="T62" s="44">
        <f t="shared" si="58"/>
        <v>1.2222222222222221</v>
      </c>
      <c r="U62" s="42">
        <f t="shared" si="59"/>
        <v>2</v>
      </c>
      <c r="V62">
        <f t="shared" si="60"/>
        <v>0.4</v>
      </c>
      <c r="W62">
        <f t="shared" si="61"/>
        <v>0.6</v>
      </c>
      <c r="X62">
        <f t="shared" si="23"/>
        <v>0</v>
      </c>
      <c r="Y62" s="42">
        <f t="shared" si="76"/>
        <v>3.0555555555555549</v>
      </c>
      <c r="Z62">
        <f t="shared" si="62"/>
        <v>1.9200000000000004</v>
      </c>
      <c r="AA62">
        <f t="shared" si="25"/>
        <v>4.0155555555555553</v>
      </c>
      <c r="AB62" s="44">
        <f t="shared" si="63"/>
        <v>1.9640386710130144</v>
      </c>
      <c r="AC62" s="42">
        <v>0</v>
      </c>
      <c r="AD62">
        <f t="shared" si="64"/>
        <v>3.8574479012345682E-2</v>
      </c>
      <c r="AE62" s="44">
        <f t="shared" si="27"/>
        <v>3.8574479012345682E-2</v>
      </c>
      <c r="AF62" s="42">
        <f t="shared" si="65"/>
        <v>0.58666666666666667</v>
      </c>
      <c r="AG62" s="44">
        <f t="shared" si="66"/>
        <v>0.58666666666666667</v>
      </c>
      <c r="AH62" s="42">
        <f t="shared" si="67"/>
        <v>0</v>
      </c>
      <c r="AI62">
        <f t="shared" si="68"/>
        <v>1.1970635166955663</v>
      </c>
      <c r="AJ62" s="44">
        <f t="shared" si="45"/>
        <v>1.1970635166955663</v>
      </c>
      <c r="AK62" s="42">
        <f t="shared" si="69"/>
        <v>29.333333333333332</v>
      </c>
      <c r="AL62">
        <f t="shared" si="13"/>
        <v>160</v>
      </c>
      <c r="AM62" s="44">
        <f t="shared" si="28"/>
        <v>0.18333333333333332</v>
      </c>
      <c r="AN62" s="42">
        <f t="shared" si="77"/>
        <v>2</v>
      </c>
      <c r="AO62">
        <f t="shared" si="78"/>
        <v>0.60000000000000009</v>
      </c>
      <c r="AP62">
        <f t="shared" si="79"/>
        <v>0.30555555555555547</v>
      </c>
      <c r="AQ62">
        <f t="shared" si="80"/>
        <v>0.19200000000000003</v>
      </c>
      <c r="AR62">
        <f t="shared" si="46"/>
        <v>0.4015555555555555</v>
      </c>
      <c r="AS62" s="44">
        <f t="shared" si="47"/>
        <v>0.24054462895379414</v>
      </c>
      <c r="AT62" s="42"/>
      <c r="AU62">
        <f t="shared" si="81"/>
        <v>4.0333333333333329E-4</v>
      </c>
      <c r="AV62" s="44">
        <f t="shared" si="48"/>
        <v>4.0333333333333329E-4</v>
      </c>
      <c r="AW62" s="42">
        <f t="shared" si="82"/>
        <v>4</v>
      </c>
      <c r="AX62">
        <f t="shared" si="83"/>
        <v>5.4999999999999993E-2</v>
      </c>
      <c r="AY62" s="44">
        <f t="shared" si="49"/>
        <v>4.0549999999999997</v>
      </c>
      <c r="AZ62" s="42">
        <f t="shared" si="70"/>
        <v>0</v>
      </c>
      <c r="BA62">
        <f t="shared" si="71"/>
        <v>0</v>
      </c>
      <c r="BB62">
        <f t="shared" si="50"/>
        <v>0</v>
      </c>
      <c r="BC62" s="44">
        <f t="shared" si="84"/>
        <v>0</v>
      </c>
      <c r="BD62" s="42">
        <v>0</v>
      </c>
      <c r="BE62">
        <f t="shared" si="85"/>
        <v>0</v>
      </c>
      <c r="BF62" s="44">
        <f t="shared" si="52"/>
        <v>0</v>
      </c>
      <c r="BG62" s="42">
        <f t="shared" si="86"/>
        <v>0</v>
      </c>
      <c r="BH62">
        <f t="shared" si="87"/>
        <v>0</v>
      </c>
      <c r="BI62" s="44">
        <f t="shared" si="88"/>
        <v>0</v>
      </c>
      <c r="BK62" s="42">
        <f t="shared" si="72"/>
        <v>0</v>
      </c>
      <c r="BL62">
        <f t="shared" si="18"/>
        <v>0</v>
      </c>
      <c r="BM62">
        <f t="shared" si="73"/>
        <v>0</v>
      </c>
      <c r="BN62" s="44">
        <f t="shared" si="89"/>
        <v>0</v>
      </c>
      <c r="BO62" s="42">
        <v>0</v>
      </c>
      <c r="BP62">
        <f t="shared" si="90"/>
        <v>0</v>
      </c>
      <c r="BQ62" s="44">
        <f t="shared" si="53"/>
        <v>0</v>
      </c>
      <c r="BR62" s="42">
        <f t="shared" si="91"/>
        <v>0</v>
      </c>
      <c r="BS62">
        <f t="shared" si="92"/>
        <v>0</v>
      </c>
      <c r="BT62" s="44">
        <f t="shared" si="55"/>
        <v>0</v>
      </c>
      <c r="BU62" s="42">
        <f t="shared" si="74"/>
        <v>2.3144687407407407E-2</v>
      </c>
      <c r="BV62">
        <f t="shared" si="21"/>
        <v>0.23625000000000002</v>
      </c>
      <c r="BW62" s="44">
        <f t="shared" si="75"/>
        <v>1.0800000000000001E-2</v>
      </c>
      <c r="BX62">
        <f t="shared" si="56"/>
        <v>0.62524114567901234</v>
      </c>
      <c r="BY62">
        <f t="shared" si="43"/>
        <v>6.734569349781987</v>
      </c>
      <c r="BZ62">
        <f t="shared" si="93"/>
        <v>81.328081621627859</v>
      </c>
    </row>
    <row r="63" spans="17:78" x14ac:dyDescent="0.3">
      <c r="Q63">
        <v>56</v>
      </c>
      <c r="R63" s="42">
        <f t="shared" si="57"/>
        <v>29.866666666666667</v>
      </c>
      <c r="S63">
        <f t="shared" si="1"/>
        <v>24</v>
      </c>
      <c r="T63" s="44">
        <f t="shared" si="58"/>
        <v>1.2444444444444445</v>
      </c>
      <c r="U63" s="42">
        <f t="shared" si="59"/>
        <v>2</v>
      </c>
      <c r="V63">
        <f t="shared" si="60"/>
        <v>0.4</v>
      </c>
      <c r="W63">
        <f t="shared" si="61"/>
        <v>0.6</v>
      </c>
      <c r="X63">
        <f t="shared" si="23"/>
        <v>0</v>
      </c>
      <c r="Y63" s="42">
        <f t="shared" si="76"/>
        <v>3.1111111111111107</v>
      </c>
      <c r="Z63">
        <f t="shared" si="62"/>
        <v>1.9200000000000004</v>
      </c>
      <c r="AA63">
        <f t="shared" si="25"/>
        <v>4.0711111111111107</v>
      </c>
      <c r="AB63" s="44">
        <f t="shared" si="63"/>
        <v>1.9986207589914611</v>
      </c>
      <c r="AC63" s="42">
        <v>0</v>
      </c>
      <c r="AD63">
        <f t="shared" si="64"/>
        <v>3.9944849382716037E-2</v>
      </c>
      <c r="AE63" s="44">
        <f t="shared" si="27"/>
        <v>3.9944849382716037E-2</v>
      </c>
      <c r="AF63" s="42">
        <f t="shared" si="65"/>
        <v>0.59733333333333338</v>
      </c>
      <c r="AG63" s="44">
        <f t="shared" si="66"/>
        <v>0.59733333333333338</v>
      </c>
      <c r="AH63" s="42">
        <f t="shared" si="67"/>
        <v>0</v>
      </c>
      <c r="AI63">
        <f t="shared" si="68"/>
        <v>1.2188283079082132</v>
      </c>
      <c r="AJ63" s="44">
        <f t="shared" si="45"/>
        <v>1.2188283079082132</v>
      </c>
      <c r="AK63" s="42">
        <f t="shared" si="69"/>
        <v>29.866666666666667</v>
      </c>
      <c r="AL63">
        <f t="shared" si="13"/>
        <v>160</v>
      </c>
      <c r="AM63" s="44">
        <f t="shared" si="28"/>
        <v>0.18666666666666668</v>
      </c>
      <c r="AN63" s="42">
        <f t="shared" si="77"/>
        <v>2</v>
      </c>
      <c r="AO63">
        <f t="shared" si="78"/>
        <v>0.60000000000000009</v>
      </c>
      <c r="AP63">
        <f t="shared" si="79"/>
        <v>0.31111111111111106</v>
      </c>
      <c r="AQ63">
        <f t="shared" si="80"/>
        <v>0.19200000000000003</v>
      </c>
      <c r="AR63">
        <f t="shared" si="46"/>
        <v>0.40711111111111109</v>
      </c>
      <c r="AS63" s="44">
        <f t="shared" si="47"/>
        <v>0.24478005244315573</v>
      </c>
      <c r="AT63" s="42"/>
      <c r="AU63">
        <f t="shared" si="81"/>
        <v>4.1813333333333338E-4</v>
      </c>
      <c r="AV63" s="44">
        <f t="shared" si="48"/>
        <v>4.1813333333333338E-4</v>
      </c>
      <c r="AW63" s="42">
        <f t="shared" si="82"/>
        <v>4</v>
      </c>
      <c r="AX63">
        <f t="shared" si="83"/>
        <v>5.6000000000000001E-2</v>
      </c>
      <c r="AY63" s="44">
        <f t="shared" si="49"/>
        <v>4.056</v>
      </c>
      <c r="AZ63" s="42">
        <f t="shared" si="70"/>
        <v>0</v>
      </c>
      <c r="BA63">
        <f t="shared" si="71"/>
        <v>0</v>
      </c>
      <c r="BB63">
        <f t="shared" si="50"/>
        <v>0</v>
      </c>
      <c r="BC63" s="44">
        <f t="shared" si="84"/>
        <v>0</v>
      </c>
      <c r="BD63" s="42">
        <v>0</v>
      </c>
      <c r="BE63">
        <f t="shared" si="85"/>
        <v>0</v>
      </c>
      <c r="BF63" s="44">
        <f t="shared" si="52"/>
        <v>0</v>
      </c>
      <c r="BG63" s="42">
        <f t="shared" si="86"/>
        <v>0</v>
      </c>
      <c r="BH63">
        <f t="shared" si="87"/>
        <v>0</v>
      </c>
      <c r="BI63" s="44">
        <f t="shared" si="88"/>
        <v>0</v>
      </c>
      <c r="BK63" s="42">
        <f t="shared" si="72"/>
        <v>0</v>
      </c>
      <c r="BL63">
        <f t="shared" si="18"/>
        <v>0</v>
      </c>
      <c r="BM63">
        <f t="shared" si="73"/>
        <v>0</v>
      </c>
      <c r="BN63" s="44">
        <f t="shared" si="89"/>
        <v>0</v>
      </c>
      <c r="BO63" s="42">
        <v>0</v>
      </c>
      <c r="BP63">
        <f t="shared" si="90"/>
        <v>0</v>
      </c>
      <c r="BQ63" s="44">
        <f t="shared" si="53"/>
        <v>0</v>
      </c>
      <c r="BR63" s="42">
        <f t="shared" si="91"/>
        <v>0</v>
      </c>
      <c r="BS63">
        <f t="shared" si="92"/>
        <v>0</v>
      </c>
      <c r="BT63" s="44">
        <f t="shared" si="55"/>
        <v>0</v>
      </c>
      <c r="BU63" s="42">
        <f t="shared" si="74"/>
        <v>2.3966909629629624E-2</v>
      </c>
      <c r="BV63">
        <f t="shared" si="21"/>
        <v>0.23625000000000002</v>
      </c>
      <c r="BW63" s="44">
        <f t="shared" si="75"/>
        <v>1.0800000000000001E-2</v>
      </c>
      <c r="BX63">
        <f t="shared" si="56"/>
        <v>0.63727818271604941</v>
      </c>
      <c r="BY63">
        <f t="shared" si="43"/>
        <v>6.7808748669205592</v>
      </c>
      <c r="BZ63">
        <f t="shared" si="93"/>
        <v>81.497053872751778</v>
      </c>
    </row>
    <row r="64" spans="17:78" x14ac:dyDescent="0.3">
      <c r="Q64">
        <v>57</v>
      </c>
      <c r="R64" s="42">
        <f t="shared" si="57"/>
        <v>30.4</v>
      </c>
      <c r="S64">
        <f t="shared" si="1"/>
        <v>24</v>
      </c>
      <c r="T64" s="44">
        <f t="shared" si="58"/>
        <v>1.2666666666666666</v>
      </c>
      <c r="U64" s="42">
        <f t="shared" si="59"/>
        <v>2</v>
      </c>
      <c r="V64">
        <f t="shared" si="60"/>
        <v>0.4</v>
      </c>
      <c r="W64">
        <f t="shared" si="61"/>
        <v>0.6</v>
      </c>
      <c r="X64">
        <f t="shared" si="23"/>
        <v>0</v>
      </c>
      <c r="Y64" s="42">
        <f t="shared" si="76"/>
        <v>3.1666666666666661</v>
      </c>
      <c r="Z64">
        <f t="shared" si="62"/>
        <v>1.9200000000000004</v>
      </c>
      <c r="AA64">
        <f t="shared" si="25"/>
        <v>4.126666666666666</v>
      </c>
      <c r="AB64" s="44">
        <f t="shared" si="63"/>
        <v>2.0332218548675667</v>
      </c>
      <c r="AC64" s="42">
        <v>0</v>
      </c>
      <c r="AD64">
        <f t="shared" si="64"/>
        <v>4.1339911111111086E-2</v>
      </c>
      <c r="AE64" s="44">
        <f t="shared" si="27"/>
        <v>4.1339911111111086E-2</v>
      </c>
      <c r="AF64" s="42">
        <f t="shared" si="65"/>
        <v>0.60799999999999998</v>
      </c>
      <c r="AG64" s="44">
        <f t="shared" si="66"/>
        <v>0.60799999999999998</v>
      </c>
      <c r="AH64" s="42">
        <f t="shared" si="67"/>
        <v>0</v>
      </c>
      <c r="AI64">
        <f t="shared" si="68"/>
        <v>1.2405930991208598</v>
      </c>
      <c r="AJ64" s="44">
        <f t="shared" si="45"/>
        <v>1.2405930991208598</v>
      </c>
      <c r="AK64" s="42">
        <f t="shared" si="69"/>
        <v>30.4</v>
      </c>
      <c r="AL64">
        <f t="shared" si="13"/>
        <v>160</v>
      </c>
      <c r="AM64" s="44">
        <f t="shared" si="28"/>
        <v>0.19</v>
      </c>
      <c r="AN64" s="42">
        <f t="shared" si="77"/>
        <v>2</v>
      </c>
      <c r="AO64">
        <f t="shared" si="78"/>
        <v>0.60000000000000009</v>
      </c>
      <c r="AP64">
        <f t="shared" si="79"/>
        <v>0.3166666666666666</v>
      </c>
      <c r="AQ64">
        <f t="shared" si="80"/>
        <v>0.19200000000000003</v>
      </c>
      <c r="AR64">
        <f t="shared" si="46"/>
        <v>0.41266666666666663</v>
      </c>
      <c r="AS64" s="44">
        <f t="shared" si="47"/>
        <v>0.24901780391503464</v>
      </c>
      <c r="AT64" s="42"/>
      <c r="AU64">
        <f t="shared" si="81"/>
        <v>4.3320000000000001E-4</v>
      </c>
      <c r="AV64" s="44">
        <f t="shared" si="48"/>
        <v>4.3320000000000001E-4</v>
      </c>
      <c r="AW64" s="42">
        <f t="shared" si="82"/>
        <v>4</v>
      </c>
      <c r="AX64">
        <f t="shared" si="83"/>
        <v>5.6999999999999995E-2</v>
      </c>
      <c r="AY64" s="44">
        <f t="shared" si="49"/>
        <v>4.0570000000000004</v>
      </c>
      <c r="AZ64" s="42">
        <f t="shared" si="70"/>
        <v>0</v>
      </c>
      <c r="BA64">
        <f t="shared" si="71"/>
        <v>0</v>
      </c>
      <c r="BB64">
        <f t="shared" si="50"/>
        <v>0</v>
      </c>
      <c r="BC64" s="44">
        <f t="shared" si="84"/>
        <v>0</v>
      </c>
      <c r="BD64" s="42">
        <v>0</v>
      </c>
      <c r="BE64">
        <f t="shared" si="85"/>
        <v>0</v>
      </c>
      <c r="BF64" s="44">
        <f t="shared" si="52"/>
        <v>0</v>
      </c>
      <c r="BG64" s="42">
        <f t="shared" si="86"/>
        <v>0</v>
      </c>
      <c r="BH64">
        <f t="shared" si="87"/>
        <v>0</v>
      </c>
      <c r="BI64" s="44">
        <f t="shared" si="88"/>
        <v>0</v>
      </c>
      <c r="BK64" s="42">
        <f t="shared" si="72"/>
        <v>0</v>
      </c>
      <c r="BL64">
        <f t="shared" si="18"/>
        <v>0</v>
      </c>
      <c r="BM64">
        <f t="shared" si="73"/>
        <v>0</v>
      </c>
      <c r="BN64" s="44">
        <f t="shared" si="89"/>
        <v>0</v>
      </c>
      <c r="BO64" s="42">
        <v>0</v>
      </c>
      <c r="BP64">
        <f t="shared" si="90"/>
        <v>0</v>
      </c>
      <c r="BQ64" s="44">
        <f t="shared" si="53"/>
        <v>0</v>
      </c>
      <c r="BR64" s="42">
        <f t="shared" si="91"/>
        <v>0</v>
      </c>
      <c r="BS64">
        <f t="shared" si="92"/>
        <v>0</v>
      </c>
      <c r="BT64" s="44">
        <f t="shared" si="55"/>
        <v>0</v>
      </c>
      <c r="BU64" s="42">
        <f t="shared" si="74"/>
        <v>2.4803946666666653E-2</v>
      </c>
      <c r="BV64">
        <f t="shared" si="21"/>
        <v>0.23625000000000002</v>
      </c>
      <c r="BW64" s="44">
        <f t="shared" si="75"/>
        <v>1.0800000000000001E-2</v>
      </c>
      <c r="BX64">
        <f t="shared" si="56"/>
        <v>0.64933991111111111</v>
      </c>
      <c r="BY64">
        <f t="shared" si="43"/>
        <v>6.8272201568986368</v>
      </c>
      <c r="BZ64">
        <f t="shared" si="93"/>
        <v>81.66067697742541</v>
      </c>
    </row>
    <row r="65" spans="17:78" x14ac:dyDescent="0.3">
      <c r="Q65">
        <v>58</v>
      </c>
      <c r="R65" s="42">
        <f t="shared" si="57"/>
        <v>30.933333333333334</v>
      </c>
      <c r="S65">
        <f t="shared" si="1"/>
        <v>24</v>
      </c>
      <c r="T65" s="44">
        <f t="shared" si="58"/>
        <v>1.288888888888889</v>
      </c>
      <c r="U65" s="42">
        <f t="shared" si="59"/>
        <v>2</v>
      </c>
      <c r="V65">
        <f t="shared" si="60"/>
        <v>0.4</v>
      </c>
      <c r="W65">
        <f t="shared" si="61"/>
        <v>0.6</v>
      </c>
      <c r="X65">
        <f t="shared" si="23"/>
        <v>0</v>
      </c>
      <c r="Y65" s="42">
        <f t="shared" si="76"/>
        <v>3.2222222222222219</v>
      </c>
      <c r="Z65">
        <f t="shared" si="62"/>
        <v>1.9200000000000004</v>
      </c>
      <c r="AA65">
        <f t="shared" si="25"/>
        <v>4.1822222222222223</v>
      </c>
      <c r="AB65" s="44">
        <f t="shared" si="63"/>
        <v>2.0678410044665152</v>
      </c>
      <c r="AC65" s="42">
        <v>0</v>
      </c>
      <c r="AD65">
        <f t="shared" si="64"/>
        <v>4.2759664197530869E-2</v>
      </c>
      <c r="AE65" s="44">
        <f t="shared" si="27"/>
        <v>4.2759664197530869E-2</v>
      </c>
      <c r="AF65" s="42">
        <f t="shared" si="65"/>
        <v>0.6186666666666667</v>
      </c>
      <c r="AG65" s="44">
        <f t="shared" si="66"/>
        <v>0.6186666666666667</v>
      </c>
      <c r="AH65" s="42">
        <f t="shared" si="67"/>
        <v>0</v>
      </c>
      <c r="AI65">
        <f t="shared" si="68"/>
        <v>1.2623578903335066</v>
      </c>
      <c r="AJ65" s="44">
        <f t="shared" si="45"/>
        <v>1.2623578903335066</v>
      </c>
      <c r="AK65" s="42">
        <f t="shared" si="69"/>
        <v>30.933333333333334</v>
      </c>
      <c r="AL65">
        <f t="shared" si="13"/>
        <v>160</v>
      </c>
      <c r="AM65" s="44">
        <f t="shared" si="28"/>
        <v>0.19333333333333333</v>
      </c>
      <c r="AN65" s="42">
        <f t="shared" si="77"/>
        <v>2</v>
      </c>
      <c r="AO65">
        <f t="shared" si="78"/>
        <v>0.6</v>
      </c>
      <c r="AP65">
        <f t="shared" si="79"/>
        <v>0.32222222222222224</v>
      </c>
      <c r="AQ65">
        <f t="shared" si="80"/>
        <v>0.192</v>
      </c>
      <c r="AR65">
        <f t="shared" si="46"/>
        <v>0.41822222222222227</v>
      </c>
      <c r="AS65" s="44">
        <f t="shared" si="47"/>
        <v>0.25325776650735965</v>
      </c>
      <c r="AT65" s="42"/>
      <c r="AU65">
        <f t="shared" si="81"/>
        <v>4.485333333333333E-4</v>
      </c>
      <c r="AV65" s="44">
        <f t="shared" si="48"/>
        <v>4.485333333333333E-4</v>
      </c>
      <c r="AW65" s="42">
        <f t="shared" si="82"/>
        <v>4</v>
      </c>
      <c r="AX65">
        <f t="shared" si="83"/>
        <v>5.7999999999999996E-2</v>
      </c>
      <c r="AY65" s="44">
        <f t="shared" si="49"/>
        <v>4.0579999999999998</v>
      </c>
      <c r="AZ65" s="42">
        <f t="shared" si="70"/>
        <v>0</v>
      </c>
      <c r="BA65">
        <f t="shared" si="71"/>
        <v>0</v>
      </c>
      <c r="BB65">
        <f t="shared" si="50"/>
        <v>0</v>
      </c>
      <c r="BC65" s="44">
        <f t="shared" si="84"/>
        <v>0</v>
      </c>
      <c r="BD65" s="42">
        <v>0</v>
      </c>
      <c r="BE65">
        <f t="shared" si="85"/>
        <v>0</v>
      </c>
      <c r="BF65" s="44">
        <f t="shared" si="52"/>
        <v>0</v>
      </c>
      <c r="BG65" s="42">
        <f t="shared" si="86"/>
        <v>0</v>
      </c>
      <c r="BH65">
        <f t="shared" si="87"/>
        <v>0</v>
      </c>
      <c r="BI65" s="44">
        <f t="shared" si="88"/>
        <v>0</v>
      </c>
      <c r="BK65" s="42">
        <f t="shared" si="72"/>
        <v>0</v>
      </c>
      <c r="BL65">
        <f t="shared" si="18"/>
        <v>0</v>
      </c>
      <c r="BM65">
        <f t="shared" si="73"/>
        <v>0</v>
      </c>
      <c r="BN65" s="44">
        <f t="shared" si="89"/>
        <v>0</v>
      </c>
      <c r="BO65" s="42">
        <v>0</v>
      </c>
      <c r="BP65">
        <f t="shared" si="90"/>
        <v>0</v>
      </c>
      <c r="BQ65" s="44">
        <f t="shared" si="53"/>
        <v>0</v>
      </c>
      <c r="BR65" s="42">
        <f t="shared" si="91"/>
        <v>0</v>
      </c>
      <c r="BS65">
        <f t="shared" si="92"/>
        <v>0</v>
      </c>
      <c r="BT65" s="44">
        <f t="shared" si="55"/>
        <v>0</v>
      </c>
      <c r="BU65" s="42">
        <f t="shared" si="74"/>
        <v>2.565579851851852E-2</v>
      </c>
      <c r="BV65">
        <f t="shared" si="21"/>
        <v>0.23625000000000002</v>
      </c>
      <c r="BW65" s="44">
        <f t="shared" si="75"/>
        <v>1.0800000000000001E-2</v>
      </c>
      <c r="BX65">
        <f t="shared" si="56"/>
        <v>0.66142633086419755</v>
      </c>
      <c r="BY65">
        <f t="shared" si="43"/>
        <v>6.8736052197162234</v>
      </c>
      <c r="BZ65">
        <f t="shared" si="93"/>
        <v>81.819196468205462</v>
      </c>
    </row>
    <row r="66" spans="17:78" x14ac:dyDescent="0.3">
      <c r="Q66">
        <v>59</v>
      </c>
      <c r="R66" s="42">
        <f t="shared" si="57"/>
        <v>31.466666666666665</v>
      </c>
      <c r="S66">
        <f t="shared" si="1"/>
        <v>24</v>
      </c>
      <c r="T66" s="44">
        <f t="shared" si="58"/>
        <v>1.3111111111111111</v>
      </c>
      <c r="U66" s="42">
        <f t="shared" si="59"/>
        <v>2</v>
      </c>
      <c r="V66">
        <f t="shared" si="60"/>
        <v>0.4</v>
      </c>
      <c r="W66">
        <f t="shared" si="61"/>
        <v>0.6</v>
      </c>
      <c r="X66">
        <f t="shared" si="23"/>
        <v>0</v>
      </c>
      <c r="Y66" s="42">
        <f t="shared" si="76"/>
        <v>3.2777777777777772</v>
      </c>
      <c r="Z66">
        <f t="shared" si="62"/>
        <v>1.9200000000000004</v>
      </c>
      <c r="AA66">
        <f t="shared" si="25"/>
        <v>4.2377777777777776</v>
      </c>
      <c r="AB66" s="44">
        <f t="shared" si="63"/>
        <v>2.1024773159769241</v>
      </c>
      <c r="AC66" s="42">
        <v>0</v>
      </c>
      <c r="AD66">
        <f t="shared" si="64"/>
        <v>4.4204108641975312E-2</v>
      </c>
      <c r="AE66" s="44">
        <f t="shared" si="27"/>
        <v>4.4204108641975312E-2</v>
      </c>
      <c r="AF66" s="42">
        <f t="shared" si="65"/>
        <v>0.6293333333333333</v>
      </c>
      <c r="AG66" s="44">
        <f t="shared" si="66"/>
        <v>0.6293333333333333</v>
      </c>
      <c r="AH66" s="42">
        <f t="shared" si="67"/>
        <v>0</v>
      </c>
      <c r="AI66">
        <f t="shared" si="68"/>
        <v>1.2841226815461531</v>
      </c>
      <c r="AJ66" s="44">
        <f t="shared" si="45"/>
        <v>1.2841226815461531</v>
      </c>
      <c r="AK66" s="42">
        <f t="shared" si="69"/>
        <v>31.466666666666665</v>
      </c>
      <c r="AL66">
        <f t="shared" si="13"/>
        <v>160</v>
      </c>
      <c r="AM66" s="44">
        <f t="shared" si="28"/>
        <v>0.19666666666666666</v>
      </c>
      <c r="AN66" s="42">
        <f t="shared" si="77"/>
        <v>2</v>
      </c>
      <c r="AO66">
        <f t="shared" si="78"/>
        <v>0.6</v>
      </c>
      <c r="AP66">
        <f t="shared" si="79"/>
        <v>0.32777777777777778</v>
      </c>
      <c r="AQ66">
        <f t="shared" si="80"/>
        <v>0.192</v>
      </c>
      <c r="AR66">
        <f t="shared" si="46"/>
        <v>0.42377777777777781</v>
      </c>
      <c r="AS66" s="44">
        <f t="shared" si="47"/>
        <v>0.25749983099598917</v>
      </c>
      <c r="AT66" s="42"/>
      <c r="AU66">
        <f t="shared" si="81"/>
        <v>4.641333333333333E-4</v>
      </c>
      <c r="AV66" s="44">
        <f t="shared" si="48"/>
        <v>4.641333333333333E-4</v>
      </c>
      <c r="AW66" s="42">
        <f t="shared" si="82"/>
        <v>4</v>
      </c>
      <c r="AX66">
        <f t="shared" si="83"/>
        <v>5.8999999999999997E-2</v>
      </c>
      <c r="AY66" s="44">
        <f t="shared" si="49"/>
        <v>4.0590000000000002</v>
      </c>
      <c r="AZ66" s="42">
        <f t="shared" si="70"/>
        <v>0</v>
      </c>
      <c r="BA66">
        <f t="shared" si="71"/>
        <v>0</v>
      </c>
      <c r="BB66">
        <f t="shared" si="50"/>
        <v>0</v>
      </c>
      <c r="BC66" s="44">
        <f t="shared" si="84"/>
        <v>0</v>
      </c>
      <c r="BD66" s="42">
        <v>0</v>
      </c>
      <c r="BE66">
        <f t="shared" si="85"/>
        <v>0</v>
      </c>
      <c r="BF66" s="44">
        <f t="shared" si="52"/>
        <v>0</v>
      </c>
      <c r="BG66" s="42">
        <f t="shared" si="86"/>
        <v>0</v>
      </c>
      <c r="BH66">
        <f t="shared" si="87"/>
        <v>0</v>
      </c>
      <c r="BI66" s="44">
        <f t="shared" si="88"/>
        <v>0</v>
      </c>
      <c r="BK66" s="42">
        <f t="shared" si="72"/>
        <v>0</v>
      </c>
      <c r="BL66">
        <f t="shared" si="18"/>
        <v>0</v>
      </c>
      <c r="BM66">
        <f t="shared" si="73"/>
        <v>0</v>
      </c>
      <c r="BN66" s="44">
        <f t="shared" si="89"/>
        <v>0</v>
      </c>
      <c r="BO66" s="42">
        <v>0</v>
      </c>
      <c r="BP66">
        <f t="shared" si="90"/>
        <v>0</v>
      </c>
      <c r="BQ66" s="44">
        <f t="shared" si="53"/>
        <v>0</v>
      </c>
      <c r="BR66" s="42">
        <f t="shared" si="91"/>
        <v>0</v>
      </c>
      <c r="BS66">
        <f t="shared" si="92"/>
        <v>0</v>
      </c>
      <c r="BT66" s="44">
        <f t="shared" si="55"/>
        <v>0</v>
      </c>
      <c r="BU66" s="42">
        <f t="shared" si="74"/>
        <v>2.6522465185185185E-2</v>
      </c>
      <c r="BV66">
        <f t="shared" si="21"/>
        <v>0.23625000000000002</v>
      </c>
      <c r="BW66" s="44">
        <f t="shared" si="75"/>
        <v>1.0800000000000001E-2</v>
      </c>
      <c r="BX66">
        <f t="shared" si="56"/>
        <v>0.67353744197530863</v>
      </c>
      <c r="BY66">
        <f t="shared" si="43"/>
        <v>6.9200300553733136</v>
      </c>
      <c r="BZ66">
        <f t="shared" si="93"/>
        <v>81.972843077690158</v>
      </c>
    </row>
    <row r="67" spans="17:78" x14ac:dyDescent="0.3">
      <c r="Q67">
        <v>60</v>
      </c>
      <c r="R67" s="42">
        <f t="shared" si="57"/>
        <v>32</v>
      </c>
      <c r="S67">
        <f t="shared" si="1"/>
        <v>24</v>
      </c>
      <c r="T67" s="44">
        <f t="shared" si="58"/>
        <v>1.3333333333333333</v>
      </c>
      <c r="U67" s="42">
        <f t="shared" si="59"/>
        <v>2</v>
      </c>
      <c r="V67">
        <f t="shared" si="60"/>
        <v>0.4</v>
      </c>
      <c r="W67">
        <f t="shared" si="61"/>
        <v>0.6</v>
      </c>
      <c r="X67">
        <f t="shared" si="23"/>
        <v>0</v>
      </c>
      <c r="Y67" s="42">
        <f t="shared" si="76"/>
        <v>3.333333333333333</v>
      </c>
      <c r="Z67">
        <f t="shared" si="62"/>
        <v>1.9200000000000004</v>
      </c>
      <c r="AA67">
        <f t="shared" si="25"/>
        <v>4.293333333333333</v>
      </c>
      <c r="AB67" s="44">
        <f t="shared" si="63"/>
        <v>2.1371299549733616</v>
      </c>
      <c r="AC67" s="42">
        <v>0</v>
      </c>
      <c r="AD67">
        <f t="shared" si="64"/>
        <v>4.567324444444442E-2</v>
      </c>
      <c r="AE67" s="44">
        <f t="shared" si="27"/>
        <v>4.567324444444442E-2</v>
      </c>
      <c r="AF67" s="42">
        <f t="shared" si="65"/>
        <v>0.64</v>
      </c>
      <c r="AG67" s="44">
        <f t="shared" si="66"/>
        <v>0.64</v>
      </c>
      <c r="AH67" s="42">
        <f t="shared" si="67"/>
        <v>0</v>
      </c>
      <c r="AI67">
        <f t="shared" si="68"/>
        <v>1.3058874727587999</v>
      </c>
      <c r="AJ67" s="44">
        <f t="shared" si="45"/>
        <v>1.3058874727587999</v>
      </c>
      <c r="AK67" s="42">
        <f t="shared" si="69"/>
        <v>32</v>
      </c>
      <c r="AL67">
        <f t="shared" si="13"/>
        <v>160</v>
      </c>
      <c r="AM67" s="44">
        <f t="shared" si="28"/>
        <v>0.2</v>
      </c>
      <c r="AN67" s="42">
        <f t="shared" si="77"/>
        <v>2</v>
      </c>
      <c r="AO67">
        <f t="shared" si="78"/>
        <v>0.60000000000000009</v>
      </c>
      <c r="AP67">
        <f t="shared" si="79"/>
        <v>0.33333333333333331</v>
      </c>
      <c r="AQ67">
        <f t="shared" si="80"/>
        <v>0.19200000000000003</v>
      </c>
      <c r="AR67">
        <f t="shared" si="46"/>
        <v>0.42933333333333334</v>
      </c>
      <c r="AS67" s="44">
        <f t="shared" si="47"/>
        <v>0.26174389518509628</v>
      </c>
      <c r="AT67" s="42"/>
      <c r="AU67">
        <f t="shared" si="81"/>
        <v>4.8000000000000012E-4</v>
      </c>
      <c r="AV67" s="44">
        <f t="shared" si="48"/>
        <v>4.8000000000000012E-4</v>
      </c>
      <c r="AW67" s="42">
        <f t="shared" si="82"/>
        <v>4</v>
      </c>
      <c r="AX67">
        <f t="shared" si="83"/>
        <v>0.06</v>
      </c>
      <c r="AY67" s="44">
        <f t="shared" si="49"/>
        <v>4.0599999999999996</v>
      </c>
      <c r="AZ67" s="42">
        <f t="shared" si="70"/>
        <v>0</v>
      </c>
      <c r="BA67">
        <f t="shared" si="71"/>
        <v>0</v>
      </c>
      <c r="BB67">
        <f t="shared" si="50"/>
        <v>0</v>
      </c>
      <c r="BC67" s="44">
        <f t="shared" si="84"/>
        <v>0</v>
      </c>
      <c r="BD67" s="42">
        <v>0</v>
      </c>
      <c r="BE67">
        <f t="shared" si="85"/>
        <v>0</v>
      </c>
      <c r="BF67" s="44">
        <f t="shared" si="52"/>
        <v>0</v>
      </c>
      <c r="BG67" s="42">
        <f t="shared" si="86"/>
        <v>0</v>
      </c>
      <c r="BH67">
        <f t="shared" si="87"/>
        <v>0</v>
      </c>
      <c r="BI67" s="44">
        <f t="shared" si="88"/>
        <v>0</v>
      </c>
      <c r="BK67" s="42">
        <f t="shared" si="72"/>
        <v>0</v>
      </c>
      <c r="BL67">
        <f t="shared" si="18"/>
        <v>0</v>
      </c>
      <c r="BM67">
        <f t="shared" si="73"/>
        <v>0</v>
      </c>
      <c r="BN67" s="44">
        <f t="shared" si="89"/>
        <v>0</v>
      </c>
      <c r="BO67" s="42">
        <v>0</v>
      </c>
      <c r="BP67">
        <f t="shared" si="90"/>
        <v>0</v>
      </c>
      <c r="BQ67" s="44">
        <f t="shared" si="53"/>
        <v>0</v>
      </c>
      <c r="BR67" s="42">
        <f t="shared" si="91"/>
        <v>0</v>
      </c>
      <c r="BS67">
        <f t="shared" si="92"/>
        <v>0</v>
      </c>
      <c r="BT67" s="44">
        <f t="shared" si="55"/>
        <v>0</v>
      </c>
      <c r="BU67" s="42">
        <f t="shared" si="74"/>
        <v>2.7403946666666654E-2</v>
      </c>
      <c r="BV67">
        <f t="shared" si="21"/>
        <v>0.23625000000000002</v>
      </c>
      <c r="BW67" s="44">
        <f t="shared" si="75"/>
        <v>1.0800000000000001E-2</v>
      </c>
      <c r="BX67">
        <f t="shared" si="56"/>
        <v>0.68567324444444444</v>
      </c>
      <c r="BY67">
        <f t="shared" si="43"/>
        <v>6.9664946638699092</v>
      </c>
      <c r="BZ67">
        <f t="shared" si="93"/>
        <v>82.121833837085418</v>
      </c>
    </row>
    <row r="68" spans="17:78" x14ac:dyDescent="0.3">
      <c r="Q68">
        <v>61</v>
      </c>
      <c r="R68" s="42">
        <f t="shared" si="57"/>
        <v>32.533333333333331</v>
      </c>
      <c r="S68">
        <f t="shared" si="1"/>
        <v>24</v>
      </c>
      <c r="T68" s="44">
        <f t="shared" si="58"/>
        <v>1.3555555555555554</v>
      </c>
      <c r="U68" s="42">
        <f t="shared" si="59"/>
        <v>2</v>
      </c>
      <c r="V68">
        <f t="shared" si="60"/>
        <v>0.4</v>
      </c>
      <c r="W68">
        <f t="shared" si="61"/>
        <v>0.6</v>
      </c>
      <c r="X68">
        <f t="shared" si="23"/>
        <v>0</v>
      </c>
      <c r="Y68" s="42">
        <f t="shared" si="76"/>
        <v>3.3888888888888884</v>
      </c>
      <c r="Z68">
        <f t="shared" si="62"/>
        <v>1.9200000000000004</v>
      </c>
      <c r="AA68">
        <f t="shared" si="25"/>
        <v>4.3488888888888884</v>
      </c>
      <c r="AB68" s="44">
        <f t="shared" si="63"/>
        <v>2.1717981399047712</v>
      </c>
      <c r="AC68" s="42">
        <v>0</v>
      </c>
      <c r="AD68">
        <f t="shared" si="64"/>
        <v>4.7167071604938243E-2</v>
      </c>
      <c r="AE68" s="44">
        <f t="shared" si="27"/>
        <v>4.7167071604938243E-2</v>
      </c>
      <c r="AF68" s="42">
        <f t="shared" si="65"/>
        <v>0.65066666666666662</v>
      </c>
      <c r="AG68" s="44">
        <f t="shared" si="66"/>
        <v>0.65066666666666662</v>
      </c>
      <c r="AH68" s="42">
        <f t="shared" si="67"/>
        <v>0</v>
      </c>
      <c r="AI68">
        <f t="shared" si="68"/>
        <v>1.3276522639714468</v>
      </c>
      <c r="AJ68" s="44">
        <f t="shared" si="45"/>
        <v>1.3276522639714468</v>
      </c>
      <c r="AK68" s="42">
        <f t="shared" si="69"/>
        <v>32.533333333333331</v>
      </c>
      <c r="AL68">
        <f t="shared" si="13"/>
        <v>160</v>
      </c>
      <c r="AM68" s="44">
        <f t="shared" si="28"/>
        <v>0.20333333333333331</v>
      </c>
      <c r="AN68" s="42">
        <f t="shared" si="77"/>
        <v>2</v>
      </c>
      <c r="AO68">
        <f t="shared" si="78"/>
        <v>0.6</v>
      </c>
      <c r="AP68">
        <f t="shared" si="79"/>
        <v>0.33888888888888885</v>
      </c>
      <c r="AQ68">
        <f t="shared" si="80"/>
        <v>0.192</v>
      </c>
      <c r="AR68">
        <f t="shared" si="46"/>
        <v>0.43488888888888888</v>
      </c>
      <c r="AS68" s="44">
        <f t="shared" si="47"/>
        <v>0.26598986335461622</v>
      </c>
      <c r="AT68" s="42"/>
      <c r="AU68">
        <f t="shared" si="81"/>
        <v>4.9613333333333321E-4</v>
      </c>
      <c r="AV68" s="44">
        <f t="shared" si="48"/>
        <v>4.9613333333333321E-4</v>
      </c>
      <c r="AW68" s="42">
        <f t="shared" si="82"/>
        <v>4</v>
      </c>
      <c r="AX68">
        <f t="shared" si="83"/>
        <v>6.0999999999999992E-2</v>
      </c>
      <c r="AY68" s="44">
        <f t="shared" si="49"/>
        <v>4.0609999999999999</v>
      </c>
      <c r="AZ68" s="42">
        <f t="shared" si="70"/>
        <v>0</v>
      </c>
      <c r="BA68">
        <f t="shared" si="71"/>
        <v>0</v>
      </c>
      <c r="BB68">
        <f t="shared" si="50"/>
        <v>0</v>
      </c>
      <c r="BC68" s="44">
        <f t="shared" si="84"/>
        <v>0</v>
      </c>
      <c r="BD68" s="42">
        <v>0</v>
      </c>
      <c r="BE68">
        <f t="shared" si="85"/>
        <v>0</v>
      </c>
      <c r="BF68" s="44">
        <f t="shared" si="52"/>
        <v>0</v>
      </c>
      <c r="BG68" s="42">
        <f t="shared" si="86"/>
        <v>0</v>
      </c>
      <c r="BH68">
        <f t="shared" si="87"/>
        <v>0</v>
      </c>
      <c r="BI68" s="44">
        <f t="shared" si="88"/>
        <v>0</v>
      </c>
      <c r="BK68" s="42">
        <f t="shared" si="72"/>
        <v>0</v>
      </c>
      <c r="BL68">
        <f t="shared" si="18"/>
        <v>0</v>
      </c>
      <c r="BM68">
        <f t="shared" si="73"/>
        <v>0</v>
      </c>
      <c r="BN68" s="44">
        <f t="shared" si="89"/>
        <v>0</v>
      </c>
      <c r="BO68" s="42">
        <v>0</v>
      </c>
      <c r="BP68">
        <f t="shared" si="90"/>
        <v>0</v>
      </c>
      <c r="BQ68" s="44">
        <f t="shared" si="53"/>
        <v>0</v>
      </c>
      <c r="BR68" s="42">
        <f t="shared" si="91"/>
        <v>0</v>
      </c>
      <c r="BS68">
        <f t="shared" si="92"/>
        <v>0</v>
      </c>
      <c r="BT68" s="44">
        <f t="shared" si="55"/>
        <v>0</v>
      </c>
      <c r="BU68" s="42">
        <f t="shared" si="74"/>
        <v>2.8300242962962945E-2</v>
      </c>
      <c r="BV68">
        <f t="shared" si="21"/>
        <v>0.23625000000000002</v>
      </c>
      <c r="BW68" s="44">
        <f t="shared" si="75"/>
        <v>1.0800000000000001E-2</v>
      </c>
      <c r="BX68">
        <f t="shared" si="56"/>
        <v>0.69783373827160489</v>
      </c>
      <c r="BY68">
        <f t="shared" si="43"/>
        <v>7.0129990452060156</v>
      </c>
      <c r="BZ68">
        <f t="shared" si="93"/>
        <v>82.266373078349559</v>
      </c>
    </row>
    <row r="69" spans="17:78" x14ac:dyDescent="0.3">
      <c r="Q69">
        <v>62</v>
      </c>
      <c r="R69" s="42">
        <f t="shared" si="57"/>
        <v>33.066666666666663</v>
      </c>
      <c r="S69">
        <f t="shared" si="1"/>
        <v>24</v>
      </c>
      <c r="T69" s="44">
        <f t="shared" si="58"/>
        <v>1.3777777777777775</v>
      </c>
      <c r="U69" s="42">
        <f t="shared" si="59"/>
        <v>2</v>
      </c>
      <c r="V69">
        <f t="shared" si="60"/>
        <v>0.4</v>
      </c>
      <c r="W69">
        <f t="shared" si="61"/>
        <v>0.6</v>
      </c>
      <c r="X69">
        <f t="shared" si="23"/>
        <v>0</v>
      </c>
      <c r="Y69" s="42">
        <f t="shared" si="76"/>
        <v>3.4444444444444438</v>
      </c>
      <c r="Z69">
        <f t="shared" si="62"/>
        <v>1.9200000000000004</v>
      </c>
      <c r="AA69">
        <f t="shared" si="25"/>
        <v>4.4044444444444437</v>
      </c>
      <c r="AB69" s="44">
        <f t="shared" si="63"/>
        <v>2.2064811379990714</v>
      </c>
      <c r="AC69" s="42">
        <v>0</v>
      </c>
      <c r="AD69">
        <f t="shared" si="64"/>
        <v>4.868559012345678E-2</v>
      </c>
      <c r="AE69" s="44">
        <f t="shared" si="27"/>
        <v>4.868559012345678E-2</v>
      </c>
      <c r="AF69" s="42">
        <f t="shared" si="65"/>
        <v>0.66133333333333322</v>
      </c>
      <c r="AG69" s="44">
        <f t="shared" si="66"/>
        <v>0.66133333333333322</v>
      </c>
      <c r="AH69" s="42">
        <f t="shared" si="67"/>
        <v>0</v>
      </c>
      <c r="AI69">
        <f t="shared" si="68"/>
        <v>1.3494170551840929</v>
      </c>
      <c r="AJ69" s="44">
        <f t="shared" si="45"/>
        <v>1.3494170551840929</v>
      </c>
      <c r="AK69" s="42">
        <f t="shared" si="69"/>
        <v>33.066666666666663</v>
      </c>
      <c r="AL69">
        <f t="shared" si="13"/>
        <v>160</v>
      </c>
      <c r="AM69" s="44">
        <f t="shared" si="28"/>
        <v>0.20666666666666664</v>
      </c>
      <c r="AN69" s="42">
        <f t="shared" si="77"/>
        <v>2</v>
      </c>
      <c r="AO69">
        <f t="shared" si="78"/>
        <v>0.6</v>
      </c>
      <c r="AP69">
        <f t="shared" si="79"/>
        <v>0.34444444444444439</v>
      </c>
      <c r="AQ69">
        <f t="shared" si="80"/>
        <v>0.192</v>
      </c>
      <c r="AR69">
        <f t="shared" si="46"/>
        <v>0.44044444444444442</v>
      </c>
      <c r="AS69" s="44">
        <f t="shared" si="47"/>
        <v>0.27023764575866399</v>
      </c>
      <c r="AT69" s="42"/>
      <c r="AU69">
        <f t="shared" si="81"/>
        <v>5.1253333333333329E-4</v>
      </c>
      <c r="AV69" s="44">
        <f t="shared" si="48"/>
        <v>5.1253333333333329E-4</v>
      </c>
      <c r="AW69" s="42">
        <f t="shared" si="82"/>
        <v>4</v>
      </c>
      <c r="AX69">
        <f t="shared" si="83"/>
        <v>6.1999999999999986E-2</v>
      </c>
      <c r="AY69" s="44">
        <f t="shared" si="49"/>
        <v>4.0620000000000003</v>
      </c>
      <c r="AZ69" s="42">
        <f t="shared" si="70"/>
        <v>0</v>
      </c>
      <c r="BA69">
        <f t="shared" si="71"/>
        <v>0</v>
      </c>
      <c r="BB69">
        <f t="shared" si="50"/>
        <v>0</v>
      </c>
      <c r="BC69" s="44">
        <f t="shared" si="84"/>
        <v>0</v>
      </c>
      <c r="BD69" s="42">
        <v>0</v>
      </c>
      <c r="BE69">
        <f t="shared" si="85"/>
        <v>0</v>
      </c>
      <c r="BF69" s="44">
        <f t="shared" si="52"/>
        <v>0</v>
      </c>
      <c r="BG69" s="42">
        <f t="shared" si="86"/>
        <v>0</v>
      </c>
      <c r="BH69">
        <f t="shared" si="87"/>
        <v>0</v>
      </c>
      <c r="BI69" s="44">
        <f t="shared" si="88"/>
        <v>0</v>
      </c>
      <c r="BK69" s="42">
        <f t="shared" si="72"/>
        <v>0</v>
      </c>
      <c r="BL69">
        <f t="shared" si="18"/>
        <v>0</v>
      </c>
      <c r="BM69">
        <f t="shared" si="73"/>
        <v>0</v>
      </c>
      <c r="BN69" s="44">
        <f t="shared" si="89"/>
        <v>0</v>
      </c>
      <c r="BO69" s="42">
        <v>0</v>
      </c>
      <c r="BP69">
        <f t="shared" si="90"/>
        <v>0</v>
      </c>
      <c r="BQ69" s="44">
        <f t="shared" si="53"/>
        <v>0</v>
      </c>
      <c r="BR69" s="42">
        <f t="shared" si="91"/>
        <v>0</v>
      </c>
      <c r="BS69">
        <f t="shared" si="92"/>
        <v>0</v>
      </c>
      <c r="BT69" s="44">
        <f t="shared" si="55"/>
        <v>0</v>
      </c>
      <c r="BU69" s="42">
        <f t="shared" si="74"/>
        <v>2.9211354074074068E-2</v>
      </c>
      <c r="BV69">
        <f t="shared" si="21"/>
        <v>0.23625000000000002</v>
      </c>
      <c r="BW69" s="44">
        <f t="shared" si="75"/>
        <v>1.0800000000000001E-2</v>
      </c>
      <c r="BX69">
        <f t="shared" si="56"/>
        <v>0.71001892345678996</v>
      </c>
      <c r="BY69">
        <f t="shared" si="43"/>
        <v>7.0595431993816238</v>
      </c>
      <c r="BZ69">
        <f t="shared" si="93"/>
        <v>82.406653349647996</v>
      </c>
    </row>
    <row r="70" spans="17:78" x14ac:dyDescent="0.3">
      <c r="Q70">
        <v>63</v>
      </c>
      <c r="R70" s="42">
        <f t="shared" si="57"/>
        <v>33.6</v>
      </c>
      <c r="S70">
        <f t="shared" si="1"/>
        <v>24</v>
      </c>
      <c r="T70" s="44">
        <f t="shared" si="58"/>
        <v>1.4000000000000001</v>
      </c>
      <c r="U70" s="42">
        <f t="shared" si="59"/>
        <v>2</v>
      </c>
      <c r="V70">
        <f t="shared" si="60"/>
        <v>0.4</v>
      </c>
      <c r="W70">
        <f t="shared" si="61"/>
        <v>0.6</v>
      </c>
      <c r="X70">
        <f t="shared" si="23"/>
        <v>0</v>
      </c>
      <c r="Y70" s="42">
        <f t="shared" si="76"/>
        <v>3.4999999999999996</v>
      </c>
      <c r="Z70">
        <f t="shared" si="62"/>
        <v>1.9200000000000004</v>
      </c>
      <c r="AA70">
        <f t="shared" si="25"/>
        <v>4.46</v>
      </c>
      <c r="AB70" s="44">
        <f t="shared" si="63"/>
        <v>2.2411782615401212</v>
      </c>
      <c r="AC70" s="42">
        <v>0</v>
      </c>
      <c r="AD70">
        <f t="shared" si="64"/>
        <v>5.0228799999999997E-2</v>
      </c>
      <c r="AE70" s="44">
        <f t="shared" si="27"/>
        <v>5.0228799999999997E-2</v>
      </c>
      <c r="AF70" s="42">
        <f t="shared" si="65"/>
        <v>0.67200000000000004</v>
      </c>
      <c r="AG70" s="44">
        <f t="shared" si="66"/>
        <v>0.67200000000000004</v>
      </c>
      <c r="AH70" s="42">
        <f t="shared" si="67"/>
        <v>0</v>
      </c>
      <c r="AI70">
        <f t="shared" si="68"/>
        <v>1.3711818463967398</v>
      </c>
      <c r="AJ70" s="44">
        <f t="shared" si="45"/>
        <v>1.3711818463967398</v>
      </c>
      <c r="AK70" s="42">
        <f t="shared" si="69"/>
        <v>33.6</v>
      </c>
      <c r="AL70">
        <f t="shared" si="13"/>
        <v>160</v>
      </c>
      <c r="AM70" s="44">
        <f t="shared" si="28"/>
        <v>0.21000000000000002</v>
      </c>
      <c r="AN70" s="42">
        <f t="shared" si="77"/>
        <v>2</v>
      </c>
      <c r="AO70">
        <f t="shared" si="78"/>
        <v>0.60000000000000009</v>
      </c>
      <c r="AP70">
        <f t="shared" si="79"/>
        <v>0.35</v>
      </c>
      <c r="AQ70">
        <f t="shared" si="80"/>
        <v>0.19200000000000003</v>
      </c>
      <c r="AR70">
        <f t="shared" si="46"/>
        <v>0.44600000000000001</v>
      </c>
      <c r="AS70" s="44">
        <f t="shared" si="47"/>
        <v>0.2744871581695581</v>
      </c>
      <c r="AT70" s="42"/>
      <c r="AU70">
        <f t="shared" si="81"/>
        <v>5.2920000000000007E-4</v>
      </c>
      <c r="AV70" s="44">
        <f t="shared" si="48"/>
        <v>5.2920000000000007E-4</v>
      </c>
      <c r="AW70" s="42">
        <f t="shared" si="82"/>
        <v>4</v>
      </c>
      <c r="AX70">
        <f t="shared" si="83"/>
        <v>6.3E-2</v>
      </c>
      <c r="AY70" s="44">
        <f t="shared" si="49"/>
        <v>4.0629999999999997</v>
      </c>
      <c r="AZ70" s="42">
        <f t="shared" si="70"/>
        <v>0</v>
      </c>
      <c r="BA70">
        <f t="shared" si="71"/>
        <v>0</v>
      </c>
      <c r="BB70">
        <f t="shared" si="50"/>
        <v>0</v>
      </c>
      <c r="BC70" s="44">
        <f t="shared" si="84"/>
        <v>0</v>
      </c>
      <c r="BD70" s="42">
        <v>0</v>
      </c>
      <c r="BE70">
        <f t="shared" si="85"/>
        <v>0</v>
      </c>
      <c r="BF70" s="44">
        <f t="shared" si="52"/>
        <v>0</v>
      </c>
      <c r="BG70" s="42">
        <f t="shared" si="86"/>
        <v>0</v>
      </c>
      <c r="BH70">
        <f t="shared" si="87"/>
        <v>0</v>
      </c>
      <c r="BI70" s="44">
        <f t="shared" si="88"/>
        <v>0</v>
      </c>
      <c r="BK70" s="42">
        <f t="shared" si="72"/>
        <v>0</v>
      </c>
      <c r="BL70">
        <f t="shared" si="18"/>
        <v>0</v>
      </c>
      <c r="BM70">
        <f t="shared" si="73"/>
        <v>0</v>
      </c>
      <c r="BN70" s="44">
        <f t="shared" si="89"/>
        <v>0</v>
      </c>
      <c r="BO70" s="42">
        <v>0</v>
      </c>
      <c r="BP70">
        <f t="shared" si="90"/>
        <v>0</v>
      </c>
      <c r="BQ70" s="44">
        <f t="shared" si="53"/>
        <v>0</v>
      </c>
      <c r="BR70" s="42">
        <f t="shared" si="91"/>
        <v>0</v>
      </c>
      <c r="BS70">
        <f t="shared" si="92"/>
        <v>0</v>
      </c>
      <c r="BT70" s="44">
        <f t="shared" si="55"/>
        <v>0</v>
      </c>
      <c r="BU70" s="42">
        <f t="shared" si="74"/>
        <v>3.0137279999999999E-2</v>
      </c>
      <c r="BV70">
        <f t="shared" si="21"/>
        <v>0.23625000000000002</v>
      </c>
      <c r="BW70" s="44">
        <f t="shared" si="75"/>
        <v>1.0800000000000001E-2</v>
      </c>
      <c r="BX70">
        <f t="shared" si="56"/>
        <v>0.7222288</v>
      </c>
      <c r="BY70">
        <f t="shared" si="43"/>
        <v>7.1061271263967383</v>
      </c>
      <c r="BZ70">
        <f t="shared" si="93"/>
        <v>82.542856252741814</v>
      </c>
    </row>
    <row r="71" spans="17:78" x14ac:dyDescent="0.3">
      <c r="Q71">
        <v>64</v>
      </c>
      <c r="R71" s="42">
        <f t="shared" ref="R71:R102" si="94">AK71+AZ71+BK71</f>
        <v>34.133333333333333</v>
      </c>
      <c r="S71">
        <f t="shared" ref="S71:S134" si="95">VIN_var</f>
        <v>24</v>
      </c>
      <c r="T71" s="44">
        <f t="shared" ref="T71:T102" si="96">(R71)/(S71*EFF_est)</f>
        <v>1.4222222222222223</v>
      </c>
      <c r="U71" s="42">
        <f t="shared" ref="U71:U102" si="97">IF(R71&lt;((((Np/NS1_)*(AL71)/((S71+((Np/NS1_)*(AL71)))))^2)*(S71^2))/(2*Lm*Fsw),1,2)</f>
        <v>2</v>
      </c>
      <c r="V71">
        <f t="shared" ref="V71:V102" si="98">CHOOSE(U71,SQRT((2*Lm*R71*Fsw)/((S71^2)*EFF_est)),(((Np/NS1_)*(AL71))/(S71+((Np/NS1_)*(AL71)))))</f>
        <v>0.4</v>
      </c>
      <c r="W71">
        <f t="shared" ref="W71:W102" si="99">CHOOSE(U71,(NS1_*S71*V71)/(Np*AL71),1-V71)</f>
        <v>0.6</v>
      </c>
      <c r="X71">
        <f t="shared" si="23"/>
        <v>0</v>
      </c>
      <c r="Y71" s="42">
        <f t="shared" si="76"/>
        <v>3.5555555555555549</v>
      </c>
      <c r="Z71">
        <f t="shared" ref="Z71:Z102" si="100">(S71*V71)/(Lm*Fsw)</f>
        <v>1.9200000000000004</v>
      </c>
      <c r="AA71">
        <f t="shared" si="25"/>
        <v>4.5155555555555553</v>
      </c>
      <c r="AB71" s="44">
        <f t="shared" ref="AB71:AB102" si="101">CHOOSE(U71,AA71*SQRT(V71/3),SQRT(V71*((AA71^2)+((Z71^2)/(3))-(AA71*Z71))))</f>
        <v>2.2758888644784019</v>
      </c>
      <c r="AC71" s="42">
        <v>0</v>
      </c>
      <c r="AD71">
        <f t="shared" ref="AD71:AD102" si="102">(AB71^2)*Rdcr</f>
        <v>5.1796701234567893E-2</v>
      </c>
      <c r="AE71" s="44">
        <f t="shared" si="27"/>
        <v>5.1796701234567893E-2</v>
      </c>
      <c r="AF71" s="42">
        <f t="shared" ref="AF71:AF102" si="103">R71*0.02</f>
        <v>0.68266666666666664</v>
      </c>
      <c r="AG71" s="44">
        <f t="shared" ref="AG71:AG102" si="104">R71*0.02</f>
        <v>0.68266666666666664</v>
      </c>
      <c r="AH71" s="42">
        <f t="shared" ref="AH71:AH102" si="105">(AB71^2)*RDS_on</f>
        <v>0</v>
      </c>
      <c r="AI71">
        <f t="shared" ref="AI71:AI102" si="106">((Y71*(S71+((Np/NS1_)*VOUT1)))/2)*Fsw*(tr_sw+tf_sw)</f>
        <v>1.3929466376093866</v>
      </c>
      <c r="AJ71" s="44">
        <f t="shared" si="45"/>
        <v>1.3929466376093866</v>
      </c>
      <c r="AK71" s="42">
        <f t="shared" ref="AK71:AK102" si="107">Q71*$B$11</f>
        <v>34.133333333333333</v>
      </c>
      <c r="AL71">
        <f t="shared" ref="AL71:AL134" si="108">VOUT1</f>
        <v>160</v>
      </c>
      <c r="AM71" s="44">
        <f t="shared" si="28"/>
        <v>0.21333333333333332</v>
      </c>
      <c r="AN71" s="42">
        <f t="shared" si="77"/>
        <v>2</v>
      </c>
      <c r="AO71">
        <f t="shared" si="78"/>
        <v>0.6</v>
      </c>
      <c r="AP71">
        <f t="shared" si="79"/>
        <v>0.35555555555555551</v>
      </c>
      <c r="AQ71">
        <f t="shared" si="80"/>
        <v>0.192</v>
      </c>
      <c r="AR71">
        <f t="shared" si="46"/>
        <v>0.45155555555555549</v>
      </c>
      <c r="AS71" s="44">
        <f t="shared" si="47"/>
        <v>0.27873832146271493</v>
      </c>
      <c r="AT71" s="42"/>
      <c r="AU71">
        <f t="shared" si="81"/>
        <v>5.4613333333333324E-4</v>
      </c>
      <c r="AV71" s="44">
        <f t="shared" si="48"/>
        <v>5.4613333333333324E-4</v>
      </c>
      <c r="AW71" s="42">
        <f t="shared" si="82"/>
        <v>4</v>
      </c>
      <c r="AX71">
        <f t="shared" si="83"/>
        <v>6.3999999999999987E-2</v>
      </c>
      <c r="AY71" s="44">
        <f t="shared" si="49"/>
        <v>4.0640000000000001</v>
      </c>
      <c r="AZ71" s="42">
        <f t="shared" ref="AZ71:AZ102" si="109">IF(EN_OUT_2=1,Q71*$B$15,0)</f>
        <v>0</v>
      </c>
      <c r="BA71">
        <f t="shared" ref="BA71:BA102" si="110">IF(EN_OUT_2=1,VOUT2,0)</f>
        <v>0</v>
      </c>
      <c r="BB71">
        <f t="shared" si="50"/>
        <v>0</v>
      </c>
      <c r="BC71" s="44">
        <f t="shared" si="84"/>
        <v>0</v>
      </c>
      <c r="BD71" s="42">
        <v>0</v>
      </c>
      <c r="BE71">
        <f t="shared" si="85"/>
        <v>0</v>
      </c>
      <c r="BF71" s="44">
        <f t="shared" si="52"/>
        <v>0</v>
      </c>
      <c r="BG71" s="42">
        <f t="shared" si="86"/>
        <v>0</v>
      </c>
      <c r="BH71">
        <f t="shared" si="87"/>
        <v>0</v>
      </c>
      <c r="BI71" s="44">
        <f t="shared" si="88"/>
        <v>0</v>
      </c>
      <c r="BK71" s="42">
        <f t="shared" ref="BK71:BK102" si="111">IF(EN_OUT_3=1,Q71*$B$19,0)</f>
        <v>0</v>
      </c>
      <c r="BL71">
        <f t="shared" ref="BL71:BL134" si="112">IF(EN_OUT_3=1,VOUT3,0)</f>
        <v>0</v>
      </c>
      <c r="BM71">
        <f t="shared" ref="BM71:BM102" si="113">IF(EN_OUT_3=1,BK71/BL71,0)</f>
        <v>0</v>
      </c>
      <c r="BN71" s="44">
        <f t="shared" si="89"/>
        <v>0</v>
      </c>
      <c r="BO71" s="42">
        <v>0</v>
      </c>
      <c r="BP71">
        <f t="shared" si="90"/>
        <v>0</v>
      </c>
      <c r="BQ71" s="44">
        <f t="shared" si="53"/>
        <v>0</v>
      </c>
      <c r="BR71" s="42">
        <f t="shared" si="91"/>
        <v>0</v>
      </c>
      <c r="BS71">
        <f t="shared" si="92"/>
        <v>0</v>
      </c>
      <c r="BT71" s="44">
        <f t="shared" si="55"/>
        <v>0</v>
      </c>
      <c r="BU71" s="42">
        <f t="shared" ref="BU71:BU102" si="114">(AB71^2)*R_cs</f>
        <v>3.1078020740740737E-2</v>
      </c>
      <c r="BV71">
        <f t="shared" ref="BV71:BV134" si="115">Qg_tot*Vcc*Fsw</f>
        <v>0.23625000000000002</v>
      </c>
      <c r="BW71" s="44">
        <f t="shared" ref="BW71:BW102" si="116">IQ*S71</f>
        <v>1.0800000000000001E-2</v>
      </c>
      <c r="BX71">
        <f t="shared" si="56"/>
        <v>0.73446336790123457</v>
      </c>
      <c r="BY71">
        <f t="shared" si="43"/>
        <v>7.1527508262513626</v>
      </c>
      <c r="BZ71">
        <f t="shared" si="93"/>
        <v>82.675153209968869</v>
      </c>
    </row>
    <row r="72" spans="17:78" x14ac:dyDescent="0.3">
      <c r="Q72">
        <v>65</v>
      </c>
      <c r="R72" s="42">
        <f t="shared" si="94"/>
        <v>34.666666666666664</v>
      </c>
      <c r="S72">
        <f t="shared" si="95"/>
        <v>24</v>
      </c>
      <c r="T72" s="44">
        <f t="shared" si="96"/>
        <v>1.4444444444444444</v>
      </c>
      <c r="U72" s="42">
        <f t="shared" si="97"/>
        <v>2</v>
      </c>
      <c r="V72">
        <f t="shared" si="98"/>
        <v>0.4</v>
      </c>
      <c r="W72">
        <f t="shared" si="99"/>
        <v>0.6</v>
      </c>
      <c r="X72">
        <f t="shared" ref="X72:X135" si="117">CHOOSE(U72,1-V72-W72,0)</f>
        <v>0</v>
      </c>
      <c r="Y72" s="42">
        <f t="shared" ref="Y72:Y103" si="118">R72/(S72*EFF_est*V72)</f>
        <v>3.6111111111111103</v>
      </c>
      <c r="Z72">
        <f t="shared" si="100"/>
        <v>1.9200000000000004</v>
      </c>
      <c r="AA72">
        <f t="shared" ref="AA72:AA135" si="119">Y72+(Z72/2)</f>
        <v>4.5711111111111107</v>
      </c>
      <c r="AB72" s="44">
        <f t="shared" si="101"/>
        <v>2.3106123393412505</v>
      </c>
      <c r="AC72" s="42">
        <v>0</v>
      </c>
      <c r="AD72">
        <f t="shared" si="102"/>
        <v>5.3389293827160469E-2</v>
      </c>
      <c r="AE72" s="44">
        <f t="shared" ref="AE72:AE135" si="120">AC72+AD72</f>
        <v>5.3389293827160469E-2</v>
      </c>
      <c r="AF72" s="42">
        <f t="shared" si="103"/>
        <v>0.69333333333333325</v>
      </c>
      <c r="AG72" s="44">
        <f t="shared" si="104"/>
        <v>0.69333333333333325</v>
      </c>
      <c r="AH72" s="42">
        <f t="shared" si="105"/>
        <v>0</v>
      </c>
      <c r="AI72">
        <f t="shared" si="106"/>
        <v>1.4147114288220328</v>
      </c>
      <c r="AJ72" s="44">
        <f t="shared" ref="AJ72:AJ135" si="121">AH72+AI72</f>
        <v>1.4147114288220328</v>
      </c>
      <c r="AK72" s="42">
        <f t="shared" si="107"/>
        <v>34.666666666666664</v>
      </c>
      <c r="AL72">
        <f t="shared" si="108"/>
        <v>160</v>
      </c>
      <c r="AM72" s="44">
        <f t="shared" ref="AM72:AM103" si="122">AK72/AL72</f>
        <v>0.21666666666666665</v>
      </c>
      <c r="AN72" s="42">
        <f t="shared" ref="AN72:AN103" si="123">IF(((AL72*AO72)/(Fsw*$AO$2))/2&gt;AP72,1,2)</f>
        <v>2</v>
      </c>
      <c r="AO72">
        <f t="shared" ref="AO72:AO103" si="124">AM72/AP72</f>
        <v>0.60000000000000009</v>
      </c>
      <c r="AP72">
        <f t="shared" ref="AP72:AP103" si="125">Np*$Y72*AK72/(R72*NS1_)</f>
        <v>0.36111111111111105</v>
      </c>
      <c r="AQ72">
        <f t="shared" ref="AQ72:AQ103" si="126">(AL72*AO72)/(Fsw*$AO$2)</f>
        <v>0.19200000000000003</v>
      </c>
      <c r="AR72">
        <f t="shared" si="46"/>
        <v>0.45711111111111108</v>
      </c>
      <c r="AS72" s="44">
        <f t="shared" si="47"/>
        <v>0.28299106123823187</v>
      </c>
      <c r="AT72" s="42"/>
      <c r="AU72">
        <f t="shared" ref="AU72:AU103" si="127">(AM72^2)*Rdcr1</f>
        <v>5.6333333333333322E-4</v>
      </c>
      <c r="AV72" s="44">
        <f t="shared" si="48"/>
        <v>5.6333333333333322E-4</v>
      </c>
      <c r="AW72" s="42">
        <f t="shared" ref="AW72:AW103" si="128">(VOUT1+((NS1_/Np)*S72))*QRR1_*Fsw</f>
        <v>4</v>
      </c>
      <c r="AX72">
        <f t="shared" ref="AX72:AX103" si="129">AM72*VD1_</f>
        <v>6.4999999999999988E-2</v>
      </c>
      <c r="AY72" s="44">
        <f t="shared" si="49"/>
        <v>4.0650000000000004</v>
      </c>
      <c r="AZ72" s="42">
        <f t="shared" si="109"/>
        <v>0</v>
      </c>
      <c r="BA72">
        <f t="shared" si="110"/>
        <v>0</v>
      </c>
      <c r="BB72">
        <f t="shared" si="50"/>
        <v>0</v>
      </c>
      <c r="BC72" s="44">
        <f t="shared" ref="BC72:BC103" si="130">IF(EN_OUT_2=1,AZ72/BA72,0)</f>
        <v>0</v>
      </c>
      <c r="BD72" s="42">
        <v>0</v>
      </c>
      <c r="BE72">
        <f t="shared" ref="BE72:BE103" si="131">(BB72^2)*Rdcr2</f>
        <v>0</v>
      </c>
      <c r="BF72" s="44">
        <f t="shared" si="52"/>
        <v>0</v>
      </c>
      <c r="BG72" s="42">
        <f t="shared" ref="BG72:BG103" si="132">(VOUT2+((NS2_/Np)*S72))*QRR2_*Fsw</f>
        <v>0</v>
      </c>
      <c r="BH72">
        <f t="shared" ref="BH72:BH103" si="133">BB72*VD2_</f>
        <v>0</v>
      </c>
      <c r="BI72" s="44">
        <f t="shared" ref="BI72:BI103" si="134">BH72+BG72</f>
        <v>0</v>
      </c>
      <c r="BK72" s="42">
        <f t="shared" si="111"/>
        <v>0</v>
      </c>
      <c r="BL72">
        <f t="shared" si="112"/>
        <v>0</v>
      </c>
      <c r="BM72">
        <f t="shared" si="113"/>
        <v>0</v>
      </c>
      <c r="BN72" s="44">
        <f t="shared" ref="BN72:BN79" si="135">Y72*(Np/NS3_)*(BK72/R72)</f>
        <v>0</v>
      </c>
      <c r="BO72" s="42">
        <v>0</v>
      </c>
      <c r="BP72">
        <f t="shared" ref="BP72:BP103" si="136">(BM72^2)*Rdcr3</f>
        <v>0</v>
      </c>
      <c r="BQ72" s="44">
        <f t="shared" si="53"/>
        <v>0</v>
      </c>
      <c r="BR72" s="42">
        <f t="shared" ref="BR72:BR103" si="137">(VOUT3+((NS3_/Np)*S72))*QRR3_*Fsw</f>
        <v>0</v>
      </c>
      <c r="BS72">
        <f t="shared" ref="BS72:BS103" si="138">BM72*VD3_</f>
        <v>0</v>
      </c>
      <c r="BT72" s="44">
        <f t="shared" si="55"/>
        <v>0</v>
      </c>
      <c r="BU72" s="42">
        <f t="shared" si="114"/>
        <v>3.203357629629628E-2</v>
      </c>
      <c r="BV72">
        <f t="shared" si="115"/>
        <v>0.23625000000000002</v>
      </c>
      <c r="BW72" s="44">
        <f t="shared" si="116"/>
        <v>1.0800000000000001E-2</v>
      </c>
      <c r="BX72">
        <f t="shared" ref="BX72:BX135" si="139">BF72+BQ72+AE72+AG72</f>
        <v>0.74672262716049376</v>
      </c>
      <c r="BY72">
        <f t="shared" ref="BY72:BY135" si="140">BW72+BV72+BU72+BT72+BQ72+BI72+BF72++AY72+AV72+AJ72+AF72+AE72+AG72</f>
        <v>7.1994142989454888</v>
      </c>
      <c r="BZ72">
        <f t="shared" ref="BZ72:BZ103" si="141">(R72/(R72+BY72))*100</f>
        <v>82.803706167627851</v>
      </c>
    </row>
    <row r="73" spans="17:78" x14ac:dyDescent="0.3">
      <c r="Q73">
        <v>66</v>
      </c>
      <c r="R73" s="42">
        <f t="shared" si="94"/>
        <v>35.200000000000003</v>
      </c>
      <c r="S73">
        <f t="shared" si="95"/>
        <v>24</v>
      </c>
      <c r="T73" s="44">
        <f t="shared" si="96"/>
        <v>1.4666666666666668</v>
      </c>
      <c r="U73" s="42">
        <f t="shared" si="97"/>
        <v>2</v>
      </c>
      <c r="V73">
        <f t="shared" si="98"/>
        <v>0.4</v>
      </c>
      <c r="W73">
        <f t="shared" si="99"/>
        <v>0.6</v>
      </c>
      <c r="X73">
        <f t="shared" si="117"/>
        <v>0</v>
      </c>
      <c r="Y73" s="42">
        <f t="shared" si="118"/>
        <v>3.6666666666666665</v>
      </c>
      <c r="Z73">
        <f t="shared" si="100"/>
        <v>1.9200000000000004</v>
      </c>
      <c r="AA73">
        <f t="shared" si="119"/>
        <v>4.6266666666666669</v>
      </c>
      <c r="AB73" s="44">
        <f t="shared" si="101"/>
        <v>2.3453481144123955</v>
      </c>
      <c r="AC73" s="42">
        <v>0</v>
      </c>
      <c r="AD73">
        <f t="shared" si="102"/>
        <v>5.5006577777777795E-2</v>
      </c>
      <c r="AE73" s="44">
        <f t="shared" si="120"/>
        <v>5.5006577777777795E-2</v>
      </c>
      <c r="AF73" s="42">
        <f t="shared" si="103"/>
        <v>0.70400000000000007</v>
      </c>
      <c r="AG73" s="44">
        <f t="shared" si="104"/>
        <v>0.70400000000000007</v>
      </c>
      <c r="AH73" s="42">
        <f t="shared" si="105"/>
        <v>0</v>
      </c>
      <c r="AI73">
        <f t="shared" si="106"/>
        <v>1.4364762200346799</v>
      </c>
      <c r="AJ73" s="44">
        <f t="shared" si="121"/>
        <v>1.4364762200346799</v>
      </c>
      <c r="AK73" s="42">
        <f t="shared" si="107"/>
        <v>35.200000000000003</v>
      </c>
      <c r="AL73">
        <f t="shared" si="108"/>
        <v>160</v>
      </c>
      <c r="AM73" s="44">
        <f t="shared" si="122"/>
        <v>0.22000000000000003</v>
      </c>
      <c r="AN73" s="42">
        <f t="shared" si="123"/>
        <v>2</v>
      </c>
      <c r="AO73">
        <f t="shared" si="124"/>
        <v>0.60000000000000009</v>
      </c>
      <c r="AP73">
        <f t="shared" si="125"/>
        <v>0.36666666666666664</v>
      </c>
      <c r="AQ73">
        <f t="shared" si="126"/>
        <v>0.19200000000000003</v>
      </c>
      <c r="AR73">
        <f t="shared" ref="AR73:AR136" si="142">AP73+(AQ73/2)</f>
        <v>0.46266666666666667</v>
      </c>
      <c r="AS73" s="44">
        <f t="shared" ref="AS73:AS136" si="143">CHOOSE(AN73,AR73*SQRT(AO73/3),SQRT(AO73*((AR73^2)+((AQ73^2)/(3))-(AQ73*AR73))))</f>
        <v>0.28724530747545146</v>
      </c>
      <c r="AT73" s="42"/>
      <c r="AU73">
        <f t="shared" si="127"/>
        <v>5.8080000000000013E-4</v>
      </c>
      <c r="AV73" s="44">
        <f t="shared" ref="AV73:AV136" si="144">AT73+AU73</f>
        <v>5.8080000000000013E-4</v>
      </c>
      <c r="AW73" s="42">
        <f t="shared" si="128"/>
        <v>4</v>
      </c>
      <c r="AX73">
        <f t="shared" si="129"/>
        <v>6.6000000000000003E-2</v>
      </c>
      <c r="AY73" s="44">
        <f t="shared" ref="AY73:AY136" si="145">AW73+AX73</f>
        <v>4.0659999999999998</v>
      </c>
      <c r="AZ73" s="42">
        <f t="shared" si="109"/>
        <v>0</v>
      </c>
      <c r="BA73">
        <f t="shared" si="110"/>
        <v>0</v>
      </c>
      <c r="BB73">
        <f t="shared" ref="BB73:BB136" si="146">IF(EN_OUT_2=1,AZ73/BA73,0)</f>
        <v>0</v>
      </c>
      <c r="BC73" s="44">
        <f t="shared" si="130"/>
        <v>0</v>
      </c>
      <c r="BD73" s="42">
        <v>0</v>
      </c>
      <c r="BE73">
        <f t="shared" si="131"/>
        <v>0</v>
      </c>
      <c r="BF73" s="44">
        <f t="shared" ref="BF73:BF136" si="147">BD73+BE73</f>
        <v>0</v>
      </c>
      <c r="BG73" s="42">
        <f t="shared" si="132"/>
        <v>0</v>
      </c>
      <c r="BH73">
        <f t="shared" si="133"/>
        <v>0</v>
      </c>
      <c r="BI73" s="44">
        <f t="shared" si="134"/>
        <v>0</v>
      </c>
      <c r="BK73" s="42">
        <f t="shared" si="111"/>
        <v>0</v>
      </c>
      <c r="BL73">
        <f t="shared" si="112"/>
        <v>0</v>
      </c>
      <c r="BM73">
        <f t="shared" si="113"/>
        <v>0</v>
      </c>
      <c r="BN73" s="44">
        <f t="shared" si="135"/>
        <v>0</v>
      </c>
      <c r="BO73" s="42">
        <v>0</v>
      </c>
      <c r="BP73">
        <f t="shared" si="136"/>
        <v>0</v>
      </c>
      <c r="BQ73" s="44">
        <f t="shared" ref="BQ73:BQ136" si="148">BO73+BP73</f>
        <v>0</v>
      </c>
      <c r="BR73" s="42">
        <f t="shared" si="137"/>
        <v>0</v>
      </c>
      <c r="BS73">
        <f t="shared" si="138"/>
        <v>0</v>
      </c>
      <c r="BT73" s="44">
        <f t="shared" ref="BT73:BT136" si="149">BS73+BR73</f>
        <v>0</v>
      </c>
      <c r="BU73" s="42">
        <f t="shared" si="114"/>
        <v>3.3003946666666679E-2</v>
      </c>
      <c r="BV73">
        <f t="shared" si="115"/>
        <v>0.23625000000000002</v>
      </c>
      <c r="BW73" s="44">
        <f t="shared" si="116"/>
        <v>1.0800000000000001E-2</v>
      </c>
      <c r="BX73">
        <f t="shared" si="139"/>
        <v>0.75900657777777791</v>
      </c>
      <c r="BY73">
        <f t="shared" si="140"/>
        <v>7.2461175444791239</v>
      </c>
      <c r="BZ73">
        <f t="shared" si="141"/>
        <v>82.928668241834032</v>
      </c>
    </row>
    <row r="74" spans="17:78" x14ac:dyDescent="0.3">
      <c r="Q74">
        <v>67</v>
      </c>
      <c r="R74" s="42">
        <f t="shared" si="94"/>
        <v>35.733333333333334</v>
      </c>
      <c r="S74">
        <f t="shared" si="95"/>
        <v>24</v>
      </c>
      <c r="T74" s="44">
        <f t="shared" si="96"/>
        <v>1.4888888888888889</v>
      </c>
      <c r="U74" s="42">
        <f t="shared" si="97"/>
        <v>2</v>
      </c>
      <c r="V74">
        <f t="shared" si="98"/>
        <v>0.4</v>
      </c>
      <c r="W74">
        <f t="shared" si="99"/>
        <v>0.6</v>
      </c>
      <c r="X74">
        <f t="shared" si="117"/>
        <v>0</v>
      </c>
      <c r="Y74" s="42">
        <f t="shared" si="118"/>
        <v>3.7222222222222219</v>
      </c>
      <c r="Z74">
        <f t="shared" si="100"/>
        <v>1.9200000000000004</v>
      </c>
      <c r="AA74">
        <f t="shared" si="119"/>
        <v>4.6822222222222223</v>
      </c>
      <c r="AB74" s="44">
        <f t="shared" si="101"/>
        <v>2.3800956511539564</v>
      </c>
      <c r="AC74" s="42">
        <v>0</v>
      </c>
      <c r="AD74">
        <f t="shared" si="102"/>
        <v>5.6648553086419751E-2</v>
      </c>
      <c r="AE74" s="44">
        <f t="shared" si="120"/>
        <v>5.6648553086419751E-2</v>
      </c>
      <c r="AF74" s="42">
        <f t="shared" si="103"/>
        <v>0.71466666666666667</v>
      </c>
      <c r="AG74" s="44">
        <f t="shared" si="104"/>
        <v>0.71466666666666667</v>
      </c>
      <c r="AH74" s="42">
        <f t="shared" si="105"/>
        <v>0</v>
      </c>
      <c r="AI74">
        <f t="shared" si="106"/>
        <v>1.4582410112473267</v>
      </c>
      <c r="AJ74" s="44">
        <f t="shared" si="121"/>
        <v>1.4582410112473267</v>
      </c>
      <c r="AK74" s="42">
        <f t="shared" si="107"/>
        <v>35.733333333333334</v>
      </c>
      <c r="AL74">
        <f t="shared" si="108"/>
        <v>160</v>
      </c>
      <c r="AM74" s="44">
        <f t="shared" si="122"/>
        <v>0.22333333333333333</v>
      </c>
      <c r="AN74" s="42">
        <f t="shared" si="123"/>
        <v>2</v>
      </c>
      <c r="AO74">
        <f t="shared" si="124"/>
        <v>0.6000000000000002</v>
      </c>
      <c r="AP74">
        <f t="shared" si="125"/>
        <v>0.37222222222222212</v>
      </c>
      <c r="AQ74">
        <f t="shared" si="126"/>
        <v>0.19200000000000006</v>
      </c>
      <c r="AR74">
        <f t="shared" si="142"/>
        <v>0.46822222222222215</v>
      </c>
      <c r="AS74" s="44">
        <f t="shared" si="143"/>
        <v>0.2915009942172232</v>
      </c>
      <c r="AT74" s="42"/>
      <c r="AU74">
        <f t="shared" si="127"/>
        <v>5.9853333333333332E-4</v>
      </c>
      <c r="AV74" s="44">
        <f t="shared" si="144"/>
        <v>5.9853333333333332E-4</v>
      </c>
      <c r="AW74" s="42">
        <f t="shared" si="128"/>
        <v>4</v>
      </c>
      <c r="AX74">
        <f t="shared" si="129"/>
        <v>6.699999999999999E-2</v>
      </c>
      <c r="AY74" s="44">
        <f t="shared" si="145"/>
        <v>4.0670000000000002</v>
      </c>
      <c r="AZ74" s="42">
        <f t="shared" si="109"/>
        <v>0</v>
      </c>
      <c r="BA74">
        <f t="shared" si="110"/>
        <v>0</v>
      </c>
      <c r="BB74">
        <f t="shared" si="146"/>
        <v>0</v>
      </c>
      <c r="BC74" s="44">
        <f t="shared" si="130"/>
        <v>0</v>
      </c>
      <c r="BD74" s="42">
        <v>0</v>
      </c>
      <c r="BE74">
        <f t="shared" si="131"/>
        <v>0</v>
      </c>
      <c r="BF74" s="44">
        <f t="shared" si="147"/>
        <v>0</v>
      </c>
      <c r="BG74" s="42">
        <f t="shared" si="132"/>
        <v>0</v>
      </c>
      <c r="BH74">
        <f t="shared" si="133"/>
        <v>0</v>
      </c>
      <c r="BI74" s="44">
        <f t="shared" si="134"/>
        <v>0</v>
      </c>
      <c r="BK74" s="42">
        <f t="shared" si="111"/>
        <v>0</v>
      </c>
      <c r="BL74">
        <f t="shared" si="112"/>
        <v>0</v>
      </c>
      <c r="BM74">
        <f t="shared" si="113"/>
        <v>0</v>
      </c>
      <c r="BN74" s="44">
        <f t="shared" si="135"/>
        <v>0</v>
      </c>
      <c r="BO74" s="42">
        <v>0</v>
      </c>
      <c r="BP74">
        <f t="shared" si="136"/>
        <v>0</v>
      </c>
      <c r="BQ74" s="44">
        <f t="shared" si="148"/>
        <v>0</v>
      </c>
      <c r="BR74" s="42">
        <f t="shared" si="137"/>
        <v>0</v>
      </c>
      <c r="BS74">
        <f t="shared" si="138"/>
        <v>0</v>
      </c>
      <c r="BT74" s="44">
        <f t="shared" si="149"/>
        <v>0</v>
      </c>
      <c r="BU74" s="42">
        <f t="shared" si="114"/>
        <v>3.3989131851851852E-2</v>
      </c>
      <c r="BV74">
        <f t="shared" si="115"/>
        <v>0.23625000000000002</v>
      </c>
      <c r="BW74" s="44">
        <f t="shared" si="116"/>
        <v>1.0800000000000001E-2</v>
      </c>
      <c r="BX74">
        <f t="shared" si="139"/>
        <v>0.77131521975308637</v>
      </c>
      <c r="BY74">
        <f t="shared" si="140"/>
        <v>7.2928605628522654</v>
      </c>
      <c r="BZ74">
        <f t="shared" si="141"/>
        <v>83.050184312261919</v>
      </c>
    </row>
    <row r="75" spans="17:78" x14ac:dyDescent="0.3">
      <c r="Q75">
        <v>68</v>
      </c>
      <c r="R75" s="42">
        <f t="shared" si="94"/>
        <v>36.266666666666666</v>
      </c>
      <c r="S75">
        <f t="shared" si="95"/>
        <v>24</v>
      </c>
      <c r="T75" s="44">
        <f t="shared" si="96"/>
        <v>1.5111111111111111</v>
      </c>
      <c r="U75" s="42">
        <f t="shared" si="97"/>
        <v>2</v>
      </c>
      <c r="V75">
        <f t="shared" si="98"/>
        <v>0.4</v>
      </c>
      <c r="W75">
        <f t="shared" si="99"/>
        <v>0.6</v>
      </c>
      <c r="X75">
        <f t="shared" si="117"/>
        <v>0</v>
      </c>
      <c r="Y75" s="42">
        <f t="shared" si="118"/>
        <v>3.7777777777777772</v>
      </c>
      <c r="Z75">
        <f t="shared" si="100"/>
        <v>1.9200000000000004</v>
      </c>
      <c r="AA75">
        <f t="shared" si="119"/>
        <v>4.7377777777777776</v>
      </c>
      <c r="AB75" s="44">
        <f t="shared" si="101"/>
        <v>2.4148544418470941</v>
      </c>
      <c r="AC75" s="42">
        <v>0</v>
      </c>
      <c r="AD75">
        <f t="shared" si="102"/>
        <v>5.8315219753086407E-2</v>
      </c>
      <c r="AE75" s="44">
        <f t="shared" si="120"/>
        <v>5.8315219753086407E-2</v>
      </c>
      <c r="AF75" s="42">
        <f t="shared" si="103"/>
        <v>0.72533333333333327</v>
      </c>
      <c r="AG75" s="44">
        <f t="shared" si="104"/>
        <v>0.72533333333333327</v>
      </c>
      <c r="AH75" s="42">
        <f t="shared" si="105"/>
        <v>0</v>
      </c>
      <c r="AI75">
        <f t="shared" si="106"/>
        <v>1.4800058024599729</v>
      </c>
      <c r="AJ75" s="44">
        <f t="shared" si="121"/>
        <v>1.4800058024599729</v>
      </c>
      <c r="AK75" s="42">
        <f t="shared" si="107"/>
        <v>36.266666666666666</v>
      </c>
      <c r="AL75">
        <f t="shared" si="108"/>
        <v>160</v>
      </c>
      <c r="AM75" s="44">
        <f t="shared" si="122"/>
        <v>0.22666666666666666</v>
      </c>
      <c r="AN75" s="42">
        <f t="shared" si="123"/>
        <v>2</v>
      </c>
      <c r="AO75">
        <f t="shared" si="124"/>
        <v>0.6</v>
      </c>
      <c r="AP75">
        <f t="shared" si="125"/>
        <v>0.37777777777777777</v>
      </c>
      <c r="AQ75">
        <f t="shared" si="126"/>
        <v>0.192</v>
      </c>
      <c r="AR75">
        <f t="shared" si="142"/>
        <v>0.47377777777777774</v>
      </c>
      <c r="AS75" s="44">
        <f t="shared" si="143"/>
        <v>0.29575805928094268</v>
      </c>
      <c r="AT75" s="42"/>
      <c r="AU75">
        <f t="shared" si="127"/>
        <v>6.1653333333333332E-4</v>
      </c>
      <c r="AV75" s="44">
        <f t="shared" si="144"/>
        <v>6.1653333333333332E-4</v>
      </c>
      <c r="AW75" s="42">
        <f t="shared" si="128"/>
        <v>4</v>
      </c>
      <c r="AX75">
        <f t="shared" si="129"/>
        <v>6.7999999999999991E-2</v>
      </c>
      <c r="AY75" s="44">
        <f t="shared" si="145"/>
        <v>4.0679999999999996</v>
      </c>
      <c r="AZ75" s="42">
        <f t="shared" si="109"/>
        <v>0</v>
      </c>
      <c r="BA75">
        <f t="shared" si="110"/>
        <v>0</v>
      </c>
      <c r="BB75">
        <f t="shared" si="146"/>
        <v>0</v>
      </c>
      <c r="BC75" s="44">
        <f t="shared" si="130"/>
        <v>0</v>
      </c>
      <c r="BD75" s="42">
        <v>0</v>
      </c>
      <c r="BE75">
        <f t="shared" si="131"/>
        <v>0</v>
      </c>
      <c r="BF75" s="44">
        <f t="shared" si="147"/>
        <v>0</v>
      </c>
      <c r="BG75" s="42">
        <f t="shared" si="132"/>
        <v>0</v>
      </c>
      <c r="BH75">
        <f t="shared" si="133"/>
        <v>0</v>
      </c>
      <c r="BI75" s="44">
        <f t="shared" si="134"/>
        <v>0</v>
      </c>
      <c r="BK75" s="42">
        <f t="shared" si="111"/>
        <v>0</v>
      </c>
      <c r="BL75">
        <f t="shared" si="112"/>
        <v>0</v>
      </c>
      <c r="BM75">
        <f t="shared" si="113"/>
        <v>0</v>
      </c>
      <c r="BN75" s="44">
        <f t="shared" si="135"/>
        <v>0</v>
      </c>
      <c r="BO75" s="42">
        <v>0</v>
      </c>
      <c r="BP75">
        <f t="shared" si="136"/>
        <v>0</v>
      </c>
      <c r="BQ75" s="44">
        <f t="shared" si="148"/>
        <v>0</v>
      </c>
      <c r="BR75" s="42">
        <f t="shared" si="137"/>
        <v>0</v>
      </c>
      <c r="BS75">
        <f t="shared" si="138"/>
        <v>0</v>
      </c>
      <c r="BT75" s="44">
        <f t="shared" si="149"/>
        <v>0</v>
      </c>
      <c r="BU75" s="42">
        <f t="shared" si="114"/>
        <v>3.4989131851851846E-2</v>
      </c>
      <c r="BV75">
        <f t="shared" si="115"/>
        <v>0.23625000000000002</v>
      </c>
      <c r="BW75" s="44">
        <f t="shared" si="116"/>
        <v>1.0800000000000001E-2</v>
      </c>
      <c r="BX75">
        <f t="shared" si="139"/>
        <v>0.78364855308641967</v>
      </c>
      <c r="BY75">
        <f t="shared" si="140"/>
        <v>7.3396433540649104</v>
      </c>
      <c r="BZ75">
        <f t="shared" si="141"/>
        <v>83.168391568615974</v>
      </c>
    </row>
    <row r="76" spans="17:78" x14ac:dyDescent="0.3">
      <c r="Q76">
        <v>69</v>
      </c>
      <c r="R76" s="42">
        <f t="shared" si="94"/>
        <v>36.799999999999997</v>
      </c>
      <c r="S76">
        <f t="shared" si="95"/>
        <v>24</v>
      </c>
      <c r="T76" s="44">
        <f t="shared" si="96"/>
        <v>1.5333333333333332</v>
      </c>
      <c r="U76" s="42">
        <f t="shared" si="97"/>
        <v>2</v>
      </c>
      <c r="V76">
        <f t="shared" si="98"/>
        <v>0.4</v>
      </c>
      <c r="W76">
        <f t="shared" si="99"/>
        <v>0.6</v>
      </c>
      <c r="X76">
        <f t="shared" si="117"/>
        <v>0</v>
      </c>
      <c r="Y76" s="42">
        <f t="shared" si="118"/>
        <v>3.8333333333333326</v>
      </c>
      <c r="Z76">
        <f t="shared" si="100"/>
        <v>1.9200000000000004</v>
      </c>
      <c r="AA76">
        <f t="shared" si="119"/>
        <v>4.793333333333333</v>
      </c>
      <c r="AB76" s="44">
        <f t="shared" si="101"/>
        <v>2.4496240074300739</v>
      </c>
      <c r="AC76" s="42">
        <v>0</v>
      </c>
      <c r="AD76">
        <f t="shared" si="102"/>
        <v>6.000657777777775E-2</v>
      </c>
      <c r="AE76" s="44">
        <f t="shared" si="120"/>
        <v>6.000657777777775E-2</v>
      </c>
      <c r="AF76" s="42">
        <f t="shared" si="103"/>
        <v>0.73599999999999999</v>
      </c>
      <c r="AG76" s="44">
        <f t="shared" si="104"/>
        <v>0.73599999999999999</v>
      </c>
      <c r="AH76" s="42">
        <f t="shared" si="105"/>
        <v>0</v>
      </c>
      <c r="AI76">
        <f t="shared" si="106"/>
        <v>1.5017705936726198</v>
      </c>
      <c r="AJ76" s="44">
        <f t="shared" si="121"/>
        <v>1.5017705936726198</v>
      </c>
      <c r="AK76" s="42">
        <f t="shared" si="107"/>
        <v>36.799999999999997</v>
      </c>
      <c r="AL76">
        <f t="shared" si="108"/>
        <v>160</v>
      </c>
      <c r="AM76" s="44">
        <f t="shared" si="122"/>
        <v>0.22999999999999998</v>
      </c>
      <c r="AN76" s="42">
        <f t="shared" si="123"/>
        <v>2</v>
      </c>
      <c r="AO76">
        <f t="shared" si="124"/>
        <v>0.60000000000000009</v>
      </c>
      <c r="AP76">
        <f t="shared" si="125"/>
        <v>0.38333333333333325</v>
      </c>
      <c r="AQ76">
        <f t="shared" si="126"/>
        <v>0.19200000000000003</v>
      </c>
      <c r="AR76">
        <f t="shared" si="142"/>
        <v>0.47933333333333328</v>
      </c>
      <c r="AS76" s="44">
        <f t="shared" si="143"/>
        <v>0.30001644399376948</v>
      </c>
      <c r="AT76" s="42"/>
      <c r="AU76">
        <f t="shared" si="127"/>
        <v>6.3479999999999993E-4</v>
      </c>
      <c r="AV76" s="44">
        <f t="shared" si="144"/>
        <v>6.3479999999999993E-4</v>
      </c>
      <c r="AW76" s="42">
        <f t="shared" si="128"/>
        <v>4</v>
      </c>
      <c r="AX76">
        <f t="shared" si="129"/>
        <v>6.8999999999999992E-2</v>
      </c>
      <c r="AY76" s="44">
        <f t="shared" si="145"/>
        <v>4.069</v>
      </c>
      <c r="AZ76" s="42">
        <f t="shared" si="109"/>
        <v>0</v>
      </c>
      <c r="BA76">
        <f t="shared" si="110"/>
        <v>0</v>
      </c>
      <c r="BB76">
        <f t="shared" si="146"/>
        <v>0</v>
      </c>
      <c r="BC76" s="44">
        <f t="shared" si="130"/>
        <v>0</v>
      </c>
      <c r="BD76" s="42">
        <v>0</v>
      </c>
      <c r="BE76">
        <f t="shared" si="131"/>
        <v>0</v>
      </c>
      <c r="BF76" s="44">
        <f t="shared" si="147"/>
        <v>0</v>
      </c>
      <c r="BG76" s="42">
        <f t="shared" si="132"/>
        <v>0</v>
      </c>
      <c r="BH76">
        <f t="shared" si="133"/>
        <v>0</v>
      </c>
      <c r="BI76" s="44">
        <f t="shared" si="134"/>
        <v>0</v>
      </c>
      <c r="BK76" s="42">
        <f t="shared" si="111"/>
        <v>0</v>
      </c>
      <c r="BL76">
        <f t="shared" si="112"/>
        <v>0</v>
      </c>
      <c r="BM76">
        <f t="shared" si="113"/>
        <v>0</v>
      </c>
      <c r="BN76" s="44">
        <f t="shared" si="135"/>
        <v>0</v>
      </c>
      <c r="BO76" s="42">
        <v>0</v>
      </c>
      <c r="BP76">
        <f t="shared" si="136"/>
        <v>0</v>
      </c>
      <c r="BQ76" s="44">
        <f t="shared" si="148"/>
        <v>0</v>
      </c>
      <c r="BR76" s="42">
        <f t="shared" si="137"/>
        <v>0</v>
      </c>
      <c r="BS76">
        <f t="shared" si="138"/>
        <v>0</v>
      </c>
      <c r="BT76" s="44">
        <f t="shared" si="149"/>
        <v>0</v>
      </c>
      <c r="BU76" s="42">
        <f t="shared" si="114"/>
        <v>3.6003946666666647E-2</v>
      </c>
      <c r="BV76">
        <f t="shared" si="115"/>
        <v>0.23625000000000002</v>
      </c>
      <c r="BW76" s="44">
        <f t="shared" si="116"/>
        <v>1.0800000000000001E-2</v>
      </c>
      <c r="BX76">
        <f t="shared" si="139"/>
        <v>0.79600657777777772</v>
      </c>
      <c r="BY76">
        <f t="shared" si="140"/>
        <v>7.3864659181170644</v>
      </c>
      <c r="BZ76">
        <f t="shared" si="141"/>
        <v>83.283420014162047</v>
      </c>
    </row>
    <row r="77" spans="17:78" x14ac:dyDescent="0.3">
      <c r="Q77">
        <v>70</v>
      </c>
      <c r="R77" s="42">
        <f t="shared" si="94"/>
        <v>37.333333333333336</v>
      </c>
      <c r="S77">
        <f t="shared" si="95"/>
        <v>24</v>
      </c>
      <c r="T77" s="44">
        <f t="shared" si="96"/>
        <v>1.5555555555555556</v>
      </c>
      <c r="U77" s="42">
        <f t="shared" si="97"/>
        <v>2</v>
      </c>
      <c r="V77">
        <f t="shared" si="98"/>
        <v>0.4</v>
      </c>
      <c r="W77">
        <f t="shared" si="99"/>
        <v>0.6</v>
      </c>
      <c r="X77">
        <f t="shared" si="117"/>
        <v>0</v>
      </c>
      <c r="Y77" s="42">
        <f t="shared" si="118"/>
        <v>3.8888888888888884</v>
      </c>
      <c r="Z77">
        <f t="shared" si="100"/>
        <v>1.9200000000000004</v>
      </c>
      <c r="AA77">
        <f t="shared" si="119"/>
        <v>4.8488888888888884</v>
      </c>
      <c r="AB77" s="44">
        <f t="shared" si="101"/>
        <v>2.4844038955148537</v>
      </c>
      <c r="AC77" s="42">
        <v>0</v>
      </c>
      <c r="AD77">
        <f t="shared" si="102"/>
        <v>6.1722627160493808E-2</v>
      </c>
      <c r="AE77" s="44">
        <f t="shared" si="120"/>
        <v>6.1722627160493808E-2</v>
      </c>
      <c r="AF77" s="42">
        <f t="shared" si="103"/>
        <v>0.7466666666666667</v>
      </c>
      <c r="AG77" s="44">
        <f t="shared" si="104"/>
        <v>0.7466666666666667</v>
      </c>
      <c r="AH77" s="42">
        <f t="shared" si="105"/>
        <v>0</v>
      </c>
      <c r="AI77">
        <f t="shared" si="106"/>
        <v>1.5235353848852666</v>
      </c>
      <c r="AJ77" s="44">
        <f t="shared" si="121"/>
        <v>1.5235353848852666</v>
      </c>
      <c r="AK77" s="42">
        <f t="shared" si="107"/>
        <v>37.333333333333336</v>
      </c>
      <c r="AL77">
        <f t="shared" si="108"/>
        <v>160</v>
      </c>
      <c r="AM77" s="44">
        <f t="shared" si="122"/>
        <v>0.23333333333333334</v>
      </c>
      <c r="AN77" s="42">
        <f t="shared" si="123"/>
        <v>2</v>
      </c>
      <c r="AO77">
        <f t="shared" si="124"/>
        <v>0.6000000000000002</v>
      </c>
      <c r="AP77">
        <f t="shared" si="125"/>
        <v>0.38888888888888878</v>
      </c>
      <c r="AQ77">
        <f t="shared" si="126"/>
        <v>0.19200000000000006</v>
      </c>
      <c r="AR77">
        <f t="shared" si="142"/>
        <v>0.48488888888888881</v>
      </c>
      <c r="AS77" s="44">
        <f t="shared" si="143"/>
        <v>0.30427609294971025</v>
      </c>
      <c r="AT77" s="42"/>
      <c r="AU77">
        <f t="shared" si="127"/>
        <v>6.5333333333333335E-4</v>
      </c>
      <c r="AV77" s="44">
        <f t="shared" si="144"/>
        <v>6.5333333333333335E-4</v>
      </c>
      <c r="AW77" s="42">
        <f t="shared" si="128"/>
        <v>4</v>
      </c>
      <c r="AX77">
        <f t="shared" si="129"/>
        <v>6.9999999999999993E-2</v>
      </c>
      <c r="AY77" s="44">
        <f t="shared" si="145"/>
        <v>4.07</v>
      </c>
      <c r="AZ77" s="42">
        <f t="shared" si="109"/>
        <v>0</v>
      </c>
      <c r="BA77">
        <f t="shared" si="110"/>
        <v>0</v>
      </c>
      <c r="BB77">
        <f t="shared" si="146"/>
        <v>0</v>
      </c>
      <c r="BC77" s="44">
        <f t="shared" si="130"/>
        <v>0</v>
      </c>
      <c r="BD77" s="42">
        <v>0</v>
      </c>
      <c r="BE77">
        <f t="shared" si="131"/>
        <v>0</v>
      </c>
      <c r="BF77" s="44">
        <f t="shared" si="147"/>
        <v>0</v>
      </c>
      <c r="BG77" s="42">
        <f t="shared" si="132"/>
        <v>0</v>
      </c>
      <c r="BH77">
        <f t="shared" si="133"/>
        <v>0</v>
      </c>
      <c r="BI77" s="44">
        <f t="shared" si="134"/>
        <v>0</v>
      </c>
      <c r="BK77" s="42">
        <f t="shared" si="111"/>
        <v>0</v>
      </c>
      <c r="BL77">
        <f t="shared" si="112"/>
        <v>0</v>
      </c>
      <c r="BM77">
        <f t="shared" si="113"/>
        <v>0</v>
      </c>
      <c r="BN77" s="44">
        <f t="shared" si="135"/>
        <v>0</v>
      </c>
      <c r="BO77" s="42">
        <v>0</v>
      </c>
      <c r="BP77">
        <f t="shared" si="136"/>
        <v>0</v>
      </c>
      <c r="BQ77" s="44">
        <f t="shared" si="148"/>
        <v>0</v>
      </c>
      <c r="BR77" s="42">
        <f t="shared" si="137"/>
        <v>0</v>
      </c>
      <c r="BS77">
        <f t="shared" si="138"/>
        <v>0</v>
      </c>
      <c r="BT77" s="44">
        <f t="shared" si="149"/>
        <v>0</v>
      </c>
      <c r="BU77" s="42">
        <f t="shared" si="114"/>
        <v>3.7033576296296285E-2</v>
      </c>
      <c r="BV77">
        <f t="shared" si="115"/>
        <v>0.23625000000000002</v>
      </c>
      <c r="BW77" s="44">
        <f t="shared" si="116"/>
        <v>1.0800000000000001E-2</v>
      </c>
      <c r="BX77">
        <f t="shared" si="139"/>
        <v>0.80838929382716052</v>
      </c>
      <c r="BY77">
        <f t="shared" si="140"/>
        <v>7.4333282550087247</v>
      </c>
      <c r="BZ77">
        <f t="shared" si="141"/>
        <v>83.39539293020573</v>
      </c>
    </row>
    <row r="78" spans="17:78" x14ac:dyDescent="0.3">
      <c r="Q78">
        <v>71</v>
      </c>
      <c r="R78" s="42">
        <f t="shared" si="94"/>
        <v>37.866666666666667</v>
      </c>
      <c r="S78">
        <f t="shared" si="95"/>
        <v>24</v>
      </c>
      <c r="T78" s="44">
        <f t="shared" si="96"/>
        <v>1.5777777777777777</v>
      </c>
      <c r="U78" s="42">
        <f t="shared" si="97"/>
        <v>2</v>
      </c>
      <c r="V78">
        <f t="shared" si="98"/>
        <v>0.4</v>
      </c>
      <c r="W78">
        <f t="shared" si="99"/>
        <v>0.6</v>
      </c>
      <c r="X78">
        <f t="shared" si="117"/>
        <v>0</v>
      </c>
      <c r="Y78" s="42">
        <f t="shared" si="118"/>
        <v>3.9444444444444438</v>
      </c>
      <c r="Z78">
        <f t="shared" si="100"/>
        <v>1.9200000000000004</v>
      </c>
      <c r="AA78">
        <f t="shared" si="119"/>
        <v>4.9044444444444437</v>
      </c>
      <c r="AB78" s="44">
        <f t="shared" si="101"/>
        <v>2.5191936785653168</v>
      </c>
      <c r="AC78" s="42">
        <v>0</v>
      </c>
      <c r="AD78">
        <f t="shared" si="102"/>
        <v>6.3463367901234524E-2</v>
      </c>
      <c r="AE78" s="44">
        <f t="shared" si="120"/>
        <v>6.3463367901234524E-2</v>
      </c>
      <c r="AF78" s="42">
        <f t="shared" si="103"/>
        <v>0.75733333333333341</v>
      </c>
      <c r="AG78" s="44">
        <f t="shared" si="104"/>
        <v>0.75733333333333341</v>
      </c>
      <c r="AH78" s="42">
        <f t="shared" si="105"/>
        <v>0</v>
      </c>
      <c r="AI78">
        <f t="shared" si="106"/>
        <v>1.545300176097913</v>
      </c>
      <c r="AJ78" s="44">
        <f t="shared" si="121"/>
        <v>1.545300176097913</v>
      </c>
      <c r="AK78" s="42">
        <f t="shared" si="107"/>
        <v>37.866666666666667</v>
      </c>
      <c r="AL78">
        <f t="shared" si="108"/>
        <v>160</v>
      </c>
      <c r="AM78" s="44">
        <f t="shared" si="122"/>
        <v>0.23666666666666666</v>
      </c>
      <c r="AN78" s="42">
        <f t="shared" si="123"/>
        <v>2</v>
      </c>
      <c r="AO78">
        <f t="shared" si="124"/>
        <v>0.60000000000000009</v>
      </c>
      <c r="AP78">
        <f t="shared" si="125"/>
        <v>0.39444444444444438</v>
      </c>
      <c r="AQ78">
        <f t="shared" si="126"/>
        <v>0.19200000000000003</v>
      </c>
      <c r="AR78">
        <f t="shared" si="142"/>
        <v>0.49044444444444441</v>
      </c>
      <c r="AS78" s="44">
        <f t="shared" si="143"/>
        <v>0.30853695378649842</v>
      </c>
      <c r="AT78" s="42"/>
      <c r="AU78">
        <f t="shared" si="127"/>
        <v>6.7213333333333337E-4</v>
      </c>
      <c r="AV78" s="44">
        <f t="shared" si="144"/>
        <v>6.7213333333333337E-4</v>
      </c>
      <c r="AW78" s="42">
        <f t="shared" si="128"/>
        <v>4</v>
      </c>
      <c r="AX78">
        <f t="shared" si="129"/>
        <v>7.0999999999999994E-2</v>
      </c>
      <c r="AY78" s="44">
        <f t="shared" si="145"/>
        <v>4.0709999999999997</v>
      </c>
      <c r="AZ78" s="42">
        <f t="shared" si="109"/>
        <v>0</v>
      </c>
      <c r="BA78">
        <f t="shared" si="110"/>
        <v>0</v>
      </c>
      <c r="BB78">
        <f t="shared" si="146"/>
        <v>0</v>
      </c>
      <c r="BC78" s="44">
        <f t="shared" si="130"/>
        <v>0</v>
      </c>
      <c r="BD78" s="42">
        <v>0</v>
      </c>
      <c r="BE78">
        <f t="shared" si="131"/>
        <v>0</v>
      </c>
      <c r="BF78" s="44">
        <f t="shared" si="147"/>
        <v>0</v>
      </c>
      <c r="BG78" s="42">
        <f t="shared" si="132"/>
        <v>0</v>
      </c>
      <c r="BH78">
        <f t="shared" si="133"/>
        <v>0</v>
      </c>
      <c r="BI78" s="44">
        <f t="shared" si="134"/>
        <v>0</v>
      </c>
      <c r="BK78" s="42">
        <f t="shared" si="111"/>
        <v>0</v>
      </c>
      <c r="BL78">
        <f t="shared" si="112"/>
        <v>0</v>
      </c>
      <c r="BM78">
        <f t="shared" si="113"/>
        <v>0</v>
      </c>
      <c r="BN78" s="44">
        <f t="shared" si="135"/>
        <v>0</v>
      </c>
      <c r="BO78" s="42">
        <v>0</v>
      </c>
      <c r="BP78">
        <f t="shared" si="136"/>
        <v>0</v>
      </c>
      <c r="BQ78" s="44">
        <f t="shared" si="148"/>
        <v>0</v>
      </c>
      <c r="BR78" s="42">
        <f t="shared" si="137"/>
        <v>0</v>
      </c>
      <c r="BS78">
        <f t="shared" si="138"/>
        <v>0</v>
      </c>
      <c r="BT78" s="44">
        <f t="shared" si="149"/>
        <v>0</v>
      </c>
      <c r="BU78" s="42">
        <f t="shared" si="114"/>
        <v>3.8078020740740716E-2</v>
      </c>
      <c r="BV78">
        <f t="shared" si="115"/>
        <v>0.23625000000000002</v>
      </c>
      <c r="BW78" s="44">
        <f t="shared" si="116"/>
        <v>1.0800000000000001E-2</v>
      </c>
      <c r="BX78">
        <f t="shared" si="139"/>
        <v>0.82079670123456794</v>
      </c>
      <c r="BY78">
        <f t="shared" si="140"/>
        <v>7.4802303647398887</v>
      </c>
      <c r="BZ78">
        <f t="shared" si="141"/>
        <v>83.504427305005677</v>
      </c>
    </row>
    <row r="79" spans="17:78" x14ac:dyDescent="0.3">
      <c r="Q79">
        <v>72</v>
      </c>
      <c r="R79" s="42">
        <f t="shared" si="94"/>
        <v>38.4</v>
      </c>
      <c r="S79">
        <f t="shared" si="95"/>
        <v>24</v>
      </c>
      <c r="T79" s="44">
        <f t="shared" si="96"/>
        <v>1.5999999999999999</v>
      </c>
      <c r="U79" s="42">
        <f t="shared" si="97"/>
        <v>2</v>
      </c>
      <c r="V79">
        <f t="shared" si="98"/>
        <v>0.4</v>
      </c>
      <c r="W79">
        <f t="shared" si="99"/>
        <v>0.6</v>
      </c>
      <c r="X79">
        <f t="shared" si="117"/>
        <v>0</v>
      </c>
      <c r="Y79" s="42">
        <f t="shared" si="118"/>
        <v>3.9999999999999991</v>
      </c>
      <c r="Z79">
        <f t="shared" si="100"/>
        <v>1.9200000000000004</v>
      </c>
      <c r="AA79">
        <f t="shared" si="119"/>
        <v>4.9599999999999991</v>
      </c>
      <c r="AB79" s="44">
        <f t="shared" si="101"/>
        <v>2.5539929522220683</v>
      </c>
      <c r="AC79" s="42">
        <v>0</v>
      </c>
      <c r="AD79">
        <f t="shared" si="102"/>
        <v>6.5228799999999962E-2</v>
      </c>
      <c r="AE79" s="44">
        <f t="shared" si="120"/>
        <v>6.5228799999999962E-2</v>
      </c>
      <c r="AF79" s="42">
        <f t="shared" si="103"/>
        <v>0.76800000000000002</v>
      </c>
      <c r="AG79" s="44">
        <f t="shared" si="104"/>
        <v>0.76800000000000002</v>
      </c>
      <c r="AH79" s="42">
        <f t="shared" si="105"/>
        <v>0</v>
      </c>
      <c r="AI79">
        <f t="shared" si="106"/>
        <v>1.5670649673105597</v>
      </c>
      <c r="AJ79" s="44">
        <f t="shared" si="121"/>
        <v>1.5670649673105597</v>
      </c>
      <c r="AK79" s="42">
        <f t="shared" si="107"/>
        <v>38.4</v>
      </c>
      <c r="AL79">
        <f t="shared" si="108"/>
        <v>160</v>
      </c>
      <c r="AM79" s="44">
        <f t="shared" si="122"/>
        <v>0.24</v>
      </c>
      <c r="AN79" s="42">
        <f t="shared" si="123"/>
        <v>2</v>
      </c>
      <c r="AO79">
        <f t="shared" si="124"/>
        <v>0.60000000000000009</v>
      </c>
      <c r="AP79">
        <f t="shared" si="125"/>
        <v>0.39999999999999991</v>
      </c>
      <c r="AQ79">
        <f t="shared" si="126"/>
        <v>0.19200000000000003</v>
      </c>
      <c r="AR79">
        <f t="shared" si="142"/>
        <v>0.49599999999999994</v>
      </c>
      <c r="AS79" s="44">
        <f t="shared" si="143"/>
        <v>0.31279897698042425</v>
      </c>
      <c r="AT79" s="42"/>
      <c r="AU79">
        <f t="shared" si="127"/>
        <v>6.912E-4</v>
      </c>
      <c r="AV79" s="44">
        <f t="shared" si="144"/>
        <v>6.912E-4</v>
      </c>
      <c r="AW79" s="42">
        <f t="shared" si="128"/>
        <v>4</v>
      </c>
      <c r="AX79">
        <f t="shared" si="129"/>
        <v>7.1999999999999995E-2</v>
      </c>
      <c r="AY79" s="44">
        <f t="shared" si="145"/>
        <v>4.0720000000000001</v>
      </c>
      <c r="AZ79" s="42">
        <f t="shared" si="109"/>
        <v>0</v>
      </c>
      <c r="BA79">
        <f t="shared" si="110"/>
        <v>0</v>
      </c>
      <c r="BB79">
        <f t="shared" si="146"/>
        <v>0</v>
      </c>
      <c r="BC79" s="44">
        <f t="shared" si="130"/>
        <v>0</v>
      </c>
      <c r="BD79" s="42">
        <v>0</v>
      </c>
      <c r="BE79">
        <f t="shared" si="131"/>
        <v>0</v>
      </c>
      <c r="BF79" s="44">
        <f t="shared" si="147"/>
        <v>0</v>
      </c>
      <c r="BG79" s="42">
        <f t="shared" si="132"/>
        <v>0</v>
      </c>
      <c r="BH79">
        <f t="shared" si="133"/>
        <v>0</v>
      </c>
      <c r="BI79" s="44">
        <f t="shared" si="134"/>
        <v>0</v>
      </c>
      <c r="BK79" s="42">
        <f t="shared" si="111"/>
        <v>0</v>
      </c>
      <c r="BL79">
        <f t="shared" si="112"/>
        <v>0</v>
      </c>
      <c r="BM79">
        <f t="shared" si="113"/>
        <v>0</v>
      </c>
      <c r="BN79" s="44">
        <f t="shared" si="135"/>
        <v>0</v>
      </c>
      <c r="BO79" s="42">
        <v>0</v>
      </c>
      <c r="BP79">
        <f t="shared" si="136"/>
        <v>0</v>
      </c>
      <c r="BQ79" s="44">
        <f t="shared" si="148"/>
        <v>0</v>
      </c>
      <c r="BR79" s="42">
        <f t="shared" si="137"/>
        <v>0</v>
      </c>
      <c r="BS79">
        <f t="shared" si="138"/>
        <v>0</v>
      </c>
      <c r="BT79" s="44">
        <f t="shared" si="149"/>
        <v>0</v>
      </c>
      <c r="BU79" s="42">
        <f t="shared" si="114"/>
        <v>3.9137279999999976E-2</v>
      </c>
      <c r="BV79">
        <f t="shared" si="115"/>
        <v>0.23625000000000002</v>
      </c>
      <c r="BW79" s="44">
        <f t="shared" si="116"/>
        <v>1.0800000000000001E-2</v>
      </c>
      <c r="BX79">
        <f t="shared" si="139"/>
        <v>0.83322879999999999</v>
      </c>
      <c r="BY79">
        <f t="shared" si="140"/>
        <v>7.5271722473105598</v>
      </c>
      <c r="BZ79">
        <f t="shared" si="141"/>
        <v>83.610634230259322</v>
      </c>
    </row>
    <row r="80" spans="17:78" x14ac:dyDescent="0.3">
      <c r="Q80">
        <v>73</v>
      </c>
      <c r="R80" s="42">
        <f t="shared" si="94"/>
        <v>38.93333333333333</v>
      </c>
      <c r="S80">
        <f t="shared" si="95"/>
        <v>24</v>
      </c>
      <c r="T80" s="44">
        <f t="shared" si="96"/>
        <v>1.622222222222222</v>
      </c>
      <c r="U80" s="42">
        <f t="shared" si="97"/>
        <v>2</v>
      </c>
      <c r="V80">
        <f t="shared" si="98"/>
        <v>0.4</v>
      </c>
      <c r="W80">
        <f t="shared" si="99"/>
        <v>0.6</v>
      </c>
      <c r="X80">
        <f t="shared" si="117"/>
        <v>0</v>
      </c>
      <c r="Y80" s="42">
        <f t="shared" si="118"/>
        <v>4.0555555555555545</v>
      </c>
      <c r="Z80">
        <f t="shared" si="100"/>
        <v>1.9200000000000004</v>
      </c>
      <c r="AA80">
        <f t="shared" si="119"/>
        <v>5.0155555555555544</v>
      </c>
      <c r="AB80" s="44">
        <f t="shared" si="101"/>
        <v>2.5888013337602809</v>
      </c>
      <c r="AC80" s="42">
        <v>0</v>
      </c>
      <c r="AD80">
        <f t="shared" si="102"/>
        <v>6.7018923456790086E-2</v>
      </c>
      <c r="AE80" s="44">
        <f t="shared" si="120"/>
        <v>6.7018923456790086E-2</v>
      </c>
      <c r="AF80" s="42">
        <f t="shared" si="103"/>
        <v>0.77866666666666662</v>
      </c>
      <c r="AG80" s="44">
        <f t="shared" si="104"/>
        <v>0.77866666666666662</v>
      </c>
      <c r="AH80" s="42">
        <f t="shared" si="105"/>
        <v>0</v>
      </c>
      <c r="AI80">
        <f t="shared" si="106"/>
        <v>1.5888297585232063</v>
      </c>
      <c r="AJ80" s="44">
        <f t="shared" si="121"/>
        <v>1.5888297585232063</v>
      </c>
      <c r="AK80" s="42">
        <f t="shared" si="107"/>
        <v>38.93333333333333</v>
      </c>
      <c r="AL80">
        <f t="shared" si="108"/>
        <v>160</v>
      </c>
      <c r="AM80" s="44">
        <f t="shared" si="122"/>
        <v>0.24333333333333332</v>
      </c>
      <c r="AN80" s="42">
        <f t="shared" si="123"/>
        <v>2</v>
      </c>
      <c r="AO80">
        <f t="shared" si="124"/>
        <v>0.60000000000000009</v>
      </c>
      <c r="AP80">
        <f t="shared" si="125"/>
        <v>0.40555555555555545</v>
      </c>
      <c r="AQ80">
        <f t="shared" si="126"/>
        <v>0.19200000000000003</v>
      </c>
      <c r="AR80">
        <f t="shared" si="142"/>
        <v>0.50155555555555542</v>
      </c>
      <c r="AS80" s="44">
        <f t="shared" si="143"/>
        <v>0.31706211565746095</v>
      </c>
      <c r="AT80" s="42"/>
      <c r="AU80">
        <f t="shared" si="127"/>
        <v>7.1053333333333322E-4</v>
      </c>
      <c r="AV80" s="44">
        <f t="shared" si="144"/>
        <v>7.1053333333333322E-4</v>
      </c>
      <c r="AW80" s="42">
        <f t="shared" si="128"/>
        <v>4</v>
      </c>
      <c r="AX80">
        <f t="shared" si="129"/>
        <v>7.2999999999999995E-2</v>
      </c>
      <c r="AY80" s="44">
        <f t="shared" si="145"/>
        <v>4.0730000000000004</v>
      </c>
      <c r="AZ80" s="42">
        <f t="shared" si="109"/>
        <v>0</v>
      </c>
      <c r="BA80">
        <f t="shared" si="110"/>
        <v>0</v>
      </c>
      <c r="BB80">
        <f t="shared" si="146"/>
        <v>0</v>
      </c>
      <c r="BC80" s="44">
        <f t="shared" si="130"/>
        <v>0</v>
      </c>
      <c r="BD80" s="42">
        <v>0</v>
      </c>
      <c r="BE80">
        <f t="shared" si="131"/>
        <v>0</v>
      </c>
      <c r="BF80" s="44">
        <f t="shared" si="147"/>
        <v>0</v>
      </c>
      <c r="BG80" s="42">
        <f t="shared" si="132"/>
        <v>0</v>
      </c>
      <c r="BH80">
        <f t="shared" si="133"/>
        <v>0</v>
      </c>
      <c r="BI80" s="44">
        <f t="shared" si="134"/>
        <v>0</v>
      </c>
      <c r="BK80" s="42">
        <f t="shared" si="111"/>
        <v>0</v>
      </c>
      <c r="BL80">
        <f t="shared" si="112"/>
        <v>0</v>
      </c>
      <c r="BM80">
        <f t="shared" si="113"/>
        <v>0</v>
      </c>
      <c r="BN80" s="44">
        <f t="shared" ref="BN80:BN111" si="150">IF(EN_OUT_3=1,BK80/BL80,0)</f>
        <v>0</v>
      </c>
      <c r="BO80" s="42">
        <v>0</v>
      </c>
      <c r="BP80">
        <f t="shared" si="136"/>
        <v>0</v>
      </c>
      <c r="BQ80" s="44">
        <f t="shared" si="148"/>
        <v>0</v>
      </c>
      <c r="BR80" s="42">
        <f t="shared" si="137"/>
        <v>0</v>
      </c>
      <c r="BS80">
        <f t="shared" si="138"/>
        <v>0</v>
      </c>
      <c r="BT80" s="44">
        <f t="shared" si="149"/>
        <v>0</v>
      </c>
      <c r="BU80" s="42">
        <f t="shared" si="114"/>
        <v>4.0211354074074057E-2</v>
      </c>
      <c r="BV80">
        <f t="shared" si="115"/>
        <v>0.23625000000000002</v>
      </c>
      <c r="BW80" s="44">
        <f t="shared" si="116"/>
        <v>1.0800000000000001E-2</v>
      </c>
      <c r="BX80">
        <f t="shared" si="139"/>
        <v>0.84568559012345668</v>
      </c>
      <c r="BY80">
        <f t="shared" si="140"/>
        <v>7.5741539027207381</v>
      </c>
      <c r="BZ80">
        <f t="shared" si="141"/>
        <v>83.714119267985282</v>
      </c>
    </row>
    <row r="81" spans="17:78" x14ac:dyDescent="0.3">
      <c r="Q81">
        <v>74</v>
      </c>
      <c r="R81" s="42">
        <f t="shared" si="94"/>
        <v>39.466666666666669</v>
      </c>
      <c r="S81">
        <f t="shared" si="95"/>
        <v>24</v>
      </c>
      <c r="T81" s="44">
        <f t="shared" si="96"/>
        <v>1.6444444444444446</v>
      </c>
      <c r="U81" s="42">
        <f t="shared" si="97"/>
        <v>2</v>
      </c>
      <c r="V81">
        <f t="shared" si="98"/>
        <v>0.4</v>
      </c>
      <c r="W81">
        <f t="shared" si="99"/>
        <v>0.6</v>
      </c>
      <c r="X81">
        <f t="shared" si="117"/>
        <v>0</v>
      </c>
      <c r="Y81" s="42">
        <f t="shared" si="118"/>
        <v>4.1111111111111107</v>
      </c>
      <c r="Z81">
        <f t="shared" si="100"/>
        <v>1.9200000000000004</v>
      </c>
      <c r="AA81">
        <f t="shared" si="119"/>
        <v>5.0711111111111107</v>
      </c>
      <c r="AB81" s="44">
        <f t="shared" si="101"/>
        <v>2.6236184606684891</v>
      </c>
      <c r="AC81" s="42">
        <v>0</v>
      </c>
      <c r="AD81">
        <f t="shared" si="102"/>
        <v>6.8833738271604925E-2</v>
      </c>
      <c r="AE81" s="44">
        <f t="shared" si="120"/>
        <v>6.8833738271604925E-2</v>
      </c>
      <c r="AF81" s="42">
        <f t="shared" si="103"/>
        <v>0.78933333333333344</v>
      </c>
      <c r="AG81" s="44">
        <f t="shared" si="104"/>
        <v>0.78933333333333344</v>
      </c>
      <c r="AH81" s="42">
        <f t="shared" si="105"/>
        <v>0</v>
      </c>
      <c r="AI81">
        <f t="shared" si="106"/>
        <v>1.6105945497358531</v>
      </c>
      <c r="AJ81" s="44">
        <f t="shared" si="121"/>
        <v>1.6105945497358531</v>
      </c>
      <c r="AK81" s="42">
        <f t="shared" si="107"/>
        <v>39.466666666666669</v>
      </c>
      <c r="AL81">
        <f t="shared" si="108"/>
        <v>160</v>
      </c>
      <c r="AM81" s="44">
        <f t="shared" si="122"/>
        <v>0.24666666666666667</v>
      </c>
      <c r="AN81" s="42">
        <f t="shared" si="123"/>
        <v>2</v>
      </c>
      <c r="AO81">
        <f t="shared" si="124"/>
        <v>0.60000000000000009</v>
      </c>
      <c r="AP81">
        <f t="shared" si="125"/>
        <v>0.41111111111111109</v>
      </c>
      <c r="AQ81">
        <f t="shared" si="126"/>
        <v>0.19200000000000003</v>
      </c>
      <c r="AR81">
        <f t="shared" si="142"/>
        <v>0.50711111111111107</v>
      </c>
      <c r="AS81" s="44">
        <f t="shared" si="143"/>
        <v>0.32132632541920281</v>
      </c>
      <c r="AT81" s="42"/>
      <c r="AU81">
        <f t="shared" si="127"/>
        <v>7.3013333333333348E-4</v>
      </c>
      <c r="AV81" s="44">
        <f t="shared" si="144"/>
        <v>7.3013333333333348E-4</v>
      </c>
      <c r="AW81" s="42">
        <f t="shared" si="128"/>
        <v>4</v>
      </c>
      <c r="AX81">
        <f t="shared" si="129"/>
        <v>7.3999999999999996E-2</v>
      </c>
      <c r="AY81" s="44">
        <f t="shared" si="145"/>
        <v>4.0739999999999998</v>
      </c>
      <c r="AZ81" s="42">
        <f t="shared" si="109"/>
        <v>0</v>
      </c>
      <c r="BA81">
        <f t="shared" si="110"/>
        <v>0</v>
      </c>
      <c r="BB81">
        <f t="shared" si="146"/>
        <v>0</v>
      </c>
      <c r="BC81" s="44">
        <f t="shared" si="130"/>
        <v>0</v>
      </c>
      <c r="BD81" s="42">
        <v>0</v>
      </c>
      <c r="BE81">
        <f t="shared" si="131"/>
        <v>0</v>
      </c>
      <c r="BF81" s="44">
        <f t="shared" si="147"/>
        <v>0</v>
      </c>
      <c r="BG81" s="42">
        <f t="shared" si="132"/>
        <v>0</v>
      </c>
      <c r="BH81">
        <f t="shared" si="133"/>
        <v>0</v>
      </c>
      <c r="BI81" s="44">
        <f t="shared" si="134"/>
        <v>0</v>
      </c>
      <c r="BK81" s="42">
        <f t="shared" si="111"/>
        <v>0</v>
      </c>
      <c r="BL81">
        <f t="shared" si="112"/>
        <v>0</v>
      </c>
      <c r="BM81">
        <f t="shared" si="113"/>
        <v>0</v>
      </c>
      <c r="BN81" s="44">
        <f t="shared" si="150"/>
        <v>0</v>
      </c>
      <c r="BO81" s="42">
        <v>0</v>
      </c>
      <c r="BP81">
        <f t="shared" si="136"/>
        <v>0</v>
      </c>
      <c r="BQ81" s="44">
        <f t="shared" si="148"/>
        <v>0</v>
      </c>
      <c r="BR81" s="42">
        <f t="shared" si="137"/>
        <v>0</v>
      </c>
      <c r="BS81">
        <f t="shared" si="138"/>
        <v>0</v>
      </c>
      <c r="BT81" s="44">
        <f t="shared" si="149"/>
        <v>0</v>
      </c>
      <c r="BU81" s="42">
        <f t="shared" si="114"/>
        <v>4.130024296296296E-2</v>
      </c>
      <c r="BV81">
        <f t="shared" si="115"/>
        <v>0.23625000000000002</v>
      </c>
      <c r="BW81" s="44">
        <f t="shared" si="116"/>
        <v>1.0800000000000001E-2</v>
      </c>
      <c r="BX81">
        <f t="shared" si="139"/>
        <v>0.85816707160493833</v>
      </c>
      <c r="BY81">
        <f t="shared" si="140"/>
        <v>7.6211753309704218</v>
      </c>
      <c r="BZ81">
        <f t="shared" si="141"/>
        <v>83.814982790349873</v>
      </c>
    </row>
    <row r="82" spans="17:78" x14ac:dyDescent="0.3">
      <c r="Q82">
        <v>75</v>
      </c>
      <c r="R82" s="42">
        <f t="shared" si="94"/>
        <v>40</v>
      </c>
      <c r="S82">
        <f t="shared" si="95"/>
        <v>24</v>
      </c>
      <c r="T82" s="44">
        <f t="shared" si="96"/>
        <v>1.6666666666666667</v>
      </c>
      <c r="U82" s="42">
        <f t="shared" si="97"/>
        <v>2</v>
      </c>
      <c r="V82">
        <f t="shared" si="98"/>
        <v>0.4</v>
      </c>
      <c r="W82">
        <f t="shared" si="99"/>
        <v>0.6</v>
      </c>
      <c r="X82">
        <f t="shared" si="117"/>
        <v>0</v>
      </c>
      <c r="Y82" s="42">
        <f t="shared" si="118"/>
        <v>4.1666666666666661</v>
      </c>
      <c r="Z82">
        <f t="shared" si="100"/>
        <v>1.9200000000000004</v>
      </c>
      <c r="AA82">
        <f t="shared" si="119"/>
        <v>5.126666666666666</v>
      </c>
      <c r="AB82" s="44">
        <f t="shared" si="101"/>
        <v>2.6584439893374547</v>
      </c>
      <c r="AC82" s="42">
        <v>0</v>
      </c>
      <c r="AD82">
        <f t="shared" si="102"/>
        <v>7.0673244444444422E-2</v>
      </c>
      <c r="AE82" s="44">
        <f t="shared" si="120"/>
        <v>7.0673244444444422E-2</v>
      </c>
      <c r="AF82" s="42">
        <f t="shared" si="103"/>
        <v>0.8</v>
      </c>
      <c r="AG82" s="44">
        <f t="shared" si="104"/>
        <v>0.8</v>
      </c>
      <c r="AH82" s="42">
        <f t="shared" si="105"/>
        <v>0</v>
      </c>
      <c r="AI82">
        <f t="shared" si="106"/>
        <v>1.6323593409484998</v>
      </c>
      <c r="AJ82" s="44">
        <f t="shared" si="121"/>
        <v>1.6323593409484998</v>
      </c>
      <c r="AK82" s="42">
        <f t="shared" si="107"/>
        <v>40</v>
      </c>
      <c r="AL82">
        <f t="shared" si="108"/>
        <v>160</v>
      </c>
      <c r="AM82" s="44">
        <f t="shared" si="122"/>
        <v>0.25</v>
      </c>
      <c r="AN82" s="42">
        <f t="shared" si="123"/>
        <v>2</v>
      </c>
      <c r="AO82">
        <f t="shared" si="124"/>
        <v>0.60000000000000009</v>
      </c>
      <c r="AP82">
        <f t="shared" si="125"/>
        <v>0.41666666666666657</v>
      </c>
      <c r="AQ82">
        <f t="shared" si="126"/>
        <v>0.19200000000000003</v>
      </c>
      <c r="AR82">
        <f t="shared" si="142"/>
        <v>0.5126666666666666</v>
      </c>
      <c r="AS82" s="44">
        <f t="shared" si="143"/>
        <v>0.32559156418228447</v>
      </c>
      <c r="AT82" s="42"/>
      <c r="AU82">
        <f t="shared" si="127"/>
        <v>7.5000000000000002E-4</v>
      </c>
      <c r="AV82" s="44">
        <f t="shared" si="144"/>
        <v>7.5000000000000002E-4</v>
      </c>
      <c r="AW82" s="42">
        <f t="shared" si="128"/>
        <v>4</v>
      </c>
      <c r="AX82">
        <f t="shared" si="129"/>
        <v>7.4999999999999997E-2</v>
      </c>
      <c r="AY82" s="44">
        <f t="shared" si="145"/>
        <v>4.0750000000000002</v>
      </c>
      <c r="AZ82" s="42">
        <f t="shared" si="109"/>
        <v>0</v>
      </c>
      <c r="BA82">
        <f t="shared" si="110"/>
        <v>0</v>
      </c>
      <c r="BB82">
        <f t="shared" si="146"/>
        <v>0</v>
      </c>
      <c r="BC82" s="44">
        <f t="shared" si="130"/>
        <v>0</v>
      </c>
      <c r="BD82" s="42">
        <v>0</v>
      </c>
      <c r="BE82">
        <f t="shared" si="131"/>
        <v>0</v>
      </c>
      <c r="BF82" s="44">
        <f t="shared" si="147"/>
        <v>0</v>
      </c>
      <c r="BG82" s="42">
        <f t="shared" si="132"/>
        <v>0</v>
      </c>
      <c r="BH82">
        <f t="shared" si="133"/>
        <v>0</v>
      </c>
      <c r="BI82" s="44">
        <f t="shared" si="134"/>
        <v>0</v>
      </c>
      <c r="BK82" s="42">
        <f t="shared" si="111"/>
        <v>0</v>
      </c>
      <c r="BL82">
        <f t="shared" si="112"/>
        <v>0</v>
      </c>
      <c r="BM82">
        <f t="shared" si="113"/>
        <v>0</v>
      </c>
      <c r="BN82" s="44">
        <f t="shared" si="150"/>
        <v>0</v>
      </c>
      <c r="BO82" s="42">
        <v>0</v>
      </c>
      <c r="BP82">
        <f t="shared" si="136"/>
        <v>0</v>
      </c>
      <c r="BQ82" s="44">
        <f t="shared" si="148"/>
        <v>0</v>
      </c>
      <c r="BR82" s="42">
        <f t="shared" si="137"/>
        <v>0</v>
      </c>
      <c r="BS82">
        <f t="shared" si="138"/>
        <v>0</v>
      </c>
      <c r="BT82" s="44">
        <f t="shared" si="149"/>
        <v>0</v>
      </c>
      <c r="BU82" s="42">
        <f t="shared" si="114"/>
        <v>4.240394666666665E-2</v>
      </c>
      <c r="BV82">
        <f t="shared" si="115"/>
        <v>0.23625000000000002</v>
      </c>
      <c r="BW82" s="44">
        <f t="shared" si="116"/>
        <v>1.0800000000000001E-2</v>
      </c>
      <c r="BX82">
        <f t="shared" si="139"/>
        <v>0.87067324444444449</v>
      </c>
      <c r="BY82">
        <f t="shared" si="140"/>
        <v>7.6682365320596109</v>
      </c>
      <c r="BZ82">
        <f t="shared" si="141"/>
        <v>83.913320294736977</v>
      </c>
    </row>
    <row r="83" spans="17:78" x14ac:dyDescent="0.3">
      <c r="Q83">
        <v>76</v>
      </c>
      <c r="R83" s="42">
        <f t="shared" si="94"/>
        <v>40.533333333333331</v>
      </c>
      <c r="S83">
        <f t="shared" si="95"/>
        <v>24</v>
      </c>
      <c r="T83" s="44">
        <f t="shared" si="96"/>
        <v>1.6888888888888889</v>
      </c>
      <c r="U83" s="42">
        <f t="shared" si="97"/>
        <v>2</v>
      </c>
      <c r="V83">
        <f t="shared" si="98"/>
        <v>0.4</v>
      </c>
      <c r="W83">
        <f t="shared" si="99"/>
        <v>0.6</v>
      </c>
      <c r="X83">
        <f t="shared" si="117"/>
        <v>0</v>
      </c>
      <c r="Y83" s="42">
        <f t="shared" si="118"/>
        <v>4.2222222222222214</v>
      </c>
      <c r="Z83">
        <f t="shared" si="100"/>
        <v>1.9200000000000004</v>
      </c>
      <c r="AA83">
        <f t="shared" si="119"/>
        <v>5.1822222222222214</v>
      </c>
      <c r="AB83" s="44">
        <f t="shared" si="101"/>
        <v>2.6932775938493347</v>
      </c>
      <c r="AC83" s="42">
        <v>0</v>
      </c>
      <c r="AD83">
        <f t="shared" si="102"/>
        <v>7.253744197530862E-2</v>
      </c>
      <c r="AE83" s="44">
        <f t="shared" si="120"/>
        <v>7.253744197530862E-2</v>
      </c>
      <c r="AF83" s="42">
        <f t="shared" si="103"/>
        <v>0.81066666666666665</v>
      </c>
      <c r="AG83" s="44">
        <f t="shared" si="104"/>
        <v>0.81066666666666665</v>
      </c>
      <c r="AH83" s="42">
        <f t="shared" si="105"/>
        <v>0</v>
      </c>
      <c r="AI83">
        <f t="shared" si="106"/>
        <v>1.6541241321611464</v>
      </c>
      <c r="AJ83" s="44">
        <f t="shared" si="121"/>
        <v>1.6541241321611464</v>
      </c>
      <c r="AK83" s="42">
        <f t="shared" si="107"/>
        <v>40.533333333333331</v>
      </c>
      <c r="AL83">
        <f t="shared" si="108"/>
        <v>160</v>
      </c>
      <c r="AM83" s="44">
        <f t="shared" si="122"/>
        <v>0.2533333333333333</v>
      </c>
      <c r="AN83" s="42">
        <f t="shared" si="123"/>
        <v>2</v>
      </c>
      <c r="AO83">
        <f t="shared" si="124"/>
        <v>0.6</v>
      </c>
      <c r="AP83">
        <f t="shared" si="125"/>
        <v>0.42222222222222217</v>
      </c>
      <c r="AQ83">
        <f t="shared" si="126"/>
        <v>0.192</v>
      </c>
      <c r="AR83">
        <f t="shared" si="142"/>
        <v>0.51822222222222214</v>
      </c>
      <c r="AS83" s="44">
        <f t="shared" si="143"/>
        <v>0.32985779203008514</v>
      </c>
      <c r="AT83" s="42"/>
      <c r="AU83">
        <f t="shared" si="127"/>
        <v>7.7013333333333315E-4</v>
      </c>
      <c r="AV83" s="44">
        <f t="shared" si="144"/>
        <v>7.7013333333333315E-4</v>
      </c>
      <c r="AW83" s="42">
        <f t="shared" si="128"/>
        <v>4</v>
      </c>
      <c r="AX83">
        <f t="shared" si="129"/>
        <v>7.5999999999999984E-2</v>
      </c>
      <c r="AY83" s="44">
        <f t="shared" si="145"/>
        <v>4.0759999999999996</v>
      </c>
      <c r="AZ83" s="42">
        <f t="shared" si="109"/>
        <v>0</v>
      </c>
      <c r="BA83">
        <f t="shared" si="110"/>
        <v>0</v>
      </c>
      <c r="BB83">
        <f t="shared" si="146"/>
        <v>0</v>
      </c>
      <c r="BC83" s="44">
        <f t="shared" si="130"/>
        <v>0</v>
      </c>
      <c r="BD83" s="42">
        <v>0</v>
      </c>
      <c r="BE83">
        <f t="shared" si="131"/>
        <v>0</v>
      </c>
      <c r="BF83" s="44">
        <f t="shared" si="147"/>
        <v>0</v>
      </c>
      <c r="BG83" s="42">
        <f t="shared" si="132"/>
        <v>0</v>
      </c>
      <c r="BH83">
        <f t="shared" si="133"/>
        <v>0</v>
      </c>
      <c r="BI83" s="44">
        <f t="shared" si="134"/>
        <v>0</v>
      </c>
      <c r="BK83" s="42">
        <f t="shared" si="111"/>
        <v>0</v>
      </c>
      <c r="BL83">
        <f t="shared" si="112"/>
        <v>0</v>
      </c>
      <c r="BM83">
        <f t="shared" si="113"/>
        <v>0</v>
      </c>
      <c r="BN83" s="44">
        <f t="shared" si="150"/>
        <v>0</v>
      </c>
      <c r="BO83" s="42">
        <v>0</v>
      </c>
      <c r="BP83">
        <f t="shared" si="136"/>
        <v>0</v>
      </c>
      <c r="BQ83" s="44">
        <f t="shared" si="148"/>
        <v>0</v>
      </c>
      <c r="BR83" s="42">
        <f t="shared" si="137"/>
        <v>0</v>
      </c>
      <c r="BS83">
        <f t="shared" si="138"/>
        <v>0</v>
      </c>
      <c r="BT83" s="44">
        <f t="shared" si="149"/>
        <v>0</v>
      </c>
      <c r="BU83" s="42">
        <f t="shared" si="114"/>
        <v>4.3522465185185176E-2</v>
      </c>
      <c r="BV83">
        <f t="shared" si="115"/>
        <v>0.23625000000000002</v>
      </c>
      <c r="BW83" s="44">
        <f t="shared" si="116"/>
        <v>1.0800000000000001E-2</v>
      </c>
      <c r="BX83">
        <f t="shared" si="139"/>
        <v>0.88320410864197529</v>
      </c>
      <c r="BY83">
        <f t="shared" si="140"/>
        <v>7.7153375059883054</v>
      </c>
      <c r="BZ83">
        <f t="shared" si="141"/>
        <v>84.009222696140128</v>
      </c>
    </row>
    <row r="84" spans="17:78" x14ac:dyDescent="0.3">
      <c r="Q84">
        <v>77</v>
      </c>
      <c r="R84" s="42">
        <f t="shared" si="94"/>
        <v>41.066666666666663</v>
      </c>
      <c r="S84">
        <f t="shared" si="95"/>
        <v>24</v>
      </c>
      <c r="T84" s="44">
        <f t="shared" si="96"/>
        <v>1.711111111111111</v>
      </c>
      <c r="U84" s="42">
        <f t="shared" si="97"/>
        <v>2</v>
      </c>
      <c r="V84">
        <f t="shared" si="98"/>
        <v>0.4</v>
      </c>
      <c r="W84">
        <f t="shared" si="99"/>
        <v>0.6</v>
      </c>
      <c r="X84">
        <f t="shared" si="117"/>
        <v>0</v>
      </c>
      <c r="Y84" s="42">
        <f t="shared" si="118"/>
        <v>4.2777777777777768</v>
      </c>
      <c r="Z84">
        <f t="shared" si="100"/>
        <v>1.9200000000000004</v>
      </c>
      <c r="AA84">
        <f t="shared" si="119"/>
        <v>5.2377777777777768</v>
      </c>
      <c r="AB84" s="44">
        <f t="shared" si="101"/>
        <v>2.7281189648583415</v>
      </c>
      <c r="AC84" s="42">
        <v>0</v>
      </c>
      <c r="AD84">
        <f t="shared" si="102"/>
        <v>7.442633086419749E-2</v>
      </c>
      <c r="AE84" s="44">
        <f t="shared" si="120"/>
        <v>7.442633086419749E-2</v>
      </c>
      <c r="AF84" s="42">
        <f t="shared" si="103"/>
        <v>0.82133333333333325</v>
      </c>
      <c r="AG84" s="44">
        <f t="shared" si="104"/>
        <v>0.82133333333333325</v>
      </c>
      <c r="AH84" s="42">
        <f t="shared" si="105"/>
        <v>0</v>
      </c>
      <c r="AI84">
        <f t="shared" si="106"/>
        <v>1.675888923373793</v>
      </c>
      <c r="AJ84" s="44">
        <f t="shared" si="121"/>
        <v>1.675888923373793</v>
      </c>
      <c r="AK84" s="42">
        <f t="shared" si="107"/>
        <v>41.066666666666663</v>
      </c>
      <c r="AL84">
        <f t="shared" si="108"/>
        <v>160</v>
      </c>
      <c r="AM84" s="44">
        <f t="shared" si="122"/>
        <v>0.25666666666666665</v>
      </c>
      <c r="AN84" s="42">
        <f t="shared" si="123"/>
        <v>2</v>
      </c>
      <c r="AO84">
        <f t="shared" si="124"/>
        <v>0.6000000000000002</v>
      </c>
      <c r="AP84">
        <f t="shared" si="125"/>
        <v>0.42777777777777765</v>
      </c>
      <c r="AQ84">
        <f t="shared" si="126"/>
        <v>0.19200000000000006</v>
      </c>
      <c r="AR84">
        <f t="shared" si="142"/>
        <v>0.52377777777777768</v>
      </c>
      <c r="AS84" s="44">
        <f t="shared" si="143"/>
        <v>0.33412497107563854</v>
      </c>
      <c r="AT84" s="42"/>
      <c r="AU84">
        <f t="shared" si="127"/>
        <v>7.9053333333333332E-4</v>
      </c>
      <c r="AV84" s="44">
        <f t="shared" si="144"/>
        <v>7.9053333333333332E-4</v>
      </c>
      <c r="AW84" s="42">
        <f t="shared" si="128"/>
        <v>4</v>
      </c>
      <c r="AX84">
        <f t="shared" si="129"/>
        <v>7.6999999999999999E-2</v>
      </c>
      <c r="AY84" s="44">
        <f t="shared" si="145"/>
        <v>4.077</v>
      </c>
      <c r="AZ84" s="42">
        <f t="shared" si="109"/>
        <v>0</v>
      </c>
      <c r="BA84">
        <f t="shared" si="110"/>
        <v>0</v>
      </c>
      <c r="BB84">
        <f t="shared" si="146"/>
        <v>0</v>
      </c>
      <c r="BC84" s="44">
        <f t="shared" si="130"/>
        <v>0</v>
      </c>
      <c r="BD84" s="42">
        <v>0</v>
      </c>
      <c r="BE84">
        <f t="shared" si="131"/>
        <v>0</v>
      </c>
      <c r="BF84" s="44">
        <f t="shared" si="147"/>
        <v>0</v>
      </c>
      <c r="BG84" s="42">
        <f t="shared" si="132"/>
        <v>0</v>
      </c>
      <c r="BH84">
        <f t="shared" si="133"/>
        <v>0</v>
      </c>
      <c r="BI84" s="44">
        <f t="shared" si="134"/>
        <v>0</v>
      </c>
      <c r="BK84" s="42">
        <f t="shared" si="111"/>
        <v>0</v>
      </c>
      <c r="BL84">
        <f t="shared" si="112"/>
        <v>0</v>
      </c>
      <c r="BM84">
        <f t="shared" si="113"/>
        <v>0</v>
      </c>
      <c r="BN84" s="44">
        <f t="shared" si="150"/>
        <v>0</v>
      </c>
      <c r="BO84" s="42">
        <v>0</v>
      </c>
      <c r="BP84">
        <f t="shared" si="136"/>
        <v>0</v>
      </c>
      <c r="BQ84" s="44">
        <f t="shared" si="148"/>
        <v>0</v>
      </c>
      <c r="BR84" s="42">
        <f t="shared" si="137"/>
        <v>0</v>
      </c>
      <c r="BS84">
        <f t="shared" si="138"/>
        <v>0</v>
      </c>
      <c r="BT84" s="44">
        <f t="shared" si="149"/>
        <v>0</v>
      </c>
      <c r="BU84" s="42">
        <f t="shared" si="114"/>
        <v>4.4655798518518496E-2</v>
      </c>
      <c r="BV84">
        <f t="shared" si="115"/>
        <v>0.23625000000000002</v>
      </c>
      <c r="BW84" s="44">
        <f t="shared" si="116"/>
        <v>1.0800000000000001E-2</v>
      </c>
      <c r="BX84">
        <f t="shared" si="139"/>
        <v>0.89575966419753073</v>
      </c>
      <c r="BY84">
        <f t="shared" si="140"/>
        <v>7.7624782527565088</v>
      </c>
      <c r="BZ84">
        <f t="shared" si="141"/>
        <v>84.102776598758823</v>
      </c>
    </row>
    <row r="85" spans="17:78" x14ac:dyDescent="0.3">
      <c r="Q85">
        <v>78</v>
      </c>
      <c r="R85" s="42">
        <f t="shared" si="94"/>
        <v>41.6</v>
      </c>
      <c r="S85">
        <f t="shared" si="95"/>
        <v>24</v>
      </c>
      <c r="T85" s="44">
        <f t="shared" si="96"/>
        <v>1.7333333333333334</v>
      </c>
      <c r="U85" s="42">
        <f t="shared" si="97"/>
        <v>2</v>
      </c>
      <c r="V85">
        <f t="shared" si="98"/>
        <v>0.4</v>
      </c>
      <c r="W85">
        <f t="shared" si="99"/>
        <v>0.6</v>
      </c>
      <c r="X85">
        <f t="shared" si="117"/>
        <v>0</v>
      </c>
      <c r="Y85" s="42">
        <f t="shared" si="118"/>
        <v>4.333333333333333</v>
      </c>
      <c r="Z85">
        <f t="shared" si="100"/>
        <v>1.9200000000000004</v>
      </c>
      <c r="AA85">
        <f t="shared" si="119"/>
        <v>5.293333333333333</v>
      </c>
      <c r="AB85" s="44">
        <f t="shared" si="101"/>
        <v>2.76296780855498</v>
      </c>
      <c r="AC85" s="42">
        <v>0</v>
      </c>
      <c r="AD85">
        <f t="shared" si="102"/>
        <v>7.6339911111111089E-2</v>
      </c>
      <c r="AE85" s="44">
        <f t="shared" si="120"/>
        <v>7.6339911111111089E-2</v>
      </c>
      <c r="AF85" s="42">
        <f t="shared" si="103"/>
        <v>0.83200000000000007</v>
      </c>
      <c r="AG85" s="44">
        <f t="shared" si="104"/>
        <v>0.83200000000000007</v>
      </c>
      <c r="AH85" s="42">
        <f t="shared" si="105"/>
        <v>0</v>
      </c>
      <c r="AI85">
        <f t="shared" si="106"/>
        <v>1.6976537145864399</v>
      </c>
      <c r="AJ85" s="44">
        <f t="shared" si="121"/>
        <v>1.6976537145864399</v>
      </c>
      <c r="AK85" s="42">
        <f t="shared" si="107"/>
        <v>41.6</v>
      </c>
      <c r="AL85">
        <f t="shared" si="108"/>
        <v>160</v>
      </c>
      <c r="AM85" s="44">
        <f t="shared" si="122"/>
        <v>0.26</v>
      </c>
      <c r="AN85" s="42">
        <f t="shared" si="123"/>
        <v>2</v>
      </c>
      <c r="AO85">
        <f t="shared" si="124"/>
        <v>0.60000000000000009</v>
      </c>
      <c r="AP85">
        <f t="shared" si="125"/>
        <v>0.43333333333333329</v>
      </c>
      <c r="AQ85">
        <f t="shared" si="126"/>
        <v>0.19200000000000003</v>
      </c>
      <c r="AR85">
        <f t="shared" si="142"/>
        <v>0.52933333333333332</v>
      </c>
      <c r="AS85" s="44">
        <f t="shared" si="143"/>
        <v>0.33839306533477703</v>
      </c>
      <c r="AT85" s="42"/>
      <c r="AU85">
        <f t="shared" si="127"/>
        <v>8.1120000000000009E-4</v>
      </c>
      <c r="AV85" s="44">
        <f t="shared" si="144"/>
        <v>8.1120000000000009E-4</v>
      </c>
      <c r="AW85" s="42">
        <f t="shared" si="128"/>
        <v>4</v>
      </c>
      <c r="AX85">
        <f t="shared" si="129"/>
        <v>7.8E-2</v>
      </c>
      <c r="AY85" s="44">
        <f t="shared" si="145"/>
        <v>4.0780000000000003</v>
      </c>
      <c r="AZ85" s="42">
        <f t="shared" si="109"/>
        <v>0</v>
      </c>
      <c r="BA85">
        <f t="shared" si="110"/>
        <v>0</v>
      </c>
      <c r="BB85">
        <f t="shared" si="146"/>
        <v>0</v>
      </c>
      <c r="BC85" s="44">
        <f t="shared" si="130"/>
        <v>0</v>
      </c>
      <c r="BD85" s="42">
        <v>0</v>
      </c>
      <c r="BE85">
        <f t="shared" si="131"/>
        <v>0</v>
      </c>
      <c r="BF85" s="44">
        <f t="shared" si="147"/>
        <v>0</v>
      </c>
      <c r="BG85" s="42">
        <f t="shared" si="132"/>
        <v>0</v>
      </c>
      <c r="BH85">
        <f t="shared" si="133"/>
        <v>0</v>
      </c>
      <c r="BI85" s="44">
        <f t="shared" si="134"/>
        <v>0</v>
      </c>
      <c r="BK85" s="42">
        <f t="shared" si="111"/>
        <v>0</v>
      </c>
      <c r="BL85">
        <f t="shared" si="112"/>
        <v>0</v>
      </c>
      <c r="BM85">
        <f t="shared" si="113"/>
        <v>0</v>
      </c>
      <c r="BN85" s="44">
        <f t="shared" si="150"/>
        <v>0</v>
      </c>
      <c r="BO85" s="42">
        <v>0</v>
      </c>
      <c r="BP85">
        <f t="shared" si="136"/>
        <v>0</v>
      </c>
      <c r="BQ85" s="44">
        <f t="shared" si="148"/>
        <v>0</v>
      </c>
      <c r="BR85" s="42">
        <f t="shared" si="137"/>
        <v>0</v>
      </c>
      <c r="BS85">
        <f t="shared" si="138"/>
        <v>0</v>
      </c>
      <c r="BT85" s="44">
        <f t="shared" si="149"/>
        <v>0</v>
      </c>
      <c r="BU85" s="42">
        <f t="shared" si="114"/>
        <v>4.5803946666666651E-2</v>
      </c>
      <c r="BV85">
        <f t="shared" si="115"/>
        <v>0.23625000000000002</v>
      </c>
      <c r="BW85" s="44">
        <f t="shared" si="116"/>
        <v>1.0800000000000001E-2</v>
      </c>
      <c r="BX85">
        <f t="shared" si="139"/>
        <v>0.90833991111111112</v>
      </c>
      <c r="BY85">
        <f t="shared" si="140"/>
        <v>7.8096587723642177</v>
      </c>
      <c r="BZ85">
        <f t="shared" si="141"/>
        <v>84.194064548504215</v>
      </c>
    </row>
    <row r="86" spans="17:78" x14ac:dyDescent="0.3">
      <c r="Q86">
        <v>79</v>
      </c>
      <c r="R86" s="42">
        <f t="shared" si="94"/>
        <v>42.133333333333333</v>
      </c>
      <c r="S86">
        <f t="shared" si="95"/>
        <v>24</v>
      </c>
      <c r="T86" s="44">
        <f t="shared" si="96"/>
        <v>1.7555555555555555</v>
      </c>
      <c r="U86" s="42">
        <f t="shared" si="97"/>
        <v>2</v>
      </c>
      <c r="V86">
        <f t="shared" si="98"/>
        <v>0.4</v>
      </c>
      <c r="W86">
        <f t="shared" si="99"/>
        <v>0.6</v>
      </c>
      <c r="X86">
        <f t="shared" si="117"/>
        <v>0</v>
      </c>
      <c r="Y86" s="42">
        <f t="shared" si="118"/>
        <v>4.3888888888888884</v>
      </c>
      <c r="Z86">
        <f t="shared" si="100"/>
        <v>1.9200000000000004</v>
      </c>
      <c r="AA86">
        <f t="shared" si="119"/>
        <v>5.3488888888888884</v>
      </c>
      <c r="AB86" s="44">
        <f t="shared" si="101"/>
        <v>2.7978238457066831</v>
      </c>
      <c r="AC86" s="42">
        <v>0</v>
      </c>
      <c r="AD86">
        <f t="shared" si="102"/>
        <v>7.8278182716049347E-2</v>
      </c>
      <c r="AE86" s="44">
        <f t="shared" si="120"/>
        <v>7.8278182716049347E-2</v>
      </c>
      <c r="AF86" s="42">
        <f t="shared" si="103"/>
        <v>0.84266666666666667</v>
      </c>
      <c r="AG86" s="44">
        <f t="shared" si="104"/>
        <v>0.84266666666666667</v>
      </c>
      <c r="AH86" s="42">
        <f t="shared" si="105"/>
        <v>0</v>
      </c>
      <c r="AI86">
        <f t="shared" si="106"/>
        <v>1.7194185057990867</v>
      </c>
      <c r="AJ86" s="44">
        <f t="shared" si="121"/>
        <v>1.7194185057990867</v>
      </c>
      <c r="AK86" s="42">
        <f t="shared" si="107"/>
        <v>42.133333333333333</v>
      </c>
      <c r="AL86">
        <f t="shared" si="108"/>
        <v>160</v>
      </c>
      <c r="AM86" s="44">
        <f t="shared" si="122"/>
        <v>0.26333333333333331</v>
      </c>
      <c r="AN86" s="42">
        <f t="shared" si="123"/>
        <v>2</v>
      </c>
      <c r="AO86">
        <f t="shared" si="124"/>
        <v>0.6</v>
      </c>
      <c r="AP86">
        <f t="shared" si="125"/>
        <v>0.43888888888888883</v>
      </c>
      <c r="AQ86">
        <f t="shared" si="126"/>
        <v>0.192</v>
      </c>
      <c r="AR86">
        <f t="shared" si="142"/>
        <v>0.53488888888888886</v>
      </c>
      <c r="AS86" s="44">
        <f t="shared" si="143"/>
        <v>0.34266204060863537</v>
      </c>
      <c r="AT86" s="42"/>
      <c r="AU86">
        <f t="shared" si="127"/>
        <v>8.3213333333333314E-4</v>
      </c>
      <c r="AV86" s="44">
        <f t="shared" si="144"/>
        <v>8.3213333333333314E-4</v>
      </c>
      <c r="AW86" s="42">
        <f t="shared" si="128"/>
        <v>4</v>
      </c>
      <c r="AX86">
        <f t="shared" si="129"/>
        <v>7.8999999999999987E-2</v>
      </c>
      <c r="AY86" s="44">
        <f t="shared" si="145"/>
        <v>4.0789999999999997</v>
      </c>
      <c r="AZ86" s="42">
        <f t="shared" si="109"/>
        <v>0</v>
      </c>
      <c r="BA86">
        <f t="shared" si="110"/>
        <v>0</v>
      </c>
      <c r="BB86">
        <f t="shared" si="146"/>
        <v>0</v>
      </c>
      <c r="BC86" s="44">
        <f t="shared" si="130"/>
        <v>0</v>
      </c>
      <c r="BD86" s="42">
        <v>0</v>
      </c>
      <c r="BE86">
        <f t="shared" si="131"/>
        <v>0</v>
      </c>
      <c r="BF86" s="44">
        <f t="shared" si="147"/>
        <v>0</v>
      </c>
      <c r="BG86" s="42">
        <f t="shared" si="132"/>
        <v>0</v>
      </c>
      <c r="BH86">
        <f t="shared" si="133"/>
        <v>0</v>
      </c>
      <c r="BI86" s="44">
        <f t="shared" si="134"/>
        <v>0</v>
      </c>
      <c r="BK86" s="42">
        <f t="shared" si="111"/>
        <v>0</v>
      </c>
      <c r="BL86">
        <f t="shared" si="112"/>
        <v>0</v>
      </c>
      <c r="BM86">
        <f t="shared" si="113"/>
        <v>0</v>
      </c>
      <c r="BN86" s="44">
        <f t="shared" si="150"/>
        <v>0</v>
      </c>
      <c r="BO86" s="42">
        <v>0</v>
      </c>
      <c r="BP86">
        <f t="shared" si="136"/>
        <v>0</v>
      </c>
      <c r="BQ86" s="44">
        <f t="shared" si="148"/>
        <v>0</v>
      </c>
      <c r="BR86" s="42">
        <f t="shared" si="137"/>
        <v>0</v>
      </c>
      <c r="BS86">
        <f t="shared" si="138"/>
        <v>0</v>
      </c>
      <c r="BT86" s="44">
        <f t="shared" si="149"/>
        <v>0</v>
      </c>
      <c r="BU86" s="42">
        <f t="shared" si="114"/>
        <v>4.6966909629629607E-2</v>
      </c>
      <c r="BV86">
        <f t="shared" si="115"/>
        <v>0.23625000000000002</v>
      </c>
      <c r="BW86" s="44">
        <f t="shared" si="116"/>
        <v>1.0800000000000001E-2</v>
      </c>
      <c r="BX86">
        <f t="shared" si="139"/>
        <v>0.92094484938271604</v>
      </c>
      <c r="BY86">
        <f t="shared" si="140"/>
        <v>7.8568790648114319</v>
      </c>
      <c r="BZ86">
        <f t="shared" si="141"/>
        <v>84.283165267961508</v>
      </c>
    </row>
    <row r="87" spans="17:78" x14ac:dyDescent="0.3">
      <c r="Q87">
        <v>80</v>
      </c>
      <c r="R87" s="42">
        <f t="shared" si="94"/>
        <v>42.666666666666664</v>
      </c>
      <c r="S87">
        <f t="shared" si="95"/>
        <v>24</v>
      </c>
      <c r="T87" s="44">
        <f t="shared" si="96"/>
        <v>1.7777777777777777</v>
      </c>
      <c r="U87" s="42">
        <f t="shared" si="97"/>
        <v>2</v>
      </c>
      <c r="V87">
        <f t="shared" si="98"/>
        <v>0.4</v>
      </c>
      <c r="W87">
        <f t="shared" si="99"/>
        <v>0.6</v>
      </c>
      <c r="X87">
        <f t="shared" si="117"/>
        <v>0</v>
      </c>
      <c r="Y87" s="42">
        <f t="shared" si="118"/>
        <v>4.4444444444444438</v>
      </c>
      <c r="Z87">
        <f t="shared" si="100"/>
        <v>1.9200000000000004</v>
      </c>
      <c r="AA87">
        <f t="shared" si="119"/>
        <v>5.4044444444444437</v>
      </c>
      <c r="AB87" s="44">
        <f t="shared" si="101"/>
        <v>2.8326868107683967</v>
      </c>
      <c r="AC87" s="42">
        <v>0</v>
      </c>
      <c r="AD87">
        <f t="shared" si="102"/>
        <v>8.0241145679012305E-2</v>
      </c>
      <c r="AE87" s="44">
        <f t="shared" si="120"/>
        <v>8.0241145679012305E-2</v>
      </c>
      <c r="AF87" s="42">
        <f t="shared" si="103"/>
        <v>0.85333333333333328</v>
      </c>
      <c r="AG87" s="44">
        <f t="shared" si="104"/>
        <v>0.85333333333333328</v>
      </c>
      <c r="AH87" s="42">
        <f t="shared" si="105"/>
        <v>0</v>
      </c>
      <c r="AI87">
        <f t="shared" si="106"/>
        <v>1.7411832970117329</v>
      </c>
      <c r="AJ87" s="44">
        <f t="shared" si="121"/>
        <v>1.7411832970117329</v>
      </c>
      <c r="AK87" s="42">
        <f t="shared" si="107"/>
        <v>42.666666666666664</v>
      </c>
      <c r="AL87">
        <f t="shared" si="108"/>
        <v>160</v>
      </c>
      <c r="AM87" s="44">
        <f t="shared" si="122"/>
        <v>0.26666666666666666</v>
      </c>
      <c r="AN87" s="42">
        <f t="shared" si="123"/>
        <v>2</v>
      </c>
      <c r="AO87">
        <f t="shared" si="124"/>
        <v>0.6</v>
      </c>
      <c r="AP87">
        <f t="shared" si="125"/>
        <v>0.44444444444444442</v>
      </c>
      <c r="AQ87">
        <f t="shared" si="126"/>
        <v>0.192</v>
      </c>
      <c r="AR87">
        <f t="shared" si="142"/>
        <v>0.54044444444444439</v>
      </c>
      <c r="AS87" s="44">
        <f t="shared" si="143"/>
        <v>0.34693186437471907</v>
      </c>
      <c r="AT87" s="42"/>
      <c r="AU87">
        <f t="shared" si="127"/>
        <v>8.5333333333333333E-4</v>
      </c>
      <c r="AV87" s="44">
        <f t="shared" si="144"/>
        <v>8.5333333333333333E-4</v>
      </c>
      <c r="AW87" s="42">
        <f t="shared" si="128"/>
        <v>4</v>
      </c>
      <c r="AX87">
        <f t="shared" si="129"/>
        <v>0.08</v>
      </c>
      <c r="AY87" s="44">
        <f t="shared" si="145"/>
        <v>4.08</v>
      </c>
      <c r="AZ87" s="42">
        <f t="shared" si="109"/>
        <v>0</v>
      </c>
      <c r="BA87">
        <f t="shared" si="110"/>
        <v>0</v>
      </c>
      <c r="BB87">
        <f t="shared" si="146"/>
        <v>0</v>
      </c>
      <c r="BC87" s="44">
        <f t="shared" si="130"/>
        <v>0</v>
      </c>
      <c r="BD87" s="42">
        <v>0</v>
      </c>
      <c r="BE87">
        <f t="shared" si="131"/>
        <v>0</v>
      </c>
      <c r="BF87" s="44">
        <f t="shared" si="147"/>
        <v>0</v>
      </c>
      <c r="BG87" s="42">
        <f t="shared" si="132"/>
        <v>0</v>
      </c>
      <c r="BH87">
        <f t="shared" si="133"/>
        <v>0</v>
      </c>
      <c r="BI87" s="44">
        <f t="shared" si="134"/>
        <v>0</v>
      </c>
      <c r="BK87" s="42">
        <f t="shared" si="111"/>
        <v>0</v>
      </c>
      <c r="BL87">
        <f t="shared" si="112"/>
        <v>0</v>
      </c>
      <c r="BM87">
        <f t="shared" si="113"/>
        <v>0</v>
      </c>
      <c r="BN87" s="44">
        <f t="shared" si="150"/>
        <v>0</v>
      </c>
      <c r="BO87" s="42">
        <v>0</v>
      </c>
      <c r="BP87">
        <f t="shared" si="136"/>
        <v>0</v>
      </c>
      <c r="BQ87" s="44">
        <f t="shared" si="148"/>
        <v>0</v>
      </c>
      <c r="BR87" s="42">
        <f t="shared" si="137"/>
        <v>0</v>
      </c>
      <c r="BS87">
        <f t="shared" si="138"/>
        <v>0</v>
      </c>
      <c r="BT87" s="44">
        <f t="shared" si="149"/>
        <v>0</v>
      </c>
      <c r="BU87" s="42">
        <f t="shared" si="114"/>
        <v>4.8144687407407384E-2</v>
      </c>
      <c r="BV87">
        <f t="shared" si="115"/>
        <v>0.23625000000000002</v>
      </c>
      <c r="BW87" s="44">
        <f t="shared" si="116"/>
        <v>1.0800000000000001E-2</v>
      </c>
      <c r="BX87">
        <f t="shared" si="139"/>
        <v>0.93357447901234558</v>
      </c>
      <c r="BY87">
        <f t="shared" si="140"/>
        <v>7.9041391300981534</v>
      </c>
      <c r="BZ87">
        <f t="shared" si="141"/>
        <v>84.370153875215081</v>
      </c>
    </row>
    <row r="88" spans="17:78" x14ac:dyDescent="0.3">
      <c r="Q88">
        <v>81</v>
      </c>
      <c r="R88" s="42">
        <f t="shared" si="94"/>
        <v>43.2</v>
      </c>
      <c r="S88">
        <f t="shared" si="95"/>
        <v>24</v>
      </c>
      <c r="T88" s="44">
        <f t="shared" si="96"/>
        <v>1.8</v>
      </c>
      <c r="U88" s="42">
        <f t="shared" si="97"/>
        <v>2</v>
      </c>
      <c r="V88">
        <f t="shared" si="98"/>
        <v>0.4</v>
      </c>
      <c r="W88">
        <f t="shared" si="99"/>
        <v>0.6</v>
      </c>
      <c r="X88">
        <f t="shared" si="117"/>
        <v>0</v>
      </c>
      <c r="Y88" s="42">
        <f t="shared" si="118"/>
        <v>4.5</v>
      </c>
      <c r="Z88">
        <f t="shared" si="100"/>
        <v>1.9200000000000004</v>
      </c>
      <c r="AA88">
        <f t="shared" si="119"/>
        <v>5.46</v>
      </c>
      <c r="AB88" s="44">
        <f t="shared" si="101"/>
        <v>2.8675564510572409</v>
      </c>
      <c r="AC88" s="42">
        <v>0</v>
      </c>
      <c r="AD88">
        <f t="shared" si="102"/>
        <v>8.2228799999999977E-2</v>
      </c>
      <c r="AE88" s="44">
        <f t="shared" si="120"/>
        <v>8.2228799999999977E-2</v>
      </c>
      <c r="AF88" s="42">
        <f t="shared" si="103"/>
        <v>0.8640000000000001</v>
      </c>
      <c r="AG88" s="44">
        <f t="shared" si="104"/>
        <v>0.8640000000000001</v>
      </c>
      <c r="AH88" s="42">
        <f t="shared" si="105"/>
        <v>0</v>
      </c>
      <c r="AI88">
        <f t="shared" si="106"/>
        <v>1.76294808822438</v>
      </c>
      <c r="AJ88" s="44">
        <f t="shared" si="121"/>
        <v>1.76294808822438</v>
      </c>
      <c r="AK88" s="42">
        <f t="shared" si="107"/>
        <v>43.2</v>
      </c>
      <c r="AL88">
        <f t="shared" si="108"/>
        <v>160</v>
      </c>
      <c r="AM88" s="44">
        <f t="shared" si="122"/>
        <v>0.27</v>
      </c>
      <c r="AN88" s="42">
        <f t="shared" si="123"/>
        <v>2</v>
      </c>
      <c r="AO88">
        <f t="shared" si="124"/>
        <v>0.6</v>
      </c>
      <c r="AP88">
        <f t="shared" si="125"/>
        <v>0.45</v>
      </c>
      <c r="AQ88">
        <f t="shared" si="126"/>
        <v>0.192</v>
      </c>
      <c r="AR88">
        <f t="shared" si="142"/>
        <v>0.54600000000000004</v>
      </c>
      <c r="AS88" s="44">
        <f t="shared" si="143"/>
        <v>0.35120250568582229</v>
      </c>
      <c r="AT88" s="42"/>
      <c r="AU88">
        <f t="shared" si="127"/>
        <v>8.7480000000000012E-4</v>
      </c>
      <c r="AV88" s="44">
        <f t="shared" si="144"/>
        <v>8.7480000000000012E-4</v>
      </c>
      <c r="AW88" s="42">
        <f t="shared" si="128"/>
        <v>4</v>
      </c>
      <c r="AX88">
        <f t="shared" si="129"/>
        <v>8.1000000000000003E-2</v>
      </c>
      <c r="AY88" s="44">
        <f t="shared" si="145"/>
        <v>4.0810000000000004</v>
      </c>
      <c r="AZ88" s="42">
        <f t="shared" si="109"/>
        <v>0</v>
      </c>
      <c r="BA88">
        <f t="shared" si="110"/>
        <v>0</v>
      </c>
      <c r="BB88">
        <f t="shared" si="146"/>
        <v>0</v>
      </c>
      <c r="BC88" s="44">
        <f t="shared" si="130"/>
        <v>0</v>
      </c>
      <c r="BD88" s="42">
        <v>0</v>
      </c>
      <c r="BE88">
        <f t="shared" si="131"/>
        <v>0</v>
      </c>
      <c r="BF88" s="44">
        <f t="shared" si="147"/>
        <v>0</v>
      </c>
      <c r="BG88" s="42">
        <f t="shared" si="132"/>
        <v>0</v>
      </c>
      <c r="BH88">
        <f t="shared" si="133"/>
        <v>0</v>
      </c>
      <c r="BI88" s="44">
        <f t="shared" si="134"/>
        <v>0</v>
      </c>
      <c r="BK88" s="42">
        <f t="shared" si="111"/>
        <v>0</v>
      </c>
      <c r="BL88">
        <f t="shared" si="112"/>
        <v>0</v>
      </c>
      <c r="BM88">
        <f t="shared" si="113"/>
        <v>0</v>
      </c>
      <c r="BN88" s="44">
        <f t="shared" si="150"/>
        <v>0</v>
      </c>
      <c r="BO88" s="42">
        <v>0</v>
      </c>
      <c r="BP88">
        <f t="shared" si="136"/>
        <v>0</v>
      </c>
      <c r="BQ88" s="44">
        <f t="shared" si="148"/>
        <v>0</v>
      </c>
      <c r="BR88" s="42">
        <f t="shared" si="137"/>
        <v>0</v>
      </c>
      <c r="BS88">
        <f t="shared" si="138"/>
        <v>0</v>
      </c>
      <c r="BT88" s="44">
        <f t="shared" si="149"/>
        <v>0</v>
      </c>
      <c r="BU88" s="42">
        <f t="shared" si="114"/>
        <v>4.933727999999999E-2</v>
      </c>
      <c r="BV88">
        <f t="shared" si="115"/>
        <v>0.23625000000000002</v>
      </c>
      <c r="BW88" s="44">
        <f t="shared" si="116"/>
        <v>1.0800000000000001E-2</v>
      </c>
      <c r="BX88">
        <f t="shared" si="139"/>
        <v>0.94622880000000009</v>
      </c>
      <c r="BY88">
        <f t="shared" si="140"/>
        <v>7.9514389682243811</v>
      </c>
      <c r="BZ88">
        <f t="shared" si="141"/>
        <v>84.455102087814453</v>
      </c>
    </row>
    <row r="89" spans="17:78" x14ac:dyDescent="0.3">
      <c r="Q89">
        <v>82</v>
      </c>
      <c r="R89" s="42">
        <f t="shared" si="94"/>
        <v>43.733333333333334</v>
      </c>
      <c r="S89">
        <f t="shared" si="95"/>
        <v>24</v>
      </c>
      <c r="T89" s="44">
        <f t="shared" si="96"/>
        <v>1.8222222222222222</v>
      </c>
      <c r="U89" s="42">
        <f t="shared" si="97"/>
        <v>2</v>
      </c>
      <c r="V89">
        <f t="shared" si="98"/>
        <v>0.4</v>
      </c>
      <c r="W89">
        <f t="shared" si="99"/>
        <v>0.6</v>
      </c>
      <c r="X89">
        <f t="shared" si="117"/>
        <v>0</v>
      </c>
      <c r="Y89" s="42">
        <f t="shared" si="118"/>
        <v>4.5555555555555554</v>
      </c>
      <c r="Z89">
        <f t="shared" si="100"/>
        <v>1.9200000000000004</v>
      </c>
      <c r="AA89">
        <f t="shared" si="119"/>
        <v>5.5155555555555553</v>
      </c>
      <c r="AB89" s="44">
        <f t="shared" si="101"/>
        <v>2.9024325259859589</v>
      </c>
      <c r="AC89" s="42">
        <v>0</v>
      </c>
      <c r="AD89">
        <f t="shared" si="102"/>
        <v>8.424114567901235E-2</v>
      </c>
      <c r="AE89" s="44">
        <f t="shared" si="120"/>
        <v>8.424114567901235E-2</v>
      </c>
      <c r="AF89" s="42">
        <f t="shared" si="103"/>
        <v>0.8746666666666667</v>
      </c>
      <c r="AG89" s="44">
        <f t="shared" si="104"/>
        <v>0.8746666666666667</v>
      </c>
      <c r="AH89" s="42">
        <f t="shared" si="105"/>
        <v>0</v>
      </c>
      <c r="AI89">
        <f t="shared" si="106"/>
        <v>1.7847128794370268</v>
      </c>
      <c r="AJ89" s="44">
        <f t="shared" si="121"/>
        <v>1.7847128794370268</v>
      </c>
      <c r="AK89" s="42">
        <f t="shared" si="107"/>
        <v>43.733333333333334</v>
      </c>
      <c r="AL89">
        <f t="shared" si="108"/>
        <v>160</v>
      </c>
      <c r="AM89" s="44">
        <f t="shared" si="122"/>
        <v>0.27333333333333332</v>
      </c>
      <c r="AN89" s="42">
        <f t="shared" si="123"/>
        <v>2</v>
      </c>
      <c r="AO89">
        <f t="shared" si="124"/>
        <v>0.60000000000000009</v>
      </c>
      <c r="AP89">
        <f t="shared" si="125"/>
        <v>0.45555555555555549</v>
      </c>
      <c r="AQ89">
        <f t="shared" si="126"/>
        <v>0.19200000000000003</v>
      </c>
      <c r="AR89">
        <f t="shared" si="142"/>
        <v>0.55155555555555547</v>
      </c>
      <c r="AS89" s="44">
        <f t="shared" si="143"/>
        <v>0.35547393507614378</v>
      </c>
      <c r="AT89" s="42"/>
      <c r="AU89">
        <f t="shared" si="127"/>
        <v>8.965333333333333E-4</v>
      </c>
      <c r="AV89" s="44">
        <f t="shared" si="144"/>
        <v>8.965333333333333E-4</v>
      </c>
      <c r="AW89" s="42">
        <f t="shared" si="128"/>
        <v>4</v>
      </c>
      <c r="AX89">
        <f t="shared" si="129"/>
        <v>8.199999999999999E-2</v>
      </c>
      <c r="AY89" s="44">
        <f t="shared" si="145"/>
        <v>4.0819999999999999</v>
      </c>
      <c r="AZ89" s="42">
        <f t="shared" si="109"/>
        <v>0</v>
      </c>
      <c r="BA89">
        <f t="shared" si="110"/>
        <v>0</v>
      </c>
      <c r="BB89">
        <f t="shared" si="146"/>
        <v>0</v>
      </c>
      <c r="BC89" s="44">
        <f t="shared" si="130"/>
        <v>0</v>
      </c>
      <c r="BD89" s="42">
        <v>0</v>
      </c>
      <c r="BE89">
        <f t="shared" si="131"/>
        <v>0</v>
      </c>
      <c r="BF89" s="44">
        <f t="shared" si="147"/>
        <v>0</v>
      </c>
      <c r="BG89" s="42">
        <f t="shared" si="132"/>
        <v>0</v>
      </c>
      <c r="BH89">
        <f t="shared" si="133"/>
        <v>0</v>
      </c>
      <c r="BI89" s="44">
        <f t="shared" si="134"/>
        <v>0</v>
      </c>
      <c r="BK89" s="42">
        <f t="shared" si="111"/>
        <v>0</v>
      </c>
      <c r="BL89">
        <f t="shared" si="112"/>
        <v>0</v>
      </c>
      <c r="BM89">
        <f t="shared" si="113"/>
        <v>0</v>
      </c>
      <c r="BN89" s="44">
        <f t="shared" si="150"/>
        <v>0</v>
      </c>
      <c r="BO89" s="42">
        <v>0</v>
      </c>
      <c r="BP89">
        <f t="shared" si="136"/>
        <v>0</v>
      </c>
      <c r="BQ89" s="44">
        <f t="shared" si="148"/>
        <v>0</v>
      </c>
      <c r="BR89" s="42">
        <f t="shared" si="137"/>
        <v>0</v>
      </c>
      <c r="BS89">
        <f t="shared" si="138"/>
        <v>0</v>
      </c>
      <c r="BT89" s="44">
        <f t="shared" si="149"/>
        <v>0</v>
      </c>
      <c r="BU89" s="42">
        <f t="shared" si="114"/>
        <v>5.0544687407407411E-2</v>
      </c>
      <c r="BV89">
        <f t="shared" si="115"/>
        <v>0.23625000000000002</v>
      </c>
      <c r="BW89" s="44">
        <f t="shared" si="116"/>
        <v>1.0800000000000001E-2</v>
      </c>
      <c r="BX89">
        <f t="shared" si="139"/>
        <v>0.95890781234567901</v>
      </c>
      <c r="BY89">
        <f t="shared" si="140"/>
        <v>7.9987785791901125</v>
      </c>
      <c r="BZ89">
        <f t="shared" si="141"/>
        <v>84.538078413045127</v>
      </c>
    </row>
    <row r="90" spans="17:78" x14ac:dyDescent="0.3">
      <c r="Q90">
        <v>83</v>
      </c>
      <c r="R90" s="42">
        <f t="shared" si="94"/>
        <v>44.266666666666666</v>
      </c>
      <c r="S90">
        <f t="shared" si="95"/>
        <v>24</v>
      </c>
      <c r="T90" s="44">
        <f t="shared" si="96"/>
        <v>1.8444444444444443</v>
      </c>
      <c r="U90" s="42">
        <f t="shared" si="97"/>
        <v>2</v>
      </c>
      <c r="V90">
        <f t="shared" si="98"/>
        <v>0.4</v>
      </c>
      <c r="W90">
        <f t="shared" si="99"/>
        <v>0.6</v>
      </c>
      <c r="X90">
        <f t="shared" si="117"/>
        <v>0</v>
      </c>
      <c r="Y90" s="42">
        <f t="shared" si="118"/>
        <v>4.6111111111111107</v>
      </c>
      <c r="Z90">
        <f t="shared" si="100"/>
        <v>1.9200000000000004</v>
      </c>
      <c r="AA90">
        <f t="shared" si="119"/>
        <v>5.5711111111111107</v>
      </c>
      <c r="AB90" s="44">
        <f t="shared" si="101"/>
        <v>2.9373148063503405</v>
      </c>
      <c r="AC90" s="42">
        <v>0</v>
      </c>
      <c r="AD90">
        <f t="shared" si="102"/>
        <v>8.6278182716049395E-2</v>
      </c>
      <c r="AE90" s="44">
        <f t="shared" si="120"/>
        <v>8.6278182716049395E-2</v>
      </c>
      <c r="AF90" s="42">
        <f t="shared" si="103"/>
        <v>0.88533333333333331</v>
      </c>
      <c r="AG90" s="44">
        <f t="shared" si="104"/>
        <v>0.88533333333333331</v>
      </c>
      <c r="AH90" s="42">
        <f t="shared" si="105"/>
        <v>0</v>
      </c>
      <c r="AI90">
        <f t="shared" si="106"/>
        <v>1.806477670649673</v>
      </c>
      <c r="AJ90" s="44">
        <f t="shared" si="121"/>
        <v>1.806477670649673</v>
      </c>
      <c r="AK90" s="42">
        <f t="shared" si="107"/>
        <v>44.266666666666666</v>
      </c>
      <c r="AL90">
        <f t="shared" si="108"/>
        <v>160</v>
      </c>
      <c r="AM90" s="44">
        <f t="shared" si="122"/>
        <v>0.27666666666666667</v>
      </c>
      <c r="AN90" s="42">
        <f t="shared" si="123"/>
        <v>2</v>
      </c>
      <c r="AO90">
        <f t="shared" si="124"/>
        <v>0.60000000000000009</v>
      </c>
      <c r="AP90">
        <f t="shared" si="125"/>
        <v>0.46111111111111108</v>
      </c>
      <c r="AQ90">
        <f t="shared" si="126"/>
        <v>0.19200000000000003</v>
      </c>
      <c r="AR90">
        <f t="shared" si="142"/>
        <v>0.55711111111111111</v>
      </c>
      <c r="AS90" s="44">
        <f t="shared" si="143"/>
        <v>0.35974612447401583</v>
      </c>
      <c r="AT90" s="42"/>
      <c r="AU90">
        <f t="shared" si="127"/>
        <v>9.1853333333333329E-4</v>
      </c>
      <c r="AV90" s="44">
        <f t="shared" si="144"/>
        <v>9.1853333333333329E-4</v>
      </c>
      <c r="AW90" s="42">
        <f t="shared" si="128"/>
        <v>4</v>
      </c>
      <c r="AX90">
        <f t="shared" si="129"/>
        <v>8.3000000000000004E-2</v>
      </c>
      <c r="AY90" s="44">
        <f t="shared" si="145"/>
        <v>4.0830000000000002</v>
      </c>
      <c r="AZ90" s="42">
        <f t="shared" si="109"/>
        <v>0</v>
      </c>
      <c r="BA90">
        <f t="shared" si="110"/>
        <v>0</v>
      </c>
      <c r="BB90">
        <f t="shared" si="146"/>
        <v>0</v>
      </c>
      <c r="BC90" s="44">
        <f t="shared" si="130"/>
        <v>0</v>
      </c>
      <c r="BD90" s="42">
        <v>0</v>
      </c>
      <c r="BE90">
        <f t="shared" si="131"/>
        <v>0</v>
      </c>
      <c r="BF90" s="44">
        <f t="shared" si="147"/>
        <v>0</v>
      </c>
      <c r="BG90" s="42">
        <f t="shared" si="132"/>
        <v>0</v>
      </c>
      <c r="BH90">
        <f t="shared" si="133"/>
        <v>0</v>
      </c>
      <c r="BI90" s="44">
        <f t="shared" si="134"/>
        <v>0</v>
      </c>
      <c r="BK90" s="42">
        <f t="shared" si="111"/>
        <v>0</v>
      </c>
      <c r="BL90">
        <f t="shared" si="112"/>
        <v>0</v>
      </c>
      <c r="BM90">
        <f t="shared" si="113"/>
        <v>0</v>
      </c>
      <c r="BN90" s="44">
        <f t="shared" si="150"/>
        <v>0</v>
      </c>
      <c r="BO90" s="42">
        <v>0</v>
      </c>
      <c r="BP90">
        <f t="shared" si="136"/>
        <v>0</v>
      </c>
      <c r="BQ90" s="44">
        <f t="shared" si="148"/>
        <v>0</v>
      </c>
      <c r="BR90" s="42">
        <f t="shared" si="137"/>
        <v>0</v>
      </c>
      <c r="BS90">
        <f t="shared" si="138"/>
        <v>0</v>
      </c>
      <c r="BT90" s="44">
        <f t="shared" si="149"/>
        <v>0</v>
      </c>
      <c r="BU90" s="42">
        <f t="shared" si="114"/>
        <v>5.1766909629629633E-2</v>
      </c>
      <c r="BV90">
        <f t="shared" si="115"/>
        <v>0.23625000000000002</v>
      </c>
      <c r="BW90" s="44">
        <f t="shared" si="116"/>
        <v>1.0800000000000001E-2</v>
      </c>
      <c r="BX90">
        <f t="shared" si="139"/>
        <v>0.97161151604938267</v>
      </c>
      <c r="BY90">
        <f t="shared" si="140"/>
        <v>8.0461579629953519</v>
      </c>
      <c r="BZ90">
        <f t="shared" si="141"/>
        <v>84.619148325565504</v>
      </c>
    </row>
    <row r="91" spans="17:78" x14ac:dyDescent="0.3">
      <c r="Q91">
        <v>84</v>
      </c>
      <c r="R91" s="42">
        <f t="shared" si="94"/>
        <v>44.8</v>
      </c>
      <c r="S91">
        <f t="shared" si="95"/>
        <v>24</v>
      </c>
      <c r="T91" s="44">
        <f t="shared" si="96"/>
        <v>1.8666666666666665</v>
      </c>
      <c r="U91" s="42">
        <f t="shared" si="97"/>
        <v>2</v>
      </c>
      <c r="V91">
        <f t="shared" si="98"/>
        <v>0.4</v>
      </c>
      <c r="W91">
        <f t="shared" si="99"/>
        <v>0.6</v>
      </c>
      <c r="X91">
        <f t="shared" si="117"/>
        <v>0</v>
      </c>
      <c r="Y91" s="42">
        <f t="shared" si="118"/>
        <v>4.6666666666666661</v>
      </c>
      <c r="Z91">
        <f t="shared" si="100"/>
        <v>1.9200000000000004</v>
      </c>
      <c r="AA91">
        <f t="shared" si="119"/>
        <v>5.626666666666666</v>
      </c>
      <c r="AB91" s="44">
        <f t="shared" si="101"/>
        <v>2.9722030736662508</v>
      </c>
      <c r="AC91" s="42">
        <v>0</v>
      </c>
      <c r="AD91">
        <f t="shared" si="102"/>
        <v>8.8339911111111086E-2</v>
      </c>
      <c r="AE91" s="44">
        <f t="shared" si="120"/>
        <v>8.8339911111111086E-2</v>
      </c>
      <c r="AF91" s="42">
        <f t="shared" si="103"/>
        <v>0.89599999999999991</v>
      </c>
      <c r="AG91" s="44">
        <f t="shared" si="104"/>
        <v>0.89599999999999991</v>
      </c>
      <c r="AH91" s="42">
        <f t="shared" si="105"/>
        <v>0</v>
      </c>
      <c r="AI91">
        <f t="shared" si="106"/>
        <v>1.8282424618623196</v>
      </c>
      <c r="AJ91" s="44">
        <f t="shared" si="121"/>
        <v>1.8282424618623196</v>
      </c>
      <c r="AK91" s="42">
        <f t="shared" si="107"/>
        <v>44.8</v>
      </c>
      <c r="AL91">
        <f t="shared" si="108"/>
        <v>160</v>
      </c>
      <c r="AM91" s="44">
        <f t="shared" si="122"/>
        <v>0.27999999999999997</v>
      </c>
      <c r="AN91" s="42">
        <f t="shared" si="123"/>
        <v>2</v>
      </c>
      <c r="AO91">
        <f t="shared" si="124"/>
        <v>0.6</v>
      </c>
      <c r="AP91">
        <f t="shared" si="125"/>
        <v>0.46666666666666662</v>
      </c>
      <c r="AQ91">
        <f t="shared" si="126"/>
        <v>0.192</v>
      </c>
      <c r="AR91">
        <f t="shared" si="142"/>
        <v>0.56266666666666665</v>
      </c>
      <c r="AS91" s="44">
        <f t="shared" si="143"/>
        <v>0.36401904712070582</v>
      </c>
      <c r="AT91" s="42"/>
      <c r="AU91">
        <f t="shared" si="127"/>
        <v>9.4079999999999977E-4</v>
      </c>
      <c r="AV91" s="44">
        <f t="shared" si="144"/>
        <v>9.4079999999999977E-4</v>
      </c>
      <c r="AW91" s="42">
        <f t="shared" si="128"/>
        <v>4</v>
      </c>
      <c r="AX91">
        <f t="shared" si="129"/>
        <v>8.3999999999999991E-2</v>
      </c>
      <c r="AY91" s="44">
        <f t="shared" si="145"/>
        <v>4.0839999999999996</v>
      </c>
      <c r="AZ91" s="42">
        <f t="shared" si="109"/>
        <v>0</v>
      </c>
      <c r="BA91">
        <f t="shared" si="110"/>
        <v>0</v>
      </c>
      <c r="BB91">
        <f t="shared" si="146"/>
        <v>0</v>
      </c>
      <c r="BC91" s="44">
        <f t="shared" si="130"/>
        <v>0</v>
      </c>
      <c r="BD91" s="42">
        <v>0</v>
      </c>
      <c r="BE91">
        <f t="shared" si="131"/>
        <v>0</v>
      </c>
      <c r="BF91" s="44">
        <f t="shared" si="147"/>
        <v>0</v>
      </c>
      <c r="BG91" s="42">
        <f t="shared" si="132"/>
        <v>0</v>
      </c>
      <c r="BH91">
        <f t="shared" si="133"/>
        <v>0</v>
      </c>
      <c r="BI91" s="44">
        <f t="shared" si="134"/>
        <v>0</v>
      </c>
      <c r="BK91" s="42">
        <f t="shared" si="111"/>
        <v>0</v>
      </c>
      <c r="BL91">
        <f t="shared" si="112"/>
        <v>0</v>
      </c>
      <c r="BM91">
        <f t="shared" si="113"/>
        <v>0</v>
      </c>
      <c r="BN91" s="44">
        <f t="shared" si="150"/>
        <v>0</v>
      </c>
      <c r="BO91" s="42">
        <v>0</v>
      </c>
      <c r="BP91">
        <f t="shared" si="136"/>
        <v>0</v>
      </c>
      <c r="BQ91" s="44">
        <f t="shared" si="148"/>
        <v>0</v>
      </c>
      <c r="BR91" s="42">
        <f t="shared" si="137"/>
        <v>0</v>
      </c>
      <c r="BS91">
        <f t="shared" si="138"/>
        <v>0</v>
      </c>
      <c r="BT91" s="44">
        <f t="shared" si="149"/>
        <v>0</v>
      </c>
      <c r="BU91" s="42">
        <f t="shared" si="114"/>
        <v>5.3003946666666656E-2</v>
      </c>
      <c r="BV91">
        <f t="shared" si="115"/>
        <v>0.23625000000000002</v>
      </c>
      <c r="BW91" s="44">
        <f t="shared" si="116"/>
        <v>1.0800000000000001E-2</v>
      </c>
      <c r="BX91">
        <f t="shared" si="139"/>
        <v>0.98433991111111097</v>
      </c>
      <c r="BY91">
        <f t="shared" si="140"/>
        <v>8.0935771196400985</v>
      </c>
      <c r="BZ91">
        <f t="shared" si="141"/>
        <v>84.698374433377381</v>
      </c>
    </row>
    <row r="92" spans="17:78" x14ac:dyDescent="0.3">
      <c r="Q92">
        <v>85</v>
      </c>
      <c r="R92" s="42">
        <f t="shared" si="94"/>
        <v>45.333333333333336</v>
      </c>
      <c r="S92">
        <f t="shared" si="95"/>
        <v>24</v>
      </c>
      <c r="T92" s="44">
        <f t="shared" si="96"/>
        <v>1.8888888888888891</v>
      </c>
      <c r="U92" s="42">
        <f t="shared" si="97"/>
        <v>2</v>
      </c>
      <c r="V92">
        <f t="shared" si="98"/>
        <v>0.4</v>
      </c>
      <c r="W92">
        <f t="shared" si="99"/>
        <v>0.6</v>
      </c>
      <c r="X92">
        <f t="shared" si="117"/>
        <v>0</v>
      </c>
      <c r="Y92" s="42">
        <f t="shared" si="118"/>
        <v>4.7222222222222214</v>
      </c>
      <c r="Z92">
        <f t="shared" si="100"/>
        <v>1.9200000000000004</v>
      </c>
      <c r="AA92">
        <f t="shared" si="119"/>
        <v>5.6822222222222214</v>
      </c>
      <c r="AB92" s="44">
        <f t="shared" si="101"/>
        <v>3.0070971195523017</v>
      </c>
      <c r="AC92" s="42">
        <v>0</v>
      </c>
      <c r="AD92">
        <f t="shared" si="102"/>
        <v>9.0426330864197504E-2</v>
      </c>
      <c r="AE92" s="44">
        <f t="shared" si="120"/>
        <v>9.0426330864197504E-2</v>
      </c>
      <c r="AF92" s="42">
        <f t="shared" si="103"/>
        <v>0.90666666666666673</v>
      </c>
      <c r="AG92" s="44">
        <f t="shared" si="104"/>
        <v>0.90666666666666673</v>
      </c>
      <c r="AH92" s="42">
        <f t="shared" si="105"/>
        <v>0</v>
      </c>
      <c r="AI92">
        <f t="shared" si="106"/>
        <v>1.8500072530749665</v>
      </c>
      <c r="AJ92" s="44">
        <f t="shared" si="121"/>
        <v>1.8500072530749665</v>
      </c>
      <c r="AK92" s="42">
        <f t="shared" si="107"/>
        <v>45.333333333333336</v>
      </c>
      <c r="AL92">
        <f t="shared" si="108"/>
        <v>160</v>
      </c>
      <c r="AM92" s="44">
        <f t="shared" si="122"/>
        <v>0.28333333333333333</v>
      </c>
      <c r="AN92" s="42">
        <f t="shared" si="123"/>
        <v>2</v>
      </c>
      <c r="AO92">
        <f t="shared" si="124"/>
        <v>0.60000000000000009</v>
      </c>
      <c r="AP92">
        <f t="shared" si="125"/>
        <v>0.4722222222222221</v>
      </c>
      <c r="AQ92">
        <f t="shared" si="126"/>
        <v>0.19200000000000003</v>
      </c>
      <c r="AR92">
        <f t="shared" si="142"/>
        <v>0.56822222222222207</v>
      </c>
      <c r="AS92" s="44">
        <f t="shared" si="143"/>
        <v>0.36829267749481015</v>
      </c>
      <c r="AT92" s="42"/>
      <c r="AU92">
        <f t="shared" si="127"/>
        <v>9.6333333333333319E-4</v>
      </c>
      <c r="AV92" s="44">
        <f t="shared" si="144"/>
        <v>9.6333333333333319E-4</v>
      </c>
      <c r="AW92" s="42">
        <f t="shared" si="128"/>
        <v>4</v>
      </c>
      <c r="AX92">
        <f t="shared" si="129"/>
        <v>8.4999999999999992E-2</v>
      </c>
      <c r="AY92" s="44">
        <f t="shared" si="145"/>
        <v>4.085</v>
      </c>
      <c r="AZ92" s="42">
        <f t="shared" si="109"/>
        <v>0</v>
      </c>
      <c r="BA92">
        <f t="shared" si="110"/>
        <v>0</v>
      </c>
      <c r="BB92">
        <f t="shared" si="146"/>
        <v>0</v>
      </c>
      <c r="BC92" s="44">
        <f t="shared" si="130"/>
        <v>0</v>
      </c>
      <c r="BD92" s="42">
        <v>0</v>
      </c>
      <c r="BE92">
        <f t="shared" si="131"/>
        <v>0</v>
      </c>
      <c r="BF92" s="44">
        <f t="shared" si="147"/>
        <v>0</v>
      </c>
      <c r="BG92" s="42">
        <f t="shared" si="132"/>
        <v>0</v>
      </c>
      <c r="BH92">
        <f t="shared" si="133"/>
        <v>0</v>
      </c>
      <c r="BI92" s="44">
        <f t="shared" si="134"/>
        <v>0</v>
      </c>
      <c r="BK92" s="42">
        <f t="shared" si="111"/>
        <v>0</v>
      </c>
      <c r="BL92">
        <f t="shared" si="112"/>
        <v>0</v>
      </c>
      <c r="BM92">
        <f t="shared" si="113"/>
        <v>0</v>
      </c>
      <c r="BN92" s="44">
        <f t="shared" si="150"/>
        <v>0</v>
      </c>
      <c r="BO92" s="42">
        <v>0</v>
      </c>
      <c r="BP92">
        <f t="shared" si="136"/>
        <v>0</v>
      </c>
      <c r="BQ92" s="44">
        <f t="shared" si="148"/>
        <v>0</v>
      </c>
      <c r="BR92" s="42">
        <f t="shared" si="137"/>
        <v>0</v>
      </c>
      <c r="BS92">
        <f t="shared" si="138"/>
        <v>0</v>
      </c>
      <c r="BT92" s="44">
        <f t="shared" si="149"/>
        <v>0</v>
      </c>
      <c r="BU92" s="42">
        <f t="shared" si="114"/>
        <v>5.42557985185185E-2</v>
      </c>
      <c r="BV92">
        <f t="shared" si="115"/>
        <v>0.23625000000000002</v>
      </c>
      <c r="BW92" s="44">
        <f t="shared" si="116"/>
        <v>1.0800000000000001E-2</v>
      </c>
      <c r="BX92">
        <f t="shared" si="139"/>
        <v>0.99709299753086422</v>
      </c>
      <c r="BY92">
        <f t="shared" si="140"/>
        <v>8.141036049124347</v>
      </c>
      <c r="BZ92">
        <f t="shared" si="141"/>
        <v>84.775816633014813</v>
      </c>
    </row>
    <row r="93" spans="17:78" x14ac:dyDescent="0.3">
      <c r="Q93">
        <v>86</v>
      </c>
      <c r="R93" s="42">
        <f t="shared" si="94"/>
        <v>45.866666666666667</v>
      </c>
      <c r="S93">
        <f t="shared" si="95"/>
        <v>24</v>
      </c>
      <c r="T93" s="44">
        <f t="shared" si="96"/>
        <v>1.9111111111111112</v>
      </c>
      <c r="U93" s="42">
        <f t="shared" si="97"/>
        <v>2</v>
      </c>
      <c r="V93">
        <f t="shared" si="98"/>
        <v>0.4</v>
      </c>
      <c r="W93">
        <f t="shared" si="99"/>
        <v>0.6</v>
      </c>
      <c r="X93">
        <f t="shared" si="117"/>
        <v>0</v>
      </c>
      <c r="Y93" s="42">
        <f t="shared" si="118"/>
        <v>4.7777777777777768</v>
      </c>
      <c r="Z93">
        <f t="shared" si="100"/>
        <v>1.9200000000000004</v>
      </c>
      <c r="AA93">
        <f t="shared" si="119"/>
        <v>5.7377777777777768</v>
      </c>
      <c r="AB93" s="44">
        <f t="shared" si="101"/>
        <v>3.0419967451545471</v>
      </c>
      <c r="AC93" s="42">
        <v>0</v>
      </c>
      <c r="AD93">
        <f t="shared" si="102"/>
        <v>9.2537441975308582E-2</v>
      </c>
      <c r="AE93" s="44">
        <f t="shared" si="120"/>
        <v>9.2537441975308582E-2</v>
      </c>
      <c r="AF93" s="42">
        <f t="shared" si="103"/>
        <v>0.91733333333333333</v>
      </c>
      <c r="AG93" s="44">
        <f t="shared" si="104"/>
        <v>0.91733333333333333</v>
      </c>
      <c r="AH93" s="42">
        <f t="shared" si="105"/>
        <v>0</v>
      </c>
      <c r="AI93">
        <f t="shared" si="106"/>
        <v>1.8717720442876131</v>
      </c>
      <c r="AJ93" s="44">
        <f t="shared" si="121"/>
        <v>1.8717720442876131</v>
      </c>
      <c r="AK93" s="42">
        <f t="shared" si="107"/>
        <v>45.866666666666667</v>
      </c>
      <c r="AL93">
        <f t="shared" si="108"/>
        <v>160</v>
      </c>
      <c r="AM93" s="44">
        <f t="shared" si="122"/>
        <v>0.28666666666666668</v>
      </c>
      <c r="AN93" s="42">
        <f t="shared" si="123"/>
        <v>2</v>
      </c>
      <c r="AO93">
        <f t="shared" si="124"/>
        <v>0.60000000000000009</v>
      </c>
      <c r="AP93">
        <f t="shared" si="125"/>
        <v>0.47777777777777769</v>
      </c>
      <c r="AQ93">
        <f t="shared" si="126"/>
        <v>0.19200000000000003</v>
      </c>
      <c r="AR93">
        <f t="shared" si="142"/>
        <v>0.57377777777777772</v>
      </c>
      <c r="AS93" s="44">
        <f t="shared" si="143"/>
        <v>0.37256699124179393</v>
      </c>
      <c r="AT93" s="42"/>
      <c r="AU93">
        <f t="shared" si="127"/>
        <v>9.8613333333333331E-4</v>
      </c>
      <c r="AV93" s="44">
        <f t="shared" si="144"/>
        <v>9.8613333333333331E-4</v>
      </c>
      <c r="AW93" s="42">
        <f t="shared" si="128"/>
        <v>4</v>
      </c>
      <c r="AX93">
        <f t="shared" si="129"/>
        <v>8.6000000000000007E-2</v>
      </c>
      <c r="AY93" s="44">
        <f t="shared" si="145"/>
        <v>4.0860000000000003</v>
      </c>
      <c r="AZ93" s="42">
        <f t="shared" si="109"/>
        <v>0</v>
      </c>
      <c r="BA93">
        <f t="shared" si="110"/>
        <v>0</v>
      </c>
      <c r="BB93">
        <f t="shared" si="146"/>
        <v>0</v>
      </c>
      <c r="BC93" s="44">
        <f t="shared" si="130"/>
        <v>0</v>
      </c>
      <c r="BD93" s="42">
        <v>0</v>
      </c>
      <c r="BE93">
        <f t="shared" si="131"/>
        <v>0</v>
      </c>
      <c r="BF93" s="44">
        <f t="shared" si="147"/>
        <v>0</v>
      </c>
      <c r="BG93" s="42">
        <f t="shared" si="132"/>
        <v>0</v>
      </c>
      <c r="BH93">
        <f t="shared" si="133"/>
        <v>0</v>
      </c>
      <c r="BI93" s="44">
        <f t="shared" si="134"/>
        <v>0</v>
      </c>
      <c r="BK93" s="42">
        <f t="shared" si="111"/>
        <v>0</v>
      </c>
      <c r="BL93">
        <f t="shared" si="112"/>
        <v>0</v>
      </c>
      <c r="BM93">
        <f t="shared" si="113"/>
        <v>0</v>
      </c>
      <c r="BN93" s="44">
        <f t="shared" si="150"/>
        <v>0</v>
      </c>
      <c r="BO93" s="42">
        <v>0</v>
      </c>
      <c r="BP93">
        <f t="shared" si="136"/>
        <v>0</v>
      </c>
      <c r="BQ93" s="44">
        <f t="shared" si="148"/>
        <v>0</v>
      </c>
      <c r="BR93" s="42">
        <f t="shared" si="137"/>
        <v>0</v>
      </c>
      <c r="BS93">
        <f t="shared" si="138"/>
        <v>0</v>
      </c>
      <c r="BT93" s="44">
        <f t="shared" si="149"/>
        <v>0</v>
      </c>
      <c r="BU93" s="42">
        <f t="shared" si="114"/>
        <v>5.5522465185185152E-2</v>
      </c>
      <c r="BV93">
        <f t="shared" si="115"/>
        <v>0.23625000000000002</v>
      </c>
      <c r="BW93" s="44">
        <f t="shared" si="116"/>
        <v>1.0800000000000001E-2</v>
      </c>
      <c r="BX93">
        <f t="shared" si="139"/>
        <v>1.009870775308642</v>
      </c>
      <c r="BY93">
        <f t="shared" si="140"/>
        <v>8.1885347514481062</v>
      </c>
      <c r="BZ93">
        <f t="shared" si="141"/>
        <v>84.851532254759121</v>
      </c>
    </row>
    <row r="94" spans="17:78" x14ac:dyDescent="0.3">
      <c r="Q94">
        <v>87</v>
      </c>
      <c r="R94" s="42">
        <f t="shared" si="94"/>
        <v>46.4</v>
      </c>
      <c r="S94">
        <f t="shared" si="95"/>
        <v>24</v>
      </c>
      <c r="T94" s="44">
        <f t="shared" si="96"/>
        <v>1.9333333333333333</v>
      </c>
      <c r="U94" s="42">
        <f t="shared" si="97"/>
        <v>2</v>
      </c>
      <c r="V94">
        <f t="shared" si="98"/>
        <v>0.4</v>
      </c>
      <c r="W94">
        <f t="shared" si="99"/>
        <v>0.6</v>
      </c>
      <c r="X94">
        <f t="shared" si="117"/>
        <v>0</v>
      </c>
      <c r="Y94" s="42">
        <f t="shared" si="118"/>
        <v>4.8333333333333321</v>
      </c>
      <c r="Z94">
        <f t="shared" si="100"/>
        <v>1.9200000000000004</v>
      </c>
      <c r="AA94">
        <f t="shared" si="119"/>
        <v>5.7933333333333321</v>
      </c>
      <c r="AB94" s="44">
        <f t="shared" si="101"/>
        <v>3.0769017606099225</v>
      </c>
      <c r="AC94" s="42">
        <v>0</v>
      </c>
      <c r="AD94">
        <f t="shared" si="102"/>
        <v>9.4673244444444402E-2</v>
      </c>
      <c r="AE94" s="44">
        <f t="shared" si="120"/>
        <v>9.4673244444444402E-2</v>
      </c>
      <c r="AF94" s="42">
        <f t="shared" si="103"/>
        <v>0.92799999999999994</v>
      </c>
      <c r="AG94" s="44">
        <f t="shared" si="104"/>
        <v>0.92799999999999994</v>
      </c>
      <c r="AH94" s="42">
        <f t="shared" si="105"/>
        <v>0</v>
      </c>
      <c r="AI94">
        <f t="shared" si="106"/>
        <v>1.8935368355002595</v>
      </c>
      <c r="AJ94" s="44">
        <f t="shared" si="121"/>
        <v>1.8935368355002595</v>
      </c>
      <c r="AK94" s="42">
        <f t="shared" si="107"/>
        <v>46.4</v>
      </c>
      <c r="AL94">
        <f t="shared" si="108"/>
        <v>160</v>
      </c>
      <c r="AM94" s="44">
        <f t="shared" si="122"/>
        <v>0.28999999999999998</v>
      </c>
      <c r="AN94" s="42">
        <f t="shared" si="123"/>
        <v>2</v>
      </c>
      <c r="AO94">
        <f t="shared" si="124"/>
        <v>0.6000000000000002</v>
      </c>
      <c r="AP94">
        <f t="shared" si="125"/>
        <v>0.48333333333333317</v>
      </c>
      <c r="AQ94">
        <f t="shared" si="126"/>
        <v>0.19200000000000006</v>
      </c>
      <c r="AR94">
        <f t="shared" si="142"/>
        <v>0.57933333333333326</v>
      </c>
      <c r="AS94" s="44">
        <f t="shared" si="143"/>
        <v>0.37684196510827545</v>
      </c>
      <c r="AT94" s="42"/>
      <c r="AU94">
        <f t="shared" si="127"/>
        <v>1.0092E-3</v>
      </c>
      <c r="AV94" s="44">
        <f t="shared" si="144"/>
        <v>1.0092E-3</v>
      </c>
      <c r="AW94" s="42">
        <f t="shared" si="128"/>
        <v>4</v>
      </c>
      <c r="AX94">
        <f t="shared" si="129"/>
        <v>8.6999999999999994E-2</v>
      </c>
      <c r="AY94" s="44">
        <f t="shared" si="145"/>
        <v>4.0869999999999997</v>
      </c>
      <c r="AZ94" s="42">
        <f t="shared" si="109"/>
        <v>0</v>
      </c>
      <c r="BA94">
        <f t="shared" si="110"/>
        <v>0</v>
      </c>
      <c r="BB94">
        <f t="shared" si="146"/>
        <v>0</v>
      </c>
      <c r="BC94" s="44">
        <f t="shared" si="130"/>
        <v>0</v>
      </c>
      <c r="BD94" s="42">
        <v>0</v>
      </c>
      <c r="BE94">
        <f t="shared" si="131"/>
        <v>0</v>
      </c>
      <c r="BF94" s="44">
        <f t="shared" si="147"/>
        <v>0</v>
      </c>
      <c r="BG94" s="42">
        <f t="shared" si="132"/>
        <v>0</v>
      </c>
      <c r="BH94">
        <f t="shared" si="133"/>
        <v>0</v>
      </c>
      <c r="BI94" s="44">
        <f t="shared" si="134"/>
        <v>0</v>
      </c>
      <c r="BK94" s="42">
        <f t="shared" si="111"/>
        <v>0</v>
      </c>
      <c r="BL94">
        <f t="shared" si="112"/>
        <v>0</v>
      </c>
      <c r="BM94">
        <f t="shared" si="113"/>
        <v>0</v>
      </c>
      <c r="BN94" s="44">
        <f t="shared" si="150"/>
        <v>0</v>
      </c>
      <c r="BO94" s="42">
        <v>0</v>
      </c>
      <c r="BP94">
        <f t="shared" si="136"/>
        <v>0</v>
      </c>
      <c r="BQ94" s="44">
        <f t="shared" si="148"/>
        <v>0</v>
      </c>
      <c r="BR94" s="42">
        <f t="shared" si="137"/>
        <v>0</v>
      </c>
      <c r="BS94">
        <f t="shared" si="138"/>
        <v>0</v>
      </c>
      <c r="BT94" s="44">
        <f t="shared" si="149"/>
        <v>0</v>
      </c>
      <c r="BU94" s="42">
        <f t="shared" si="114"/>
        <v>5.680394666666664E-2</v>
      </c>
      <c r="BV94">
        <f t="shared" si="115"/>
        <v>0.23625000000000002</v>
      </c>
      <c r="BW94" s="44">
        <f t="shared" si="116"/>
        <v>1.0800000000000001E-2</v>
      </c>
      <c r="BX94">
        <f t="shared" si="139"/>
        <v>1.0226732444444444</v>
      </c>
      <c r="BY94">
        <f t="shared" si="140"/>
        <v>8.2360732266113708</v>
      </c>
      <c r="BZ94">
        <f t="shared" si="141"/>
        <v>84.925576198620618</v>
      </c>
    </row>
    <row r="95" spans="17:78" x14ac:dyDescent="0.3">
      <c r="Q95">
        <v>88</v>
      </c>
      <c r="R95" s="42">
        <f t="shared" si="94"/>
        <v>46.93333333333333</v>
      </c>
      <c r="S95">
        <f t="shared" si="95"/>
        <v>24</v>
      </c>
      <c r="T95" s="44">
        <f t="shared" si="96"/>
        <v>1.9555555555555555</v>
      </c>
      <c r="U95" s="42">
        <f t="shared" si="97"/>
        <v>2</v>
      </c>
      <c r="V95">
        <f t="shared" si="98"/>
        <v>0.4</v>
      </c>
      <c r="W95">
        <f t="shared" si="99"/>
        <v>0.6</v>
      </c>
      <c r="X95">
        <f t="shared" si="117"/>
        <v>0</v>
      </c>
      <c r="Y95" s="42">
        <f t="shared" si="118"/>
        <v>4.8888888888888875</v>
      </c>
      <c r="Z95">
        <f t="shared" si="100"/>
        <v>1.9200000000000004</v>
      </c>
      <c r="AA95">
        <f t="shared" si="119"/>
        <v>5.8488888888888875</v>
      </c>
      <c r="AB95" s="44">
        <f t="shared" si="101"/>
        <v>3.1118119845454175</v>
      </c>
      <c r="AC95" s="42">
        <v>0</v>
      </c>
      <c r="AD95">
        <f t="shared" si="102"/>
        <v>9.6833738271604894E-2</v>
      </c>
      <c r="AE95" s="44">
        <f t="shared" si="120"/>
        <v>9.6833738271604894E-2</v>
      </c>
      <c r="AF95" s="42">
        <f t="shared" si="103"/>
        <v>0.93866666666666665</v>
      </c>
      <c r="AG95" s="44">
        <f t="shared" si="104"/>
        <v>0.93866666666666665</v>
      </c>
      <c r="AH95" s="42">
        <f t="shared" si="105"/>
        <v>0</v>
      </c>
      <c r="AI95">
        <f t="shared" si="106"/>
        <v>1.9153016267129062</v>
      </c>
      <c r="AJ95" s="44">
        <f t="shared" si="121"/>
        <v>1.9153016267129062</v>
      </c>
      <c r="AK95" s="42">
        <f t="shared" si="107"/>
        <v>46.93333333333333</v>
      </c>
      <c r="AL95">
        <f t="shared" si="108"/>
        <v>160</v>
      </c>
      <c r="AM95" s="44">
        <f t="shared" si="122"/>
        <v>0.29333333333333333</v>
      </c>
      <c r="AN95" s="42">
        <f t="shared" si="123"/>
        <v>2</v>
      </c>
      <c r="AO95">
        <f t="shared" si="124"/>
        <v>0.6000000000000002</v>
      </c>
      <c r="AP95">
        <f t="shared" si="125"/>
        <v>0.48888888888888871</v>
      </c>
      <c r="AQ95">
        <f t="shared" si="126"/>
        <v>0.19200000000000006</v>
      </c>
      <c r="AR95">
        <f t="shared" si="142"/>
        <v>0.58488888888888879</v>
      </c>
      <c r="AS95" s="44">
        <f t="shared" si="143"/>
        <v>0.38111757688068837</v>
      </c>
      <c r="AT95" s="42"/>
      <c r="AU95">
        <f t="shared" si="127"/>
        <v>1.0325333333333333E-3</v>
      </c>
      <c r="AV95" s="44">
        <f t="shared" si="144"/>
        <v>1.0325333333333333E-3</v>
      </c>
      <c r="AW95" s="42">
        <f t="shared" si="128"/>
        <v>4</v>
      </c>
      <c r="AX95">
        <f t="shared" si="129"/>
        <v>8.7999999999999995E-2</v>
      </c>
      <c r="AY95" s="44">
        <f t="shared" si="145"/>
        <v>4.0880000000000001</v>
      </c>
      <c r="AZ95" s="42">
        <f t="shared" si="109"/>
        <v>0</v>
      </c>
      <c r="BA95">
        <f t="shared" si="110"/>
        <v>0</v>
      </c>
      <c r="BB95">
        <f t="shared" si="146"/>
        <v>0</v>
      </c>
      <c r="BC95" s="44">
        <f t="shared" si="130"/>
        <v>0</v>
      </c>
      <c r="BD95" s="42">
        <v>0</v>
      </c>
      <c r="BE95">
        <f t="shared" si="131"/>
        <v>0</v>
      </c>
      <c r="BF95" s="44">
        <f t="shared" si="147"/>
        <v>0</v>
      </c>
      <c r="BG95" s="42">
        <f t="shared" si="132"/>
        <v>0</v>
      </c>
      <c r="BH95">
        <f t="shared" si="133"/>
        <v>0</v>
      </c>
      <c r="BI95" s="44">
        <f t="shared" si="134"/>
        <v>0</v>
      </c>
      <c r="BK95" s="42">
        <f t="shared" si="111"/>
        <v>0</v>
      </c>
      <c r="BL95">
        <f t="shared" si="112"/>
        <v>0</v>
      </c>
      <c r="BM95">
        <f t="shared" si="113"/>
        <v>0</v>
      </c>
      <c r="BN95" s="44">
        <f t="shared" si="150"/>
        <v>0</v>
      </c>
      <c r="BO95" s="42">
        <v>0</v>
      </c>
      <c r="BP95">
        <f t="shared" si="136"/>
        <v>0</v>
      </c>
      <c r="BQ95" s="44">
        <f t="shared" si="148"/>
        <v>0</v>
      </c>
      <c r="BR95" s="42">
        <f t="shared" si="137"/>
        <v>0</v>
      </c>
      <c r="BS95">
        <f t="shared" si="138"/>
        <v>0</v>
      </c>
      <c r="BT95" s="44">
        <f t="shared" si="149"/>
        <v>0</v>
      </c>
      <c r="BU95" s="42">
        <f t="shared" si="114"/>
        <v>5.8100242962962935E-2</v>
      </c>
      <c r="BV95">
        <f t="shared" si="115"/>
        <v>0.23625000000000002</v>
      </c>
      <c r="BW95" s="44">
        <f t="shared" si="116"/>
        <v>1.0800000000000001E-2</v>
      </c>
      <c r="BX95">
        <f t="shared" si="139"/>
        <v>1.0355004049382714</v>
      </c>
      <c r="BY95">
        <f t="shared" si="140"/>
        <v>8.2836514746141408</v>
      </c>
      <c r="BZ95">
        <f t="shared" si="141"/>
        <v>84.998001061764143</v>
      </c>
    </row>
    <row r="96" spans="17:78" x14ac:dyDescent="0.3">
      <c r="Q96">
        <v>89</v>
      </c>
      <c r="R96" s="42">
        <f t="shared" si="94"/>
        <v>47.466666666666669</v>
      </c>
      <c r="S96">
        <f t="shared" si="95"/>
        <v>24</v>
      </c>
      <c r="T96" s="44">
        <f t="shared" si="96"/>
        <v>1.9777777777777779</v>
      </c>
      <c r="U96" s="42">
        <f t="shared" si="97"/>
        <v>2</v>
      </c>
      <c r="V96">
        <f t="shared" si="98"/>
        <v>0.4</v>
      </c>
      <c r="W96">
        <f t="shared" si="99"/>
        <v>0.6</v>
      </c>
      <c r="X96">
        <f t="shared" si="117"/>
        <v>0</v>
      </c>
      <c r="Y96" s="42">
        <f t="shared" si="118"/>
        <v>4.9444444444444438</v>
      </c>
      <c r="Z96">
        <f t="shared" si="100"/>
        <v>1.9200000000000004</v>
      </c>
      <c r="AA96">
        <f t="shared" si="119"/>
        <v>5.9044444444444437</v>
      </c>
      <c r="AB96" s="44">
        <f t="shared" si="101"/>
        <v>3.1467272436102576</v>
      </c>
      <c r="AC96" s="42">
        <v>0</v>
      </c>
      <c r="AD96">
        <f t="shared" si="102"/>
        <v>9.9018923456790087E-2</v>
      </c>
      <c r="AE96" s="44">
        <f t="shared" si="120"/>
        <v>9.9018923456790087E-2</v>
      </c>
      <c r="AF96" s="42">
        <f t="shared" si="103"/>
        <v>0.94933333333333336</v>
      </c>
      <c r="AG96" s="44">
        <f t="shared" si="104"/>
        <v>0.94933333333333336</v>
      </c>
      <c r="AH96" s="42">
        <f t="shared" si="105"/>
        <v>0</v>
      </c>
      <c r="AI96">
        <f t="shared" si="106"/>
        <v>1.937066417925553</v>
      </c>
      <c r="AJ96" s="44">
        <f t="shared" si="121"/>
        <v>1.937066417925553</v>
      </c>
      <c r="AK96" s="42">
        <f t="shared" si="107"/>
        <v>47.466666666666669</v>
      </c>
      <c r="AL96">
        <f t="shared" si="108"/>
        <v>160</v>
      </c>
      <c r="AM96" s="44">
        <f t="shared" si="122"/>
        <v>0.29666666666666669</v>
      </c>
      <c r="AN96" s="42">
        <f t="shared" si="123"/>
        <v>2</v>
      </c>
      <c r="AO96">
        <f t="shared" si="124"/>
        <v>0.60000000000000009</v>
      </c>
      <c r="AP96">
        <f t="shared" si="125"/>
        <v>0.49444444444444441</v>
      </c>
      <c r="AQ96">
        <f t="shared" si="126"/>
        <v>0.19200000000000003</v>
      </c>
      <c r="AR96">
        <f t="shared" si="142"/>
        <v>0.59044444444444444</v>
      </c>
      <c r="AS96" s="44">
        <f t="shared" si="143"/>
        <v>0.38539380532798556</v>
      </c>
      <c r="AT96" s="42"/>
      <c r="AU96">
        <f t="shared" si="127"/>
        <v>1.0561333333333335E-3</v>
      </c>
      <c r="AV96" s="44">
        <f t="shared" si="144"/>
        <v>1.0561333333333335E-3</v>
      </c>
      <c r="AW96" s="42">
        <f t="shared" si="128"/>
        <v>4</v>
      </c>
      <c r="AX96">
        <f t="shared" si="129"/>
        <v>8.900000000000001E-2</v>
      </c>
      <c r="AY96" s="44">
        <f t="shared" si="145"/>
        <v>4.0890000000000004</v>
      </c>
      <c r="AZ96" s="42">
        <f t="shared" si="109"/>
        <v>0</v>
      </c>
      <c r="BA96">
        <f t="shared" si="110"/>
        <v>0</v>
      </c>
      <c r="BB96">
        <f t="shared" si="146"/>
        <v>0</v>
      </c>
      <c r="BC96" s="44">
        <f t="shared" si="130"/>
        <v>0</v>
      </c>
      <c r="BD96" s="42">
        <v>0</v>
      </c>
      <c r="BE96">
        <f t="shared" si="131"/>
        <v>0</v>
      </c>
      <c r="BF96" s="44">
        <f t="shared" si="147"/>
        <v>0</v>
      </c>
      <c r="BG96" s="42">
        <f t="shared" si="132"/>
        <v>0</v>
      </c>
      <c r="BH96">
        <f t="shared" si="133"/>
        <v>0</v>
      </c>
      <c r="BI96" s="44">
        <f t="shared" si="134"/>
        <v>0</v>
      </c>
      <c r="BK96" s="42">
        <f t="shared" si="111"/>
        <v>0</v>
      </c>
      <c r="BL96">
        <f t="shared" si="112"/>
        <v>0</v>
      </c>
      <c r="BM96">
        <f t="shared" si="113"/>
        <v>0</v>
      </c>
      <c r="BN96" s="44">
        <f t="shared" si="150"/>
        <v>0</v>
      </c>
      <c r="BO96" s="42">
        <v>0</v>
      </c>
      <c r="BP96">
        <f t="shared" si="136"/>
        <v>0</v>
      </c>
      <c r="BQ96" s="44">
        <f t="shared" si="148"/>
        <v>0</v>
      </c>
      <c r="BR96" s="42">
        <f t="shared" si="137"/>
        <v>0</v>
      </c>
      <c r="BS96">
        <f t="shared" si="138"/>
        <v>0</v>
      </c>
      <c r="BT96" s="44">
        <f t="shared" si="149"/>
        <v>0</v>
      </c>
      <c r="BU96" s="42">
        <f t="shared" si="114"/>
        <v>5.9411354074074059E-2</v>
      </c>
      <c r="BV96">
        <f t="shared" si="115"/>
        <v>0.23625000000000002</v>
      </c>
      <c r="BW96" s="44">
        <f t="shared" si="116"/>
        <v>1.0800000000000001E-2</v>
      </c>
      <c r="BX96">
        <f t="shared" si="139"/>
        <v>1.0483522567901233</v>
      </c>
      <c r="BY96">
        <f t="shared" si="140"/>
        <v>8.3312694954564162</v>
      </c>
      <c r="BZ96">
        <f t="shared" si="141"/>
        <v>85.068857258000392</v>
      </c>
    </row>
    <row r="97" spans="17:78" x14ac:dyDescent="0.3">
      <c r="Q97">
        <v>90</v>
      </c>
      <c r="R97" s="42">
        <f t="shared" si="94"/>
        <v>48</v>
      </c>
      <c r="S97">
        <f t="shared" si="95"/>
        <v>24</v>
      </c>
      <c r="T97" s="44">
        <f t="shared" si="96"/>
        <v>2</v>
      </c>
      <c r="U97" s="42">
        <f t="shared" si="97"/>
        <v>2</v>
      </c>
      <c r="V97">
        <f t="shared" si="98"/>
        <v>0.4</v>
      </c>
      <c r="W97">
        <f t="shared" si="99"/>
        <v>0.6</v>
      </c>
      <c r="X97">
        <f t="shared" si="117"/>
        <v>0</v>
      </c>
      <c r="Y97" s="42">
        <f t="shared" si="118"/>
        <v>4.9999999999999991</v>
      </c>
      <c r="Z97">
        <f t="shared" si="100"/>
        <v>1.9200000000000004</v>
      </c>
      <c r="AA97">
        <f t="shared" si="119"/>
        <v>5.9599999999999991</v>
      </c>
      <c r="AB97" s="44">
        <f t="shared" si="101"/>
        <v>3.1816473720385789</v>
      </c>
      <c r="AC97" s="42">
        <v>0</v>
      </c>
      <c r="AD97">
        <f t="shared" si="102"/>
        <v>0.10122879999999995</v>
      </c>
      <c r="AE97" s="44">
        <f t="shared" si="120"/>
        <v>0.10122879999999995</v>
      </c>
      <c r="AF97" s="42">
        <f t="shared" si="103"/>
        <v>0.96</v>
      </c>
      <c r="AG97" s="44">
        <f t="shared" si="104"/>
        <v>0.96</v>
      </c>
      <c r="AH97" s="42">
        <f t="shared" si="105"/>
        <v>0</v>
      </c>
      <c r="AI97">
        <f t="shared" si="106"/>
        <v>1.9588312091381999</v>
      </c>
      <c r="AJ97" s="44">
        <f t="shared" si="121"/>
        <v>1.9588312091381999</v>
      </c>
      <c r="AK97" s="42">
        <f t="shared" si="107"/>
        <v>48</v>
      </c>
      <c r="AL97">
        <f t="shared" si="108"/>
        <v>160</v>
      </c>
      <c r="AM97" s="44">
        <f t="shared" si="122"/>
        <v>0.3</v>
      </c>
      <c r="AN97" s="42">
        <f t="shared" si="123"/>
        <v>2</v>
      </c>
      <c r="AO97">
        <f t="shared" si="124"/>
        <v>0.60000000000000009</v>
      </c>
      <c r="AP97">
        <f t="shared" si="125"/>
        <v>0.49999999999999989</v>
      </c>
      <c r="AQ97">
        <f t="shared" si="126"/>
        <v>0.19200000000000003</v>
      </c>
      <c r="AR97">
        <f t="shared" si="142"/>
        <v>0.59599999999999986</v>
      </c>
      <c r="AS97" s="44">
        <f t="shared" si="143"/>
        <v>0.38967063014807768</v>
      </c>
      <c r="AT97" s="42"/>
      <c r="AU97">
        <f t="shared" si="127"/>
        <v>1.08E-3</v>
      </c>
      <c r="AV97" s="44">
        <f t="shared" si="144"/>
        <v>1.08E-3</v>
      </c>
      <c r="AW97" s="42">
        <f t="shared" si="128"/>
        <v>4</v>
      </c>
      <c r="AX97">
        <f t="shared" si="129"/>
        <v>0.09</v>
      </c>
      <c r="AY97" s="44">
        <f t="shared" si="145"/>
        <v>4.09</v>
      </c>
      <c r="AZ97" s="42">
        <f t="shared" si="109"/>
        <v>0</v>
      </c>
      <c r="BA97">
        <f t="shared" si="110"/>
        <v>0</v>
      </c>
      <c r="BB97">
        <f t="shared" si="146"/>
        <v>0</v>
      </c>
      <c r="BC97" s="44">
        <f t="shared" si="130"/>
        <v>0</v>
      </c>
      <c r="BD97" s="42">
        <v>0</v>
      </c>
      <c r="BE97">
        <f t="shared" si="131"/>
        <v>0</v>
      </c>
      <c r="BF97" s="44">
        <f t="shared" si="147"/>
        <v>0</v>
      </c>
      <c r="BG97" s="42">
        <f t="shared" si="132"/>
        <v>0</v>
      </c>
      <c r="BH97">
        <f t="shared" si="133"/>
        <v>0</v>
      </c>
      <c r="BI97" s="44">
        <f t="shared" si="134"/>
        <v>0</v>
      </c>
      <c r="BK97" s="42">
        <f t="shared" si="111"/>
        <v>0</v>
      </c>
      <c r="BL97">
        <f t="shared" si="112"/>
        <v>0</v>
      </c>
      <c r="BM97">
        <f t="shared" si="113"/>
        <v>0</v>
      </c>
      <c r="BN97" s="44">
        <f t="shared" si="150"/>
        <v>0</v>
      </c>
      <c r="BO97" s="42">
        <v>0</v>
      </c>
      <c r="BP97">
        <f t="shared" si="136"/>
        <v>0</v>
      </c>
      <c r="BQ97" s="44">
        <f t="shared" si="148"/>
        <v>0</v>
      </c>
      <c r="BR97" s="42">
        <f t="shared" si="137"/>
        <v>0</v>
      </c>
      <c r="BS97">
        <f t="shared" si="138"/>
        <v>0</v>
      </c>
      <c r="BT97" s="44">
        <f t="shared" si="149"/>
        <v>0</v>
      </c>
      <c r="BU97" s="42">
        <f t="shared" si="114"/>
        <v>6.073727999999997E-2</v>
      </c>
      <c r="BV97">
        <f t="shared" si="115"/>
        <v>0.23625000000000002</v>
      </c>
      <c r="BW97" s="44">
        <f t="shared" si="116"/>
        <v>1.0800000000000001E-2</v>
      </c>
      <c r="BX97">
        <f t="shared" si="139"/>
        <v>1.0612287999999999</v>
      </c>
      <c r="BY97">
        <f t="shared" si="140"/>
        <v>8.3789272891382005</v>
      </c>
      <c r="BZ97">
        <f t="shared" si="141"/>
        <v>85.138193129913518</v>
      </c>
    </row>
    <row r="98" spans="17:78" x14ac:dyDescent="0.3">
      <c r="Q98">
        <v>91</v>
      </c>
      <c r="R98" s="42">
        <f t="shared" si="94"/>
        <v>48.533333333333331</v>
      </c>
      <c r="S98">
        <f t="shared" si="95"/>
        <v>24</v>
      </c>
      <c r="T98" s="44">
        <f t="shared" si="96"/>
        <v>2.0222222222222221</v>
      </c>
      <c r="U98" s="42">
        <f t="shared" si="97"/>
        <v>2</v>
      </c>
      <c r="V98">
        <f t="shared" si="98"/>
        <v>0.4</v>
      </c>
      <c r="W98">
        <f t="shared" si="99"/>
        <v>0.6</v>
      </c>
      <c r="X98">
        <f t="shared" si="117"/>
        <v>0</v>
      </c>
      <c r="Y98" s="42">
        <f t="shared" si="118"/>
        <v>5.0555555555555545</v>
      </c>
      <c r="Z98">
        <f t="shared" si="100"/>
        <v>1.9200000000000004</v>
      </c>
      <c r="AA98">
        <f t="shared" si="119"/>
        <v>6.0155555555555544</v>
      </c>
      <c r="AB98" s="44">
        <f t="shared" si="101"/>
        <v>3.2165722112403214</v>
      </c>
      <c r="AC98" s="42">
        <v>0</v>
      </c>
      <c r="AD98">
        <f t="shared" si="102"/>
        <v>0.1034633679012345</v>
      </c>
      <c r="AE98" s="44">
        <f t="shared" si="120"/>
        <v>0.1034633679012345</v>
      </c>
      <c r="AF98" s="42">
        <f t="shared" si="103"/>
        <v>0.97066666666666668</v>
      </c>
      <c r="AG98" s="44">
        <f t="shared" si="104"/>
        <v>0.97066666666666668</v>
      </c>
      <c r="AH98" s="42">
        <f t="shared" si="105"/>
        <v>0</v>
      </c>
      <c r="AI98">
        <f t="shared" si="106"/>
        <v>1.9805960003508463</v>
      </c>
      <c r="AJ98" s="44">
        <f t="shared" si="121"/>
        <v>1.9805960003508463</v>
      </c>
      <c r="AK98" s="42">
        <f t="shared" si="107"/>
        <v>48.533333333333331</v>
      </c>
      <c r="AL98">
        <f t="shared" si="108"/>
        <v>160</v>
      </c>
      <c r="AM98" s="44">
        <f t="shared" si="122"/>
        <v>0.30333333333333334</v>
      </c>
      <c r="AN98" s="42">
        <f t="shared" si="123"/>
        <v>2</v>
      </c>
      <c r="AO98">
        <f t="shared" si="124"/>
        <v>0.6000000000000002</v>
      </c>
      <c r="AP98">
        <f t="shared" si="125"/>
        <v>0.50555555555555542</v>
      </c>
      <c r="AQ98">
        <f t="shared" si="126"/>
        <v>0.19200000000000006</v>
      </c>
      <c r="AR98">
        <f t="shared" si="142"/>
        <v>0.6015555555555554</v>
      </c>
      <c r="AS98" s="44">
        <f t="shared" si="143"/>
        <v>0.3939480319177287</v>
      </c>
      <c r="AT98" s="42"/>
      <c r="AU98">
        <f t="shared" si="127"/>
        <v>1.1041333333333334E-3</v>
      </c>
      <c r="AV98" s="44">
        <f t="shared" si="144"/>
        <v>1.1041333333333334E-3</v>
      </c>
      <c r="AW98" s="42">
        <f t="shared" si="128"/>
        <v>4</v>
      </c>
      <c r="AX98">
        <f t="shared" si="129"/>
        <v>9.0999999999999998E-2</v>
      </c>
      <c r="AY98" s="44">
        <f t="shared" si="145"/>
        <v>4.0910000000000002</v>
      </c>
      <c r="AZ98" s="42">
        <f t="shared" si="109"/>
        <v>0</v>
      </c>
      <c r="BA98">
        <f t="shared" si="110"/>
        <v>0</v>
      </c>
      <c r="BB98">
        <f>IF(EN_OUT_2=1,AZ98/BA98,0)</f>
        <v>0</v>
      </c>
      <c r="BC98" s="44">
        <f t="shared" si="130"/>
        <v>0</v>
      </c>
      <c r="BD98" s="42">
        <v>0</v>
      </c>
      <c r="BE98">
        <f t="shared" si="131"/>
        <v>0</v>
      </c>
      <c r="BF98" s="44">
        <f t="shared" si="147"/>
        <v>0</v>
      </c>
      <c r="BG98" s="42">
        <f t="shared" si="132"/>
        <v>0</v>
      </c>
      <c r="BH98">
        <f t="shared" si="133"/>
        <v>0</v>
      </c>
      <c r="BI98" s="44">
        <f t="shared" si="134"/>
        <v>0</v>
      </c>
      <c r="BK98" s="42">
        <f t="shared" si="111"/>
        <v>0</v>
      </c>
      <c r="BL98">
        <f t="shared" si="112"/>
        <v>0</v>
      </c>
      <c r="BM98">
        <f t="shared" si="113"/>
        <v>0</v>
      </c>
      <c r="BN98" s="44">
        <f t="shared" si="150"/>
        <v>0</v>
      </c>
      <c r="BO98" s="42">
        <v>0</v>
      </c>
      <c r="BP98">
        <f t="shared" si="136"/>
        <v>0</v>
      </c>
      <c r="BQ98" s="44">
        <f t="shared" si="148"/>
        <v>0</v>
      </c>
      <c r="BR98" s="42">
        <f t="shared" si="137"/>
        <v>0</v>
      </c>
      <c r="BS98">
        <f t="shared" si="138"/>
        <v>0</v>
      </c>
      <c r="BT98" s="44">
        <f t="shared" si="149"/>
        <v>0</v>
      </c>
      <c r="BU98" s="42">
        <f t="shared" si="114"/>
        <v>6.2078020740740703E-2</v>
      </c>
      <c r="BV98">
        <f t="shared" si="115"/>
        <v>0.23625000000000002</v>
      </c>
      <c r="BW98" s="44">
        <f t="shared" si="116"/>
        <v>1.0800000000000001E-2</v>
      </c>
      <c r="BX98">
        <f t="shared" si="139"/>
        <v>1.0741300345679012</v>
      </c>
      <c r="BY98">
        <f t="shared" si="140"/>
        <v>8.4266248556594885</v>
      </c>
      <c r="BZ98">
        <f t="shared" si="141"/>
        <v>85.206055054148749</v>
      </c>
    </row>
    <row r="99" spans="17:78" x14ac:dyDescent="0.3">
      <c r="Q99">
        <v>92</v>
      </c>
      <c r="R99" s="42">
        <f t="shared" si="94"/>
        <v>49.066666666666663</v>
      </c>
      <c r="S99">
        <f t="shared" si="95"/>
        <v>24</v>
      </c>
      <c r="T99" s="44">
        <f t="shared" si="96"/>
        <v>2.0444444444444443</v>
      </c>
      <c r="U99" s="42">
        <f t="shared" si="97"/>
        <v>2</v>
      </c>
      <c r="V99">
        <f t="shared" si="98"/>
        <v>0.4</v>
      </c>
      <c r="W99">
        <f t="shared" si="99"/>
        <v>0.6</v>
      </c>
      <c r="X99">
        <f t="shared" si="117"/>
        <v>0</v>
      </c>
      <c r="Y99" s="42">
        <f t="shared" si="118"/>
        <v>5.1111111111111098</v>
      </c>
      <c r="Z99">
        <f t="shared" si="100"/>
        <v>1.9200000000000004</v>
      </c>
      <c r="AA99">
        <f t="shared" si="119"/>
        <v>6.0711111111111098</v>
      </c>
      <c r="AB99" s="44">
        <f t="shared" si="101"/>
        <v>3.2515016094182352</v>
      </c>
      <c r="AC99" s="42">
        <v>0</v>
      </c>
      <c r="AD99">
        <f t="shared" si="102"/>
        <v>0.10572262716049373</v>
      </c>
      <c r="AE99" s="44">
        <f t="shared" si="120"/>
        <v>0.10572262716049373</v>
      </c>
      <c r="AF99" s="42">
        <f t="shared" si="103"/>
        <v>0.98133333333333328</v>
      </c>
      <c r="AG99" s="44">
        <f t="shared" si="104"/>
        <v>0.98133333333333328</v>
      </c>
      <c r="AH99" s="42">
        <f t="shared" si="105"/>
        <v>0</v>
      </c>
      <c r="AI99">
        <f t="shared" si="106"/>
        <v>2.0023607915634929</v>
      </c>
      <c r="AJ99" s="44">
        <f t="shared" si="121"/>
        <v>2.0023607915634929</v>
      </c>
      <c r="AK99" s="42">
        <f t="shared" si="107"/>
        <v>49.066666666666663</v>
      </c>
      <c r="AL99">
        <f t="shared" si="108"/>
        <v>160</v>
      </c>
      <c r="AM99" s="44">
        <f t="shared" si="122"/>
        <v>0.30666666666666664</v>
      </c>
      <c r="AN99" s="42">
        <f t="shared" si="123"/>
        <v>2</v>
      </c>
      <c r="AO99">
        <f t="shared" si="124"/>
        <v>0.60000000000000009</v>
      </c>
      <c r="AP99">
        <f t="shared" si="125"/>
        <v>0.51111111111111096</v>
      </c>
      <c r="AQ99">
        <f t="shared" si="126"/>
        <v>0.19200000000000003</v>
      </c>
      <c r="AR99">
        <f t="shared" si="142"/>
        <v>0.60711111111111093</v>
      </c>
      <c r="AS99" s="44">
        <f t="shared" si="143"/>
        <v>0.39822599204564818</v>
      </c>
      <c r="AT99" s="42"/>
      <c r="AU99">
        <f t="shared" si="127"/>
        <v>1.1285333333333333E-3</v>
      </c>
      <c r="AV99" s="44">
        <f t="shared" si="144"/>
        <v>1.1285333333333333E-3</v>
      </c>
      <c r="AW99" s="42">
        <f t="shared" si="128"/>
        <v>4</v>
      </c>
      <c r="AX99">
        <f t="shared" si="129"/>
        <v>9.1999999999999985E-2</v>
      </c>
      <c r="AY99" s="44">
        <f t="shared" si="145"/>
        <v>4.0919999999999996</v>
      </c>
      <c r="AZ99" s="42">
        <f t="shared" si="109"/>
        <v>0</v>
      </c>
      <c r="BA99">
        <f t="shared" si="110"/>
        <v>0</v>
      </c>
      <c r="BB99">
        <f t="shared" si="146"/>
        <v>0</v>
      </c>
      <c r="BC99" s="44">
        <f t="shared" si="130"/>
        <v>0</v>
      </c>
      <c r="BD99" s="42">
        <v>0</v>
      </c>
      <c r="BE99">
        <f t="shared" si="131"/>
        <v>0</v>
      </c>
      <c r="BF99" s="44">
        <f t="shared" si="147"/>
        <v>0</v>
      </c>
      <c r="BG99" s="42">
        <f t="shared" si="132"/>
        <v>0</v>
      </c>
      <c r="BH99">
        <f t="shared" si="133"/>
        <v>0</v>
      </c>
      <c r="BI99" s="44">
        <f t="shared" si="134"/>
        <v>0</v>
      </c>
      <c r="BK99" s="42">
        <f t="shared" si="111"/>
        <v>0</v>
      </c>
      <c r="BL99">
        <f t="shared" si="112"/>
        <v>0</v>
      </c>
      <c r="BM99">
        <f t="shared" si="113"/>
        <v>0</v>
      </c>
      <c r="BN99" s="44">
        <f t="shared" si="150"/>
        <v>0</v>
      </c>
      <c r="BO99" s="42">
        <v>0</v>
      </c>
      <c r="BP99">
        <f t="shared" si="136"/>
        <v>0</v>
      </c>
      <c r="BQ99" s="44">
        <f t="shared" si="148"/>
        <v>0</v>
      </c>
      <c r="BR99" s="42">
        <f t="shared" si="137"/>
        <v>0</v>
      </c>
      <c r="BS99">
        <f t="shared" si="138"/>
        <v>0</v>
      </c>
      <c r="BT99" s="44">
        <f t="shared" si="149"/>
        <v>0</v>
      </c>
      <c r="BU99" s="42">
        <f t="shared" si="114"/>
        <v>6.3433576296296243E-2</v>
      </c>
      <c r="BV99">
        <f t="shared" si="115"/>
        <v>0.23625000000000002</v>
      </c>
      <c r="BW99" s="44">
        <f t="shared" si="116"/>
        <v>1.0800000000000001E-2</v>
      </c>
      <c r="BX99">
        <f t="shared" si="139"/>
        <v>1.087055960493827</v>
      </c>
      <c r="BY99">
        <f t="shared" si="140"/>
        <v>8.4743621950202819</v>
      </c>
      <c r="BZ99">
        <f t="shared" si="141"/>
        <v>85.272487540342112</v>
      </c>
    </row>
    <row r="100" spans="17:78" x14ac:dyDescent="0.3">
      <c r="Q100">
        <v>93</v>
      </c>
      <c r="R100" s="42">
        <f t="shared" si="94"/>
        <v>49.6</v>
      </c>
      <c r="S100">
        <f t="shared" si="95"/>
        <v>24</v>
      </c>
      <c r="T100" s="44">
        <f t="shared" si="96"/>
        <v>2.0666666666666669</v>
      </c>
      <c r="U100" s="42">
        <f t="shared" si="97"/>
        <v>2</v>
      </c>
      <c r="V100">
        <f t="shared" si="98"/>
        <v>0.4</v>
      </c>
      <c r="W100">
        <f t="shared" si="99"/>
        <v>0.6</v>
      </c>
      <c r="X100">
        <f t="shared" si="117"/>
        <v>0</v>
      </c>
      <c r="Y100" s="42">
        <f t="shared" si="118"/>
        <v>5.1666666666666661</v>
      </c>
      <c r="Z100">
        <f t="shared" si="100"/>
        <v>1.9200000000000004</v>
      </c>
      <c r="AA100">
        <f t="shared" si="119"/>
        <v>6.126666666666666</v>
      </c>
      <c r="AB100" s="44">
        <f t="shared" si="101"/>
        <v>3.2864354212090907</v>
      </c>
      <c r="AC100" s="42">
        <v>0</v>
      </c>
      <c r="AD100">
        <f t="shared" si="102"/>
        <v>0.10800657777777774</v>
      </c>
      <c r="AE100" s="44">
        <f t="shared" si="120"/>
        <v>0.10800657777777774</v>
      </c>
      <c r="AF100" s="42">
        <f t="shared" si="103"/>
        <v>0.9920000000000001</v>
      </c>
      <c r="AG100" s="44">
        <f t="shared" si="104"/>
        <v>0.9920000000000001</v>
      </c>
      <c r="AH100" s="42">
        <f t="shared" si="105"/>
        <v>0</v>
      </c>
      <c r="AI100">
        <f t="shared" si="106"/>
        <v>2.0241255827761395</v>
      </c>
      <c r="AJ100" s="44">
        <f t="shared" si="121"/>
        <v>2.0241255827761395</v>
      </c>
      <c r="AK100" s="42">
        <f t="shared" si="107"/>
        <v>49.6</v>
      </c>
      <c r="AL100">
        <f t="shared" si="108"/>
        <v>160</v>
      </c>
      <c r="AM100" s="44">
        <f t="shared" si="122"/>
        <v>0.31</v>
      </c>
      <c r="AN100" s="42">
        <f t="shared" si="123"/>
        <v>2</v>
      </c>
      <c r="AO100">
        <f t="shared" si="124"/>
        <v>0.60000000000000009</v>
      </c>
      <c r="AP100">
        <f t="shared" si="125"/>
        <v>0.51666666666666661</v>
      </c>
      <c r="AQ100">
        <f t="shared" si="126"/>
        <v>0.19200000000000003</v>
      </c>
      <c r="AR100">
        <f t="shared" si="142"/>
        <v>0.61266666666666658</v>
      </c>
      <c r="AS100" s="44">
        <f t="shared" si="143"/>
        <v>0.40250449272854905</v>
      </c>
      <c r="AT100" s="42"/>
      <c r="AU100">
        <f t="shared" si="127"/>
        <v>1.1532000000000001E-3</v>
      </c>
      <c r="AV100" s="44">
        <f t="shared" si="144"/>
        <v>1.1532000000000001E-3</v>
      </c>
      <c r="AW100" s="42">
        <f t="shared" si="128"/>
        <v>4</v>
      </c>
      <c r="AX100">
        <f t="shared" si="129"/>
        <v>9.2999999999999999E-2</v>
      </c>
      <c r="AY100" s="44">
        <f t="shared" si="145"/>
        <v>4.093</v>
      </c>
      <c r="AZ100" s="42">
        <f t="shared" si="109"/>
        <v>0</v>
      </c>
      <c r="BA100">
        <f t="shared" si="110"/>
        <v>0</v>
      </c>
      <c r="BB100">
        <f t="shared" si="146"/>
        <v>0</v>
      </c>
      <c r="BC100" s="44">
        <f t="shared" si="130"/>
        <v>0</v>
      </c>
      <c r="BD100" s="42">
        <v>0</v>
      </c>
      <c r="BE100">
        <f t="shared" si="131"/>
        <v>0</v>
      </c>
      <c r="BF100" s="44">
        <f t="shared" si="147"/>
        <v>0</v>
      </c>
      <c r="BG100" s="42">
        <f t="shared" si="132"/>
        <v>0</v>
      </c>
      <c r="BH100">
        <f t="shared" si="133"/>
        <v>0</v>
      </c>
      <c r="BI100" s="44">
        <f t="shared" si="134"/>
        <v>0</v>
      </c>
      <c r="BK100" s="42">
        <f t="shared" si="111"/>
        <v>0</v>
      </c>
      <c r="BL100">
        <f t="shared" si="112"/>
        <v>0</v>
      </c>
      <c r="BM100">
        <f t="shared" si="113"/>
        <v>0</v>
      </c>
      <c r="BN100" s="44">
        <f t="shared" si="150"/>
        <v>0</v>
      </c>
      <c r="BO100" s="42">
        <v>0</v>
      </c>
      <c r="BP100">
        <f t="shared" si="136"/>
        <v>0</v>
      </c>
      <c r="BQ100" s="44">
        <f t="shared" si="148"/>
        <v>0</v>
      </c>
      <c r="BR100" s="42">
        <f t="shared" si="137"/>
        <v>0</v>
      </c>
      <c r="BS100">
        <f t="shared" si="138"/>
        <v>0</v>
      </c>
      <c r="BT100" s="44">
        <f t="shared" si="149"/>
        <v>0</v>
      </c>
      <c r="BU100" s="42">
        <f t="shared" si="114"/>
        <v>6.480394666666664E-2</v>
      </c>
      <c r="BV100">
        <f t="shared" si="115"/>
        <v>0.23625000000000002</v>
      </c>
      <c r="BW100" s="44">
        <f t="shared" si="116"/>
        <v>1.0800000000000001E-2</v>
      </c>
      <c r="BX100">
        <f t="shared" si="139"/>
        <v>1.1000065777777779</v>
      </c>
      <c r="BY100">
        <f t="shared" si="140"/>
        <v>8.522139307220586</v>
      </c>
      <c r="BZ100">
        <f t="shared" si="141"/>
        <v>85.337533324135805</v>
      </c>
    </row>
    <row r="101" spans="17:78" x14ac:dyDescent="0.3">
      <c r="Q101">
        <v>94</v>
      </c>
      <c r="R101" s="42">
        <f t="shared" si="94"/>
        <v>50.133333333333333</v>
      </c>
      <c r="S101">
        <f t="shared" si="95"/>
        <v>24</v>
      </c>
      <c r="T101" s="44">
        <f t="shared" si="96"/>
        <v>2.088888888888889</v>
      </c>
      <c r="U101" s="42">
        <f t="shared" si="97"/>
        <v>2</v>
      </c>
      <c r="V101">
        <f t="shared" si="98"/>
        <v>0.4</v>
      </c>
      <c r="W101">
        <f t="shared" si="99"/>
        <v>0.6</v>
      </c>
      <c r="X101">
        <f t="shared" si="117"/>
        <v>0</v>
      </c>
      <c r="Y101" s="42">
        <f t="shared" si="118"/>
        <v>5.2222222222222214</v>
      </c>
      <c r="Z101">
        <f t="shared" si="100"/>
        <v>1.9200000000000004</v>
      </c>
      <c r="AA101">
        <f t="shared" si="119"/>
        <v>6.1822222222222214</v>
      </c>
      <c r="AB101" s="44">
        <f t="shared" si="101"/>
        <v>3.3213735073473201</v>
      </c>
      <c r="AC101" s="42">
        <v>0</v>
      </c>
      <c r="AD101">
        <f t="shared" si="102"/>
        <v>0.11031521975308639</v>
      </c>
      <c r="AE101" s="44">
        <f t="shared" si="120"/>
        <v>0.11031521975308639</v>
      </c>
      <c r="AF101" s="42">
        <f t="shared" si="103"/>
        <v>1.0026666666666666</v>
      </c>
      <c r="AG101" s="44">
        <f t="shared" si="104"/>
        <v>1.0026666666666666</v>
      </c>
      <c r="AH101" s="42">
        <f t="shared" si="105"/>
        <v>0</v>
      </c>
      <c r="AI101">
        <f t="shared" si="106"/>
        <v>2.0458903739887866</v>
      </c>
      <c r="AJ101" s="44">
        <f t="shared" si="121"/>
        <v>2.0458903739887866</v>
      </c>
      <c r="AK101" s="42">
        <f t="shared" si="107"/>
        <v>50.133333333333333</v>
      </c>
      <c r="AL101">
        <f t="shared" si="108"/>
        <v>160</v>
      </c>
      <c r="AM101" s="44">
        <f t="shared" si="122"/>
        <v>0.31333333333333335</v>
      </c>
      <c r="AN101" s="42">
        <f t="shared" si="123"/>
        <v>2</v>
      </c>
      <c r="AO101">
        <f t="shared" si="124"/>
        <v>0.60000000000000009</v>
      </c>
      <c r="AP101">
        <f t="shared" si="125"/>
        <v>0.52222222222222214</v>
      </c>
      <c r="AQ101">
        <f t="shared" si="126"/>
        <v>0.19200000000000003</v>
      </c>
      <c r="AR101">
        <f t="shared" si="142"/>
        <v>0.61822222222222212</v>
      </c>
      <c r="AS101" s="44">
        <f t="shared" si="143"/>
        <v>0.40678351690995246</v>
      </c>
      <c r="AT101" s="42"/>
      <c r="AU101">
        <f t="shared" si="127"/>
        <v>1.1781333333333336E-3</v>
      </c>
      <c r="AV101" s="44">
        <f t="shared" si="144"/>
        <v>1.1781333333333336E-3</v>
      </c>
      <c r="AW101" s="42">
        <f t="shared" si="128"/>
        <v>4</v>
      </c>
      <c r="AX101">
        <f t="shared" si="129"/>
        <v>9.4E-2</v>
      </c>
      <c r="AY101" s="44">
        <f t="shared" si="145"/>
        <v>4.0940000000000003</v>
      </c>
      <c r="AZ101" s="42">
        <f t="shared" si="109"/>
        <v>0</v>
      </c>
      <c r="BA101">
        <f t="shared" si="110"/>
        <v>0</v>
      </c>
      <c r="BB101">
        <f t="shared" si="146"/>
        <v>0</v>
      </c>
      <c r="BC101" s="44">
        <f t="shared" si="130"/>
        <v>0</v>
      </c>
      <c r="BD101" s="42">
        <v>0</v>
      </c>
      <c r="BE101">
        <f t="shared" si="131"/>
        <v>0</v>
      </c>
      <c r="BF101" s="44">
        <f t="shared" si="147"/>
        <v>0</v>
      </c>
      <c r="BG101" s="42">
        <f t="shared" si="132"/>
        <v>0</v>
      </c>
      <c r="BH101">
        <f t="shared" si="133"/>
        <v>0</v>
      </c>
      <c r="BI101" s="44">
        <f t="shared" si="134"/>
        <v>0</v>
      </c>
      <c r="BK101" s="42">
        <f t="shared" si="111"/>
        <v>0</v>
      </c>
      <c r="BL101">
        <f t="shared" si="112"/>
        <v>0</v>
      </c>
      <c r="BM101">
        <f t="shared" si="113"/>
        <v>0</v>
      </c>
      <c r="BN101" s="44">
        <f t="shared" si="150"/>
        <v>0</v>
      </c>
      <c r="BO101" s="42">
        <v>0</v>
      </c>
      <c r="BP101">
        <f t="shared" si="136"/>
        <v>0</v>
      </c>
      <c r="BQ101" s="44">
        <f t="shared" si="148"/>
        <v>0</v>
      </c>
      <c r="BR101" s="42">
        <f t="shared" si="137"/>
        <v>0</v>
      </c>
      <c r="BS101">
        <f t="shared" si="138"/>
        <v>0</v>
      </c>
      <c r="BT101" s="44">
        <f t="shared" si="149"/>
        <v>0</v>
      </c>
      <c r="BU101" s="42">
        <f t="shared" si="114"/>
        <v>6.6189131851851837E-2</v>
      </c>
      <c r="BV101">
        <f t="shared" si="115"/>
        <v>0.23625000000000002</v>
      </c>
      <c r="BW101" s="44">
        <f t="shared" si="116"/>
        <v>1.0800000000000001E-2</v>
      </c>
      <c r="BX101">
        <f t="shared" si="139"/>
        <v>1.1129818864197529</v>
      </c>
      <c r="BY101">
        <f t="shared" si="140"/>
        <v>8.569956192260392</v>
      </c>
      <c r="BZ101">
        <f t="shared" si="141"/>
        <v>85.401233454687357</v>
      </c>
    </row>
    <row r="102" spans="17:78" x14ac:dyDescent="0.3">
      <c r="Q102">
        <v>95</v>
      </c>
      <c r="R102" s="42">
        <f t="shared" si="94"/>
        <v>50.666666666666664</v>
      </c>
      <c r="S102">
        <f t="shared" si="95"/>
        <v>24</v>
      </c>
      <c r="T102" s="44">
        <f t="shared" si="96"/>
        <v>2.1111111111111112</v>
      </c>
      <c r="U102" s="42">
        <f t="shared" si="97"/>
        <v>2</v>
      </c>
      <c r="V102">
        <f t="shared" si="98"/>
        <v>0.4</v>
      </c>
      <c r="W102">
        <f t="shared" si="99"/>
        <v>0.6</v>
      </c>
      <c r="X102">
        <f t="shared" si="117"/>
        <v>0</v>
      </c>
      <c r="Y102" s="42">
        <f t="shared" si="118"/>
        <v>5.2777777777777768</v>
      </c>
      <c r="Z102">
        <f t="shared" si="100"/>
        <v>1.9200000000000004</v>
      </c>
      <c r="AA102">
        <f t="shared" si="119"/>
        <v>6.2377777777777768</v>
      </c>
      <c r="AB102" s="44">
        <f t="shared" si="101"/>
        <v>3.3563157343494918</v>
      </c>
      <c r="AC102" s="42">
        <v>0</v>
      </c>
      <c r="AD102">
        <f t="shared" si="102"/>
        <v>0.11264855308641968</v>
      </c>
      <c r="AE102" s="44">
        <f t="shared" si="120"/>
        <v>0.11264855308641968</v>
      </c>
      <c r="AF102" s="42">
        <f t="shared" si="103"/>
        <v>1.0133333333333332</v>
      </c>
      <c r="AG102" s="44">
        <f t="shared" si="104"/>
        <v>1.0133333333333332</v>
      </c>
      <c r="AH102" s="42">
        <f t="shared" si="105"/>
        <v>0</v>
      </c>
      <c r="AI102">
        <f t="shared" si="106"/>
        <v>2.0676551652014332</v>
      </c>
      <c r="AJ102" s="44">
        <f t="shared" si="121"/>
        <v>2.0676551652014332</v>
      </c>
      <c r="AK102" s="42">
        <f t="shared" si="107"/>
        <v>50.666666666666664</v>
      </c>
      <c r="AL102">
        <f t="shared" si="108"/>
        <v>160</v>
      </c>
      <c r="AM102" s="44">
        <f t="shared" si="122"/>
        <v>0.31666666666666665</v>
      </c>
      <c r="AN102" s="42">
        <f t="shared" si="123"/>
        <v>2</v>
      </c>
      <c r="AO102">
        <f t="shared" si="124"/>
        <v>0.60000000000000009</v>
      </c>
      <c r="AP102">
        <f t="shared" si="125"/>
        <v>0.52777777777777768</v>
      </c>
      <c r="AQ102">
        <f t="shared" si="126"/>
        <v>0.19200000000000003</v>
      </c>
      <c r="AR102">
        <f t="shared" si="142"/>
        <v>0.62377777777777765</v>
      </c>
      <c r="AS102" s="44">
        <f t="shared" si="143"/>
        <v>0.4110630482415436</v>
      </c>
      <c r="AT102" s="42"/>
      <c r="AU102">
        <f t="shared" si="127"/>
        <v>1.2033333333333334E-3</v>
      </c>
      <c r="AV102" s="44">
        <f t="shared" si="144"/>
        <v>1.2033333333333334E-3</v>
      </c>
      <c r="AW102" s="42">
        <f t="shared" si="128"/>
        <v>4</v>
      </c>
      <c r="AX102">
        <f t="shared" si="129"/>
        <v>9.4999999999999987E-2</v>
      </c>
      <c r="AY102" s="44">
        <f t="shared" si="145"/>
        <v>4.0949999999999998</v>
      </c>
      <c r="AZ102" s="42">
        <f t="shared" si="109"/>
        <v>0</v>
      </c>
      <c r="BA102">
        <f t="shared" si="110"/>
        <v>0</v>
      </c>
      <c r="BB102">
        <f t="shared" si="146"/>
        <v>0</v>
      </c>
      <c r="BC102" s="44">
        <f t="shared" si="130"/>
        <v>0</v>
      </c>
      <c r="BD102" s="42">
        <v>0</v>
      </c>
      <c r="BE102">
        <f t="shared" si="131"/>
        <v>0</v>
      </c>
      <c r="BF102" s="44">
        <f t="shared" si="147"/>
        <v>0</v>
      </c>
      <c r="BG102" s="42">
        <f t="shared" si="132"/>
        <v>0</v>
      </c>
      <c r="BH102">
        <f t="shared" si="133"/>
        <v>0</v>
      </c>
      <c r="BI102" s="44">
        <f t="shared" si="134"/>
        <v>0</v>
      </c>
      <c r="BK102" s="42">
        <f t="shared" si="111"/>
        <v>0</v>
      </c>
      <c r="BL102">
        <f t="shared" si="112"/>
        <v>0</v>
      </c>
      <c r="BM102">
        <f t="shared" si="113"/>
        <v>0</v>
      </c>
      <c r="BN102" s="44">
        <f t="shared" si="150"/>
        <v>0</v>
      </c>
      <c r="BO102" s="42">
        <v>0</v>
      </c>
      <c r="BP102">
        <f t="shared" si="136"/>
        <v>0</v>
      </c>
      <c r="BQ102" s="44">
        <f t="shared" si="148"/>
        <v>0</v>
      </c>
      <c r="BR102" s="42">
        <f t="shared" si="137"/>
        <v>0</v>
      </c>
      <c r="BS102">
        <f t="shared" si="138"/>
        <v>0</v>
      </c>
      <c r="BT102" s="44">
        <f t="shared" si="149"/>
        <v>0</v>
      </c>
      <c r="BU102" s="42">
        <f t="shared" si="114"/>
        <v>6.7589131851851808E-2</v>
      </c>
      <c r="BV102">
        <f t="shared" si="115"/>
        <v>0.23625000000000002</v>
      </c>
      <c r="BW102" s="44">
        <f t="shared" si="116"/>
        <v>1.0800000000000001E-2</v>
      </c>
      <c r="BX102">
        <f t="shared" si="139"/>
        <v>1.1259818864197528</v>
      </c>
      <c r="BY102">
        <f t="shared" si="140"/>
        <v>8.6178128501397051</v>
      </c>
      <c r="BZ102">
        <f t="shared" si="141"/>
        <v>85.463627377049562</v>
      </c>
    </row>
    <row r="103" spans="17:78" x14ac:dyDescent="0.3">
      <c r="Q103">
        <v>96</v>
      </c>
      <c r="R103" s="42">
        <f t="shared" ref="R103:R134" si="151">AK103+AZ103+BK103</f>
        <v>51.2</v>
      </c>
      <c r="S103">
        <f t="shared" si="95"/>
        <v>24</v>
      </c>
      <c r="T103" s="44">
        <f t="shared" ref="T103:T134" si="152">(R103)/(S103*EFF_est)</f>
        <v>2.1333333333333333</v>
      </c>
      <c r="U103" s="42">
        <f t="shared" ref="U103:U134" si="153">IF(R103&lt;((((Np/NS1_)*(AL103)/((S103+((Np/NS1_)*(AL103)))))^2)*(S103^2))/(2*Lm*Fsw),1,2)</f>
        <v>2</v>
      </c>
      <c r="V103">
        <f t="shared" ref="V103:V134" si="154">CHOOSE(U103,SQRT((2*Lm*R103*Fsw)/((S103^2)*EFF_est)),(((Np/NS1_)*(AL103))/(S103+((Np/NS1_)*(AL103)))))</f>
        <v>0.4</v>
      </c>
      <c r="W103">
        <f t="shared" ref="W103:W134" si="155">CHOOSE(U103,(NS1_*S103*V103)/(Np*AL103),1-V103)</f>
        <v>0.6</v>
      </c>
      <c r="X103">
        <f t="shared" si="117"/>
        <v>0</v>
      </c>
      <c r="Y103" s="42">
        <f t="shared" si="118"/>
        <v>5.333333333333333</v>
      </c>
      <c r="Z103">
        <f t="shared" ref="Z103:Z134" si="156">(S103*V103)/(Lm*Fsw)</f>
        <v>1.9200000000000004</v>
      </c>
      <c r="AA103">
        <f t="shared" si="119"/>
        <v>6.293333333333333</v>
      </c>
      <c r="AB103" s="44">
        <f t="shared" ref="AB103:AB134" si="157">CHOOSE(U103,AA103*SQRT(V103/3),SQRT(V103*((AA103^2)+((Z103^2)/(3))-(AA103*Z103))))</f>
        <v>3.3912619742181196</v>
      </c>
      <c r="AC103" s="42">
        <v>0</v>
      </c>
      <c r="AD103">
        <f t="shared" ref="AD103:AD134" si="158">(AB103^2)*Rdcr</f>
        <v>0.11500657777777779</v>
      </c>
      <c r="AE103" s="44">
        <f t="shared" si="120"/>
        <v>0.11500657777777779</v>
      </c>
      <c r="AF103" s="42">
        <f t="shared" ref="AF103:AF134" si="159">R103*0.02</f>
        <v>1.024</v>
      </c>
      <c r="AG103" s="44">
        <f t="shared" ref="AG103:AG134" si="160">R103*0.02</f>
        <v>1.024</v>
      </c>
      <c r="AH103" s="42">
        <f t="shared" ref="AH103:AH134" si="161">(AB103^2)*RDS_on</f>
        <v>0</v>
      </c>
      <c r="AI103">
        <f t="shared" ref="AI103:AI134" si="162">((Y103*(S103+((Np/NS1_)*VOUT1)))/2)*Fsw*(tr_sw+tf_sw)</f>
        <v>2.0894199564140798</v>
      </c>
      <c r="AJ103" s="44">
        <f t="shared" si="121"/>
        <v>2.0894199564140798</v>
      </c>
      <c r="AK103" s="42">
        <f t="shared" ref="AK103:AK134" si="163">Q103*$B$11</f>
        <v>51.2</v>
      </c>
      <c r="AL103">
        <f t="shared" si="108"/>
        <v>160</v>
      </c>
      <c r="AM103" s="44">
        <f t="shared" si="122"/>
        <v>0.32</v>
      </c>
      <c r="AN103" s="42">
        <f t="shared" si="123"/>
        <v>2</v>
      </c>
      <c r="AO103">
        <f t="shared" si="124"/>
        <v>0.6</v>
      </c>
      <c r="AP103">
        <f t="shared" si="125"/>
        <v>0.53333333333333333</v>
      </c>
      <c r="AQ103">
        <f t="shared" si="126"/>
        <v>0.192</v>
      </c>
      <c r="AR103">
        <f t="shared" si="142"/>
        <v>0.6293333333333333</v>
      </c>
      <c r="AS103" s="44">
        <f t="shared" si="143"/>
        <v>0.41534307104689572</v>
      </c>
      <c r="AT103" s="42"/>
      <c r="AU103">
        <f t="shared" si="127"/>
        <v>1.2288000000000002E-3</v>
      </c>
      <c r="AV103" s="44">
        <f t="shared" si="144"/>
        <v>1.2288000000000002E-3</v>
      </c>
      <c r="AW103" s="42">
        <f t="shared" si="128"/>
        <v>4</v>
      </c>
      <c r="AX103">
        <f t="shared" si="129"/>
        <v>9.6000000000000002E-2</v>
      </c>
      <c r="AY103" s="44">
        <f t="shared" si="145"/>
        <v>4.0960000000000001</v>
      </c>
      <c r="AZ103" s="42">
        <f t="shared" ref="AZ103:AZ134" si="164">IF(EN_OUT_2=1,Q103*$B$15,0)</f>
        <v>0</v>
      </c>
      <c r="BA103">
        <f t="shared" ref="BA103:BA134" si="165">IF(EN_OUT_2=1,VOUT2,0)</f>
        <v>0</v>
      </c>
      <c r="BB103">
        <f t="shared" si="146"/>
        <v>0</v>
      </c>
      <c r="BC103" s="44">
        <f t="shared" si="130"/>
        <v>0</v>
      </c>
      <c r="BD103" s="42">
        <v>0</v>
      </c>
      <c r="BE103">
        <f t="shared" si="131"/>
        <v>0</v>
      </c>
      <c r="BF103" s="44">
        <f t="shared" si="147"/>
        <v>0</v>
      </c>
      <c r="BG103" s="42">
        <f t="shared" si="132"/>
        <v>0</v>
      </c>
      <c r="BH103">
        <f t="shared" si="133"/>
        <v>0</v>
      </c>
      <c r="BI103" s="44">
        <f t="shared" si="134"/>
        <v>0</v>
      </c>
      <c r="BK103" s="42">
        <f t="shared" ref="BK103:BK134" si="166">IF(EN_OUT_3=1,Q103*$B$19,0)</f>
        <v>0</v>
      </c>
      <c r="BL103">
        <f t="shared" si="112"/>
        <v>0</v>
      </c>
      <c r="BM103">
        <f t="shared" ref="BM103:BM134" si="167">IF(EN_OUT_3=1,BK103/BL103,0)</f>
        <v>0</v>
      </c>
      <c r="BN103" s="44">
        <f t="shared" si="150"/>
        <v>0</v>
      </c>
      <c r="BO103" s="42">
        <v>0</v>
      </c>
      <c r="BP103">
        <f t="shared" si="136"/>
        <v>0</v>
      </c>
      <c r="BQ103" s="44">
        <f t="shared" si="148"/>
        <v>0</v>
      </c>
      <c r="BR103" s="42">
        <f t="shared" si="137"/>
        <v>0</v>
      </c>
      <c r="BS103">
        <f t="shared" si="138"/>
        <v>0</v>
      </c>
      <c r="BT103" s="44">
        <f t="shared" si="149"/>
        <v>0</v>
      </c>
      <c r="BU103" s="42">
        <f t="shared" ref="BU103:BU134" si="168">(AB103^2)*R_cs</f>
        <v>6.9003946666666677E-2</v>
      </c>
      <c r="BV103">
        <f t="shared" si="115"/>
        <v>0.23625000000000002</v>
      </c>
      <c r="BW103" s="44">
        <f t="shared" ref="BW103:BW134" si="169">IQ*S103</f>
        <v>1.0800000000000001E-2</v>
      </c>
      <c r="BX103">
        <f t="shared" si="139"/>
        <v>1.1390065777777778</v>
      </c>
      <c r="BY103">
        <f t="shared" si="140"/>
        <v>8.6657092808585254</v>
      </c>
      <c r="BZ103">
        <f t="shared" si="141"/>
        <v>85.524753009767977</v>
      </c>
    </row>
    <row r="104" spans="17:78" x14ac:dyDescent="0.3">
      <c r="Q104">
        <v>97</v>
      </c>
      <c r="R104" s="42">
        <f t="shared" si="151"/>
        <v>51.733333333333334</v>
      </c>
      <c r="S104">
        <f t="shared" si="95"/>
        <v>24</v>
      </c>
      <c r="T104" s="44">
        <f t="shared" si="152"/>
        <v>2.1555555555555554</v>
      </c>
      <c r="U104" s="42">
        <f t="shared" si="153"/>
        <v>2</v>
      </c>
      <c r="V104">
        <f t="shared" si="154"/>
        <v>0.4</v>
      </c>
      <c r="W104">
        <f t="shared" si="155"/>
        <v>0.6</v>
      </c>
      <c r="X104">
        <f t="shared" si="117"/>
        <v>0</v>
      </c>
      <c r="Y104" s="42">
        <f t="shared" ref="Y104:Y135" si="170">R104/(S104*EFF_est*V104)</f>
        <v>5.3888888888888884</v>
      </c>
      <c r="Z104">
        <f t="shared" si="156"/>
        <v>1.9200000000000004</v>
      </c>
      <c r="AA104">
        <f t="shared" si="119"/>
        <v>6.3488888888888884</v>
      </c>
      <c r="AB104" s="44">
        <f t="shared" si="157"/>
        <v>3.426212104163437</v>
      </c>
      <c r="AC104" s="42">
        <v>0</v>
      </c>
      <c r="AD104">
        <f t="shared" si="158"/>
        <v>0.11738929382716046</v>
      </c>
      <c r="AE104" s="44">
        <f t="shared" si="120"/>
        <v>0.11738929382716046</v>
      </c>
      <c r="AF104" s="42">
        <f t="shared" si="159"/>
        <v>1.0346666666666666</v>
      </c>
      <c r="AG104" s="44">
        <f t="shared" si="160"/>
        <v>1.0346666666666666</v>
      </c>
      <c r="AH104" s="42">
        <f t="shared" si="161"/>
        <v>0</v>
      </c>
      <c r="AI104">
        <f t="shared" si="162"/>
        <v>2.1111847476267265</v>
      </c>
      <c r="AJ104" s="44">
        <f t="shared" si="121"/>
        <v>2.1111847476267265</v>
      </c>
      <c r="AK104" s="42">
        <f t="shared" si="163"/>
        <v>51.733333333333334</v>
      </c>
      <c r="AL104">
        <f t="shared" si="108"/>
        <v>160</v>
      </c>
      <c r="AM104" s="44">
        <f t="shared" ref="AM104:AM135" si="171">AK104/AL104</f>
        <v>0.32333333333333336</v>
      </c>
      <c r="AN104" s="42">
        <f t="shared" ref="AN104:AN135" si="172">IF(((AL104*AO104)/(Fsw*$AO$2))/2&gt;AP104,1,2)</f>
        <v>2</v>
      </c>
      <c r="AO104">
        <f t="shared" ref="AO104:AO135" si="173">AM104/AP104</f>
        <v>0.60000000000000009</v>
      </c>
      <c r="AP104">
        <f t="shared" ref="AP104:AP135" si="174">Np*$Y104*AK104/(R104*NS1_)</f>
        <v>0.53888888888888886</v>
      </c>
      <c r="AQ104">
        <f t="shared" ref="AQ104:AQ135" si="175">(AL104*AO104)/(Fsw*$AO$2)</f>
        <v>0.19200000000000003</v>
      </c>
      <c r="AR104">
        <f t="shared" si="142"/>
        <v>0.63488888888888884</v>
      </c>
      <c r="AS104" s="44">
        <f t="shared" si="143"/>
        <v>0.4196235702873955</v>
      </c>
      <c r="AT104" s="42"/>
      <c r="AU104">
        <f t="shared" ref="AU104:AU135" si="176">(AM104^2)*Rdcr1</f>
        <v>1.2545333333333335E-3</v>
      </c>
      <c r="AV104" s="44">
        <f t="shared" si="144"/>
        <v>1.2545333333333335E-3</v>
      </c>
      <c r="AW104" s="42">
        <f t="shared" ref="AW104:AW135" si="177">(VOUT1+((NS1_/Np)*S104))*QRR1_*Fsw</f>
        <v>4</v>
      </c>
      <c r="AX104">
        <f t="shared" ref="AX104:AX135" si="178">AM104*VD1_</f>
        <v>9.7000000000000003E-2</v>
      </c>
      <c r="AY104" s="44">
        <f t="shared" si="145"/>
        <v>4.0970000000000004</v>
      </c>
      <c r="AZ104" s="42">
        <f t="shared" si="164"/>
        <v>0</v>
      </c>
      <c r="BA104">
        <f t="shared" si="165"/>
        <v>0</v>
      </c>
      <c r="BB104">
        <f t="shared" si="146"/>
        <v>0</v>
      </c>
      <c r="BC104" s="44">
        <f t="shared" ref="BC104:BC135" si="179">IF(EN_OUT_2=1,AZ104/BA104,0)</f>
        <v>0</v>
      </c>
      <c r="BD104" s="42">
        <v>0</v>
      </c>
      <c r="BE104">
        <f t="shared" ref="BE104:BE135" si="180">(BB104^2)*Rdcr2</f>
        <v>0</v>
      </c>
      <c r="BF104" s="44">
        <f t="shared" si="147"/>
        <v>0</v>
      </c>
      <c r="BG104" s="42">
        <f t="shared" ref="BG104:BG135" si="181">(VOUT2+((NS2_/Np)*S104))*QRR2_*Fsw</f>
        <v>0</v>
      </c>
      <c r="BH104">
        <f t="shared" ref="BH104:BH135" si="182">BB104*VD2_</f>
        <v>0</v>
      </c>
      <c r="BI104" s="44">
        <f t="shared" ref="BI104:BI135" si="183">BH104+BG104</f>
        <v>0</v>
      </c>
      <c r="BK104" s="42">
        <f t="shared" si="166"/>
        <v>0</v>
      </c>
      <c r="BL104">
        <f t="shared" si="112"/>
        <v>0</v>
      </c>
      <c r="BM104">
        <f t="shared" si="167"/>
        <v>0</v>
      </c>
      <c r="BN104" s="44">
        <f t="shared" si="150"/>
        <v>0</v>
      </c>
      <c r="BO104" s="42">
        <v>0</v>
      </c>
      <c r="BP104">
        <f t="shared" ref="BP104:BP135" si="184">(BM104^2)*Rdcr3</f>
        <v>0</v>
      </c>
      <c r="BQ104" s="44">
        <f t="shared" si="148"/>
        <v>0</v>
      </c>
      <c r="BR104" s="42">
        <f t="shared" ref="BR104:BR135" si="185">(VOUT3+((NS3_/Np)*S104))*QRR3_*Fsw</f>
        <v>0</v>
      </c>
      <c r="BS104">
        <f t="shared" ref="BS104:BS135" si="186">BM104*VD3_</f>
        <v>0</v>
      </c>
      <c r="BT104" s="44">
        <f t="shared" si="149"/>
        <v>0</v>
      </c>
      <c r="BU104" s="42">
        <f t="shared" si="168"/>
        <v>7.0433576296296277E-2</v>
      </c>
      <c r="BV104">
        <f t="shared" si="115"/>
        <v>0.23625000000000002</v>
      </c>
      <c r="BW104" s="44">
        <f t="shared" si="169"/>
        <v>1.0800000000000001E-2</v>
      </c>
      <c r="BX104">
        <f t="shared" si="139"/>
        <v>1.152055960493827</v>
      </c>
      <c r="BY104">
        <f t="shared" si="140"/>
        <v>8.7136454844168494</v>
      </c>
      <c r="BZ104">
        <f t="shared" ref="BZ104:BZ135" si="187">(R104/(R104+BY104))*100</f>
        <v>85.58464681801749</v>
      </c>
    </row>
    <row r="105" spans="17:78" x14ac:dyDescent="0.3">
      <c r="Q105">
        <v>98</v>
      </c>
      <c r="R105" s="42">
        <f t="shared" si="151"/>
        <v>52.266666666666666</v>
      </c>
      <c r="S105">
        <f t="shared" si="95"/>
        <v>24</v>
      </c>
      <c r="T105" s="44">
        <f t="shared" si="152"/>
        <v>2.1777777777777776</v>
      </c>
      <c r="U105" s="42">
        <f t="shared" si="153"/>
        <v>2</v>
      </c>
      <c r="V105">
        <f t="shared" si="154"/>
        <v>0.4</v>
      </c>
      <c r="W105">
        <f t="shared" si="155"/>
        <v>0.6</v>
      </c>
      <c r="X105">
        <f t="shared" si="117"/>
        <v>0</v>
      </c>
      <c r="Y105" s="42">
        <f t="shared" si="170"/>
        <v>5.4444444444444438</v>
      </c>
      <c r="Z105">
        <f t="shared" si="156"/>
        <v>1.9200000000000004</v>
      </c>
      <c r="AA105">
        <f t="shared" si="119"/>
        <v>6.4044444444444437</v>
      </c>
      <c r="AB105" s="44">
        <f t="shared" si="157"/>
        <v>3.461166006341907</v>
      </c>
      <c r="AC105" s="42">
        <v>0</v>
      </c>
      <c r="AD105">
        <f t="shared" si="158"/>
        <v>0.11979670123456786</v>
      </c>
      <c r="AE105" s="44">
        <f t="shared" si="120"/>
        <v>0.11979670123456786</v>
      </c>
      <c r="AF105" s="42">
        <f t="shared" si="159"/>
        <v>1.0453333333333332</v>
      </c>
      <c r="AG105" s="44">
        <f t="shared" si="160"/>
        <v>1.0453333333333332</v>
      </c>
      <c r="AH105" s="42">
        <f t="shared" si="161"/>
        <v>0</v>
      </c>
      <c r="AI105">
        <f t="shared" si="162"/>
        <v>2.1329495388393731</v>
      </c>
      <c r="AJ105" s="44">
        <f t="shared" si="121"/>
        <v>2.1329495388393731</v>
      </c>
      <c r="AK105" s="42">
        <f t="shared" si="163"/>
        <v>52.266666666666666</v>
      </c>
      <c r="AL105">
        <f t="shared" si="108"/>
        <v>160</v>
      </c>
      <c r="AM105" s="44">
        <f t="shared" si="171"/>
        <v>0.32666666666666666</v>
      </c>
      <c r="AN105" s="42">
        <f t="shared" si="172"/>
        <v>2</v>
      </c>
      <c r="AO105">
        <f t="shared" si="173"/>
        <v>0.60000000000000009</v>
      </c>
      <c r="AP105">
        <f t="shared" si="174"/>
        <v>0.5444444444444444</v>
      </c>
      <c r="AQ105">
        <f t="shared" si="175"/>
        <v>0.19200000000000003</v>
      </c>
      <c r="AR105">
        <f t="shared" si="142"/>
        <v>0.64044444444444437</v>
      </c>
      <c r="AS105" s="44">
        <f t="shared" si="143"/>
        <v>0.4239045315302159</v>
      </c>
      <c r="AT105" s="42"/>
      <c r="AU105">
        <f t="shared" si="176"/>
        <v>1.2805333333333333E-3</v>
      </c>
      <c r="AV105" s="44">
        <f t="shared" si="144"/>
        <v>1.2805333333333333E-3</v>
      </c>
      <c r="AW105" s="42">
        <f t="shared" si="177"/>
        <v>4</v>
      </c>
      <c r="AX105">
        <f t="shared" si="178"/>
        <v>9.799999999999999E-2</v>
      </c>
      <c r="AY105" s="44">
        <f t="shared" si="145"/>
        <v>4.0979999999999999</v>
      </c>
      <c r="AZ105" s="42">
        <f t="shared" si="164"/>
        <v>0</v>
      </c>
      <c r="BA105">
        <f t="shared" si="165"/>
        <v>0</v>
      </c>
      <c r="BB105">
        <f t="shared" si="146"/>
        <v>0</v>
      </c>
      <c r="BC105" s="44">
        <f t="shared" si="179"/>
        <v>0</v>
      </c>
      <c r="BD105" s="42">
        <v>0</v>
      </c>
      <c r="BE105">
        <f t="shared" si="180"/>
        <v>0</v>
      </c>
      <c r="BF105" s="44">
        <f t="shared" si="147"/>
        <v>0</v>
      </c>
      <c r="BG105" s="42">
        <f t="shared" si="181"/>
        <v>0</v>
      </c>
      <c r="BH105">
        <f t="shared" si="182"/>
        <v>0</v>
      </c>
      <c r="BI105" s="44">
        <f t="shared" si="183"/>
        <v>0</v>
      </c>
      <c r="BK105" s="42">
        <f t="shared" si="166"/>
        <v>0</v>
      </c>
      <c r="BL105">
        <f t="shared" si="112"/>
        <v>0</v>
      </c>
      <c r="BM105">
        <f t="shared" si="167"/>
        <v>0</v>
      </c>
      <c r="BN105" s="44">
        <f t="shared" si="150"/>
        <v>0</v>
      </c>
      <c r="BO105" s="42">
        <v>0</v>
      </c>
      <c r="BP105">
        <f t="shared" si="184"/>
        <v>0</v>
      </c>
      <c r="BQ105" s="44">
        <f t="shared" si="148"/>
        <v>0</v>
      </c>
      <c r="BR105" s="42">
        <f t="shared" si="185"/>
        <v>0</v>
      </c>
      <c r="BS105">
        <f t="shared" si="186"/>
        <v>0</v>
      </c>
      <c r="BT105" s="44">
        <f t="shared" si="149"/>
        <v>0</v>
      </c>
      <c r="BU105" s="42">
        <f t="shared" si="168"/>
        <v>7.1878020740740706E-2</v>
      </c>
      <c r="BV105">
        <f t="shared" si="115"/>
        <v>0.23625000000000002</v>
      </c>
      <c r="BW105" s="44">
        <f t="shared" si="169"/>
        <v>1.0800000000000001E-2</v>
      </c>
      <c r="BX105">
        <f t="shared" si="139"/>
        <v>1.165130034567901</v>
      </c>
      <c r="BY105">
        <f t="shared" si="140"/>
        <v>8.7616214608146823</v>
      </c>
      <c r="BZ105">
        <f t="shared" si="187"/>
        <v>85.643343882573561</v>
      </c>
    </row>
    <row r="106" spans="17:78" x14ac:dyDescent="0.3">
      <c r="Q106">
        <v>99</v>
      </c>
      <c r="R106" s="42">
        <f t="shared" si="151"/>
        <v>52.8</v>
      </c>
      <c r="S106">
        <f t="shared" si="95"/>
        <v>24</v>
      </c>
      <c r="T106" s="44">
        <f t="shared" si="152"/>
        <v>2.1999999999999997</v>
      </c>
      <c r="U106" s="42">
        <f t="shared" si="153"/>
        <v>2</v>
      </c>
      <c r="V106">
        <f t="shared" si="154"/>
        <v>0.4</v>
      </c>
      <c r="W106">
        <f t="shared" si="155"/>
        <v>0.6</v>
      </c>
      <c r="X106">
        <f t="shared" si="117"/>
        <v>0</v>
      </c>
      <c r="Y106" s="42">
        <f t="shared" si="170"/>
        <v>5.4999999999999991</v>
      </c>
      <c r="Z106">
        <f t="shared" si="156"/>
        <v>1.9200000000000004</v>
      </c>
      <c r="AA106">
        <f t="shared" si="119"/>
        <v>6.4599999999999991</v>
      </c>
      <c r="AB106" s="44">
        <f t="shared" si="157"/>
        <v>3.4961235676102751</v>
      </c>
      <c r="AC106" s="42">
        <v>0</v>
      </c>
      <c r="AD106">
        <f t="shared" si="158"/>
        <v>0.12222879999999998</v>
      </c>
      <c r="AE106" s="44">
        <f t="shared" si="120"/>
        <v>0.12222879999999998</v>
      </c>
      <c r="AF106" s="42">
        <f t="shared" si="159"/>
        <v>1.056</v>
      </c>
      <c r="AG106" s="44">
        <f t="shared" si="160"/>
        <v>1.056</v>
      </c>
      <c r="AH106" s="42">
        <f t="shared" si="161"/>
        <v>0</v>
      </c>
      <c r="AI106">
        <f t="shared" si="162"/>
        <v>2.1547143300520197</v>
      </c>
      <c r="AJ106" s="44">
        <f t="shared" si="121"/>
        <v>2.1547143300520197</v>
      </c>
      <c r="AK106" s="42">
        <f t="shared" si="163"/>
        <v>52.8</v>
      </c>
      <c r="AL106">
        <f t="shared" si="108"/>
        <v>160</v>
      </c>
      <c r="AM106" s="44">
        <f t="shared" si="171"/>
        <v>0.32999999999999996</v>
      </c>
      <c r="AN106" s="42">
        <f t="shared" si="172"/>
        <v>2</v>
      </c>
      <c r="AO106">
        <f t="shared" si="173"/>
        <v>0.60000000000000009</v>
      </c>
      <c r="AP106">
        <f t="shared" si="174"/>
        <v>0.54999999999999982</v>
      </c>
      <c r="AQ106">
        <f t="shared" si="175"/>
        <v>0.19200000000000003</v>
      </c>
      <c r="AR106">
        <f t="shared" si="142"/>
        <v>0.6459999999999998</v>
      </c>
      <c r="AS106" s="44">
        <f t="shared" si="143"/>
        <v>0.4281859409181949</v>
      </c>
      <c r="AT106" s="42"/>
      <c r="AU106">
        <f t="shared" si="176"/>
        <v>1.3067999999999997E-3</v>
      </c>
      <c r="AV106" s="44">
        <f t="shared" si="144"/>
        <v>1.3067999999999997E-3</v>
      </c>
      <c r="AW106" s="42">
        <f t="shared" si="177"/>
        <v>4</v>
      </c>
      <c r="AX106">
        <f t="shared" si="178"/>
        <v>9.8999999999999991E-2</v>
      </c>
      <c r="AY106" s="44">
        <f t="shared" si="145"/>
        <v>4.0990000000000002</v>
      </c>
      <c r="AZ106" s="42">
        <f t="shared" si="164"/>
        <v>0</v>
      </c>
      <c r="BA106">
        <f t="shared" si="165"/>
        <v>0</v>
      </c>
      <c r="BB106">
        <f t="shared" si="146"/>
        <v>0</v>
      </c>
      <c r="BC106" s="44">
        <f t="shared" si="179"/>
        <v>0</v>
      </c>
      <c r="BD106" s="42">
        <v>0</v>
      </c>
      <c r="BE106">
        <f t="shared" si="180"/>
        <v>0</v>
      </c>
      <c r="BF106" s="44">
        <f t="shared" si="147"/>
        <v>0</v>
      </c>
      <c r="BG106" s="42">
        <f t="shared" si="181"/>
        <v>0</v>
      </c>
      <c r="BH106">
        <f t="shared" si="182"/>
        <v>0</v>
      </c>
      <c r="BI106" s="44">
        <f t="shared" si="183"/>
        <v>0</v>
      </c>
      <c r="BK106" s="42">
        <f t="shared" si="166"/>
        <v>0</v>
      </c>
      <c r="BL106">
        <f t="shared" si="112"/>
        <v>0</v>
      </c>
      <c r="BM106">
        <f t="shared" si="167"/>
        <v>0</v>
      </c>
      <c r="BN106" s="44">
        <f t="shared" si="150"/>
        <v>0</v>
      </c>
      <c r="BO106" s="42">
        <v>0</v>
      </c>
      <c r="BP106">
        <f t="shared" si="184"/>
        <v>0</v>
      </c>
      <c r="BQ106" s="44">
        <f t="shared" si="148"/>
        <v>0</v>
      </c>
      <c r="BR106" s="42">
        <f t="shared" si="185"/>
        <v>0</v>
      </c>
      <c r="BS106">
        <f t="shared" si="186"/>
        <v>0</v>
      </c>
      <c r="BT106" s="44">
        <f t="shared" si="149"/>
        <v>0</v>
      </c>
      <c r="BU106" s="42">
        <f t="shared" si="168"/>
        <v>7.3337279999999991E-2</v>
      </c>
      <c r="BV106">
        <f t="shared" si="115"/>
        <v>0.23625000000000002</v>
      </c>
      <c r="BW106" s="44">
        <f t="shared" si="169"/>
        <v>1.0800000000000001E-2</v>
      </c>
      <c r="BX106">
        <f t="shared" si="139"/>
        <v>1.1782288000000001</v>
      </c>
      <c r="BY106">
        <f t="shared" si="140"/>
        <v>8.8096372100520206</v>
      </c>
      <c r="BZ106">
        <f t="shared" si="187"/>
        <v>85.700877964893024</v>
      </c>
    </row>
    <row r="107" spans="17:78" x14ac:dyDescent="0.3">
      <c r="Q107">
        <v>100</v>
      </c>
      <c r="R107" s="42">
        <f t="shared" si="151"/>
        <v>53.333333333333336</v>
      </c>
      <c r="S107">
        <f t="shared" si="95"/>
        <v>24</v>
      </c>
      <c r="T107" s="44">
        <f t="shared" si="152"/>
        <v>2.2222222222222223</v>
      </c>
      <c r="U107" s="42">
        <f t="shared" si="153"/>
        <v>2</v>
      </c>
      <c r="V107">
        <f t="shared" si="154"/>
        <v>0.4</v>
      </c>
      <c r="W107">
        <f t="shared" si="155"/>
        <v>0.6</v>
      </c>
      <c r="X107">
        <f t="shared" si="117"/>
        <v>0</v>
      </c>
      <c r="Y107" s="42">
        <f t="shared" si="170"/>
        <v>5.5555555555555554</v>
      </c>
      <c r="Z107">
        <f t="shared" si="156"/>
        <v>1.9200000000000004</v>
      </c>
      <c r="AA107">
        <f t="shared" si="119"/>
        <v>6.5155555555555553</v>
      </c>
      <c r="AB107" s="44">
        <f t="shared" si="157"/>
        <v>3.5310846792941226</v>
      </c>
      <c r="AC107" s="42">
        <v>0</v>
      </c>
      <c r="AD107">
        <f t="shared" si="158"/>
        <v>0.12468559012345677</v>
      </c>
      <c r="AE107" s="44">
        <f t="shared" si="120"/>
        <v>0.12468559012345677</v>
      </c>
      <c r="AF107" s="42">
        <f t="shared" si="159"/>
        <v>1.0666666666666667</v>
      </c>
      <c r="AG107" s="44">
        <f t="shared" si="160"/>
        <v>1.0666666666666667</v>
      </c>
      <c r="AH107" s="42">
        <f t="shared" si="161"/>
        <v>0</v>
      </c>
      <c r="AI107">
        <f t="shared" si="162"/>
        <v>2.1764791212646668</v>
      </c>
      <c r="AJ107" s="44">
        <f t="shared" si="121"/>
        <v>2.1764791212646668</v>
      </c>
      <c r="AK107" s="42">
        <f t="shared" si="163"/>
        <v>53.333333333333336</v>
      </c>
      <c r="AL107">
        <f t="shared" si="108"/>
        <v>160</v>
      </c>
      <c r="AM107" s="44">
        <f t="shared" si="171"/>
        <v>0.33333333333333337</v>
      </c>
      <c r="AN107" s="42">
        <f t="shared" si="172"/>
        <v>2</v>
      </c>
      <c r="AO107">
        <f t="shared" si="173"/>
        <v>0.60000000000000009</v>
      </c>
      <c r="AP107">
        <f t="shared" si="174"/>
        <v>0.55555555555555558</v>
      </c>
      <c r="AQ107">
        <f t="shared" si="175"/>
        <v>0.19200000000000003</v>
      </c>
      <c r="AR107">
        <f t="shared" si="142"/>
        <v>0.65155555555555555</v>
      </c>
      <c r="AS107" s="44">
        <f t="shared" si="143"/>
        <v>0.43246778514148915</v>
      </c>
      <c r="AT107" s="42"/>
      <c r="AU107">
        <f t="shared" si="176"/>
        <v>1.3333333333333337E-3</v>
      </c>
      <c r="AV107" s="44">
        <f t="shared" si="144"/>
        <v>1.3333333333333337E-3</v>
      </c>
      <c r="AW107" s="42">
        <f t="shared" si="177"/>
        <v>4</v>
      </c>
      <c r="AX107">
        <f t="shared" si="178"/>
        <v>0.1</v>
      </c>
      <c r="AY107" s="44">
        <f t="shared" si="145"/>
        <v>4.0999999999999996</v>
      </c>
      <c r="AZ107" s="42">
        <f t="shared" si="164"/>
        <v>0</v>
      </c>
      <c r="BA107">
        <f t="shared" si="165"/>
        <v>0</v>
      </c>
      <c r="BB107">
        <f t="shared" si="146"/>
        <v>0</v>
      </c>
      <c r="BC107" s="44">
        <f t="shared" si="179"/>
        <v>0</v>
      </c>
      <c r="BD107" s="42">
        <v>0</v>
      </c>
      <c r="BE107">
        <f t="shared" si="180"/>
        <v>0</v>
      </c>
      <c r="BF107" s="44">
        <f t="shared" si="147"/>
        <v>0</v>
      </c>
      <c r="BG107" s="42">
        <f t="shared" si="181"/>
        <v>0</v>
      </c>
      <c r="BH107">
        <f t="shared" si="182"/>
        <v>0</v>
      </c>
      <c r="BI107" s="44">
        <f t="shared" si="183"/>
        <v>0</v>
      </c>
      <c r="BK107" s="42">
        <f t="shared" si="166"/>
        <v>0</v>
      </c>
      <c r="BL107">
        <f t="shared" si="112"/>
        <v>0</v>
      </c>
      <c r="BM107">
        <f t="shared" si="167"/>
        <v>0</v>
      </c>
      <c r="BN107" s="44">
        <f t="shared" si="150"/>
        <v>0</v>
      </c>
      <c r="BO107" s="42">
        <v>0</v>
      </c>
      <c r="BP107">
        <f t="shared" si="184"/>
        <v>0</v>
      </c>
      <c r="BQ107" s="44">
        <f t="shared" si="148"/>
        <v>0</v>
      </c>
      <c r="BR107" s="42">
        <f t="shared" si="185"/>
        <v>0</v>
      </c>
      <c r="BS107">
        <f t="shared" si="186"/>
        <v>0</v>
      </c>
      <c r="BT107" s="44">
        <f t="shared" si="149"/>
        <v>0</v>
      </c>
      <c r="BU107" s="42">
        <f t="shared" si="168"/>
        <v>7.4811354074074063E-2</v>
      </c>
      <c r="BV107">
        <f t="shared" si="115"/>
        <v>0.23625000000000002</v>
      </c>
      <c r="BW107" s="44">
        <f t="shared" si="169"/>
        <v>1.0800000000000001E-2</v>
      </c>
      <c r="BX107">
        <f t="shared" si="139"/>
        <v>1.1913522567901234</v>
      </c>
      <c r="BY107">
        <f t="shared" si="140"/>
        <v>8.8576927321288643</v>
      </c>
      <c r="BZ107">
        <f t="shared" si="187"/>
        <v>85.757281568557403</v>
      </c>
    </row>
    <row r="108" spans="17:78" x14ac:dyDescent="0.3">
      <c r="Q108">
        <v>101</v>
      </c>
      <c r="R108" s="42">
        <f t="shared" si="151"/>
        <v>53.866666666666667</v>
      </c>
      <c r="S108">
        <f t="shared" si="95"/>
        <v>24</v>
      </c>
      <c r="T108" s="44">
        <f t="shared" si="152"/>
        <v>2.2444444444444445</v>
      </c>
      <c r="U108" s="42">
        <f t="shared" si="153"/>
        <v>2</v>
      </c>
      <c r="V108">
        <f t="shared" si="154"/>
        <v>0.4</v>
      </c>
      <c r="W108">
        <f t="shared" si="155"/>
        <v>0.6</v>
      </c>
      <c r="X108">
        <f t="shared" si="117"/>
        <v>0</v>
      </c>
      <c r="Y108" s="42">
        <f t="shared" si="170"/>
        <v>5.6111111111111107</v>
      </c>
      <c r="Z108">
        <f t="shared" si="156"/>
        <v>1.9200000000000004</v>
      </c>
      <c r="AA108">
        <f t="shared" si="119"/>
        <v>6.5711111111111107</v>
      </c>
      <c r="AB108" s="44">
        <f t="shared" si="157"/>
        <v>3.5660492369699304</v>
      </c>
      <c r="AC108" s="42">
        <v>0</v>
      </c>
      <c r="AD108">
        <f t="shared" si="158"/>
        <v>0.12716707160493823</v>
      </c>
      <c r="AE108" s="44">
        <f t="shared" si="120"/>
        <v>0.12716707160493823</v>
      </c>
      <c r="AF108" s="42">
        <f t="shared" si="159"/>
        <v>1.0773333333333335</v>
      </c>
      <c r="AG108" s="44">
        <f t="shared" si="160"/>
        <v>1.0773333333333335</v>
      </c>
      <c r="AH108" s="42">
        <f t="shared" si="161"/>
        <v>0</v>
      </c>
      <c r="AI108">
        <f t="shared" si="162"/>
        <v>2.198243912477313</v>
      </c>
      <c r="AJ108" s="44">
        <f t="shared" si="121"/>
        <v>2.198243912477313</v>
      </c>
      <c r="AK108" s="42">
        <f t="shared" si="163"/>
        <v>53.866666666666667</v>
      </c>
      <c r="AL108">
        <f t="shared" si="108"/>
        <v>160</v>
      </c>
      <c r="AM108" s="44">
        <f t="shared" si="171"/>
        <v>0.33666666666666667</v>
      </c>
      <c r="AN108" s="42">
        <f t="shared" si="172"/>
        <v>2</v>
      </c>
      <c r="AO108">
        <f t="shared" si="173"/>
        <v>0.6</v>
      </c>
      <c r="AP108">
        <f t="shared" si="174"/>
        <v>0.56111111111111112</v>
      </c>
      <c r="AQ108">
        <f t="shared" si="175"/>
        <v>0.192</v>
      </c>
      <c r="AR108">
        <f t="shared" si="142"/>
        <v>0.65711111111111109</v>
      </c>
      <c r="AS108" s="44">
        <f t="shared" si="143"/>
        <v>0.43675005141088125</v>
      </c>
      <c r="AT108" s="42"/>
      <c r="AU108">
        <f t="shared" si="176"/>
        <v>1.3601333333333333E-3</v>
      </c>
      <c r="AV108" s="44">
        <f t="shared" si="144"/>
        <v>1.3601333333333333E-3</v>
      </c>
      <c r="AW108" s="42">
        <f t="shared" si="177"/>
        <v>4</v>
      </c>
      <c r="AX108">
        <f t="shared" si="178"/>
        <v>0.10099999999999999</v>
      </c>
      <c r="AY108" s="44">
        <f t="shared" si="145"/>
        <v>4.101</v>
      </c>
      <c r="AZ108" s="42">
        <f t="shared" si="164"/>
        <v>0</v>
      </c>
      <c r="BA108">
        <f t="shared" si="165"/>
        <v>0</v>
      </c>
      <c r="BB108">
        <f t="shared" si="146"/>
        <v>0</v>
      </c>
      <c r="BC108" s="44">
        <f t="shared" si="179"/>
        <v>0</v>
      </c>
      <c r="BD108" s="42">
        <v>0</v>
      </c>
      <c r="BE108">
        <f t="shared" si="180"/>
        <v>0</v>
      </c>
      <c r="BF108" s="44">
        <f t="shared" si="147"/>
        <v>0</v>
      </c>
      <c r="BG108" s="42">
        <f t="shared" si="181"/>
        <v>0</v>
      </c>
      <c r="BH108">
        <f t="shared" si="182"/>
        <v>0</v>
      </c>
      <c r="BI108" s="44">
        <f t="shared" si="183"/>
        <v>0</v>
      </c>
      <c r="BK108" s="42">
        <f t="shared" si="166"/>
        <v>0</v>
      </c>
      <c r="BL108">
        <f t="shared" si="112"/>
        <v>0</v>
      </c>
      <c r="BM108">
        <f t="shared" si="167"/>
        <v>0</v>
      </c>
      <c r="BN108" s="44">
        <f t="shared" si="150"/>
        <v>0</v>
      </c>
      <c r="BO108" s="42">
        <v>0</v>
      </c>
      <c r="BP108">
        <f t="shared" si="184"/>
        <v>0</v>
      </c>
      <c r="BQ108" s="44">
        <f t="shared" si="148"/>
        <v>0</v>
      </c>
      <c r="BR108" s="42">
        <f t="shared" si="185"/>
        <v>0</v>
      </c>
      <c r="BS108">
        <f t="shared" si="186"/>
        <v>0</v>
      </c>
      <c r="BT108" s="44">
        <f t="shared" si="149"/>
        <v>0</v>
      </c>
      <c r="BU108" s="42">
        <f t="shared" si="168"/>
        <v>7.6300242962962936E-2</v>
      </c>
      <c r="BV108">
        <f t="shared" si="115"/>
        <v>0.23625000000000002</v>
      </c>
      <c r="BW108" s="44">
        <f t="shared" si="169"/>
        <v>1.0800000000000001E-2</v>
      </c>
      <c r="BX108">
        <f t="shared" si="139"/>
        <v>1.2045004049382717</v>
      </c>
      <c r="BY108">
        <f t="shared" si="140"/>
        <v>8.9057880270452152</v>
      </c>
      <c r="BZ108">
        <f t="shared" si="187"/>
        <v>85.812585997314301</v>
      </c>
    </row>
    <row r="109" spans="17:78" x14ac:dyDescent="0.3">
      <c r="Q109">
        <v>102</v>
      </c>
      <c r="R109" s="42">
        <f t="shared" si="151"/>
        <v>54.4</v>
      </c>
      <c r="S109">
        <f t="shared" si="95"/>
        <v>24</v>
      </c>
      <c r="T109" s="44">
        <f t="shared" si="152"/>
        <v>2.2666666666666666</v>
      </c>
      <c r="U109" s="42">
        <f t="shared" si="153"/>
        <v>2</v>
      </c>
      <c r="V109">
        <f t="shared" si="154"/>
        <v>0.4</v>
      </c>
      <c r="W109">
        <f t="shared" si="155"/>
        <v>0.6</v>
      </c>
      <c r="X109">
        <f t="shared" si="117"/>
        <v>0</v>
      </c>
      <c r="Y109" s="42">
        <f t="shared" si="170"/>
        <v>5.6666666666666661</v>
      </c>
      <c r="Z109">
        <f t="shared" si="156"/>
        <v>1.9200000000000004</v>
      </c>
      <c r="AA109">
        <f t="shared" si="119"/>
        <v>6.626666666666666</v>
      </c>
      <c r="AB109" s="44">
        <f t="shared" si="157"/>
        <v>3.6010171402597404</v>
      </c>
      <c r="AC109" s="42">
        <v>0</v>
      </c>
      <c r="AD109">
        <f t="shared" si="158"/>
        <v>0.12967324444444439</v>
      </c>
      <c r="AE109" s="44">
        <f t="shared" si="120"/>
        <v>0.12967324444444439</v>
      </c>
      <c r="AF109" s="42">
        <f t="shared" si="159"/>
        <v>1.0880000000000001</v>
      </c>
      <c r="AG109" s="44">
        <f t="shared" si="160"/>
        <v>1.0880000000000001</v>
      </c>
      <c r="AH109" s="42">
        <f t="shared" si="161"/>
        <v>0</v>
      </c>
      <c r="AI109">
        <f t="shared" si="162"/>
        <v>2.2200087036899596</v>
      </c>
      <c r="AJ109" s="44">
        <f t="shared" si="121"/>
        <v>2.2200087036899596</v>
      </c>
      <c r="AK109" s="42">
        <f t="shared" si="163"/>
        <v>54.4</v>
      </c>
      <c r="AL109">
        <f t="shared" si="108"/>
        <v>160</v>
      </c>
      <c r="AM109" s="44">
        <f t="shared" si="171"/>
        <v>0.33999999999999997</v>
      </c>
      <c r="AN109" s="42">
        <f t="shared" si="172"/>
        <v>2</v>
      </c>
      <c r="AO109">
        <f t="shared" si="173"/>
        <v>0.6</v>
      </c>
      <c r="AP109">
        <f t="shared" si="174"/>
        <v>0.56666666666666665</v>
      </c>
      <c r="AQ109">
        <f t="shared" si="175"/>
        <v>0.192</v>
      </c>
      <c r="AR109">
        <f t="shared" si="142"/>
        <v>0.66266666666666663</v>
      </c>
      <c r="AS109" s="44">
        <f t="shared" si="143"/>
        <v>0.44103272743263244</v>
      </c>
      <c r="AT109" s="42"/>
      <c r="AU109">
        <f t="shared" si="176"/>
        <v>1.3871999999999999E-3</v>
      </c>
      <c r="AV109" s="44">
        <f t="shared" si="144"/>
        <v>1.3871999999999999E-3</v>
      </c>
      <c r="AW109" s="42">
        <f t="shared" si="177"/>
        <v>4</v>
      </c>
      <c r="AX109">
        <f t="shared" si="178"/>
        <v>0.10199999999999999</v>
      </c>
      <c r="AY109" s="44">
        <f t="shared" si="145"/>
        <v>4.1020000000000003</v>
      </c>
      <c r="AZ109" s="42">
        <f t="shared" si="164"/>
        <v>0</v>
      </c>
      <c r="BA109">
        <f t="shared" si="165"/>
        <v>0</v>
      </c>
      <c r="BB109">
        <f t="shared" si="146"/>
        <v>0</v>
      </c>
      <c r="BC109" s="44">
        <f t="shared" si="179"/>
        <v>0</v>
      </c>
      <c r="BD109" s="42">
        <v>0</v>
      </c>
      <c r="BE109">
        <f t="shared" si="180"/>
        <v>0</v>
      </c>
      <c r="BF109" s="44">
        <f t="shared" si="147"/>
        <v>0</v>
      </c>
      <c r="BG109" s="42">
        <f t="shared" si="181"/>
        <v>0</v>
      </c>
      <c r="BH109">
        <f t="shared" si="182"/>
        <v>0</v>
      </c>
      <c r="BI109" s="44">
        <f t="shared" si="183"/>
        <v>0</v>
      </c>
      <c r="BK109" s="42">
        <f t="shared" si="166"/>
        <v>0</v>
      </c>
      <c r="BL109">
        <f t="shared" si="112"/>
        <v>0</v>
      </c>
      <c r="BM109">
        <f t="shared" si="167"/>
        <v>0</v>
      </c>
      <c r="BN109" s="44">
        <f t="shared" si="150"/>
        <v>0</v>
      </c>
      <c r="BO109" s="42">
        <v>0</v>
      </c>
      <c r="BP109">
        <f t="shared" si="184"/>
        <v>0</v>
      </c>
      <c r="BQ109" s="44">
        <f t="shared" si="148"/>
        <v>0</v>
      </c>
      <c r="BR109" s="42">
        <f t="shared" si="185"/>
        <v>0</v>
      </c>
      <c r="BS109">
        <f t="shared" si="186"/>
        <v>0</v>
      </c>
      <c r="BT109" s="44">
        <f t="shared" si="149"/>
        <v>0</v>
      </c>
      <c r="BU109" s="42">
        <f t="shared" si="168"/>
        <v>7.7803946666666637E-2</v>
      </c>
      <c r="BV109">
        <f t="shared" si="115"/>
        <v>0.23625000000000002</v>
      </c>
      <c r="BW109" s="44">
        <f t="shared" si="169"/>
        <v>1.0800000000000001E-2</v>
      </c>
      <c r="BX109">
        <f t="shared" si="139"/>
        <v>1.2176732444444445</v>
      </c>
      <c r="BY109">
        <f t="shared" si="140"/>
        <v>8.9539230948010715</v>
      </c>
      <c r="BZ109">
        <f t="shared" si="187"/>
        <v>85.866821409934374</v>
      </c>
    </row>
    <row r="110" spans="17:78" x14ac:dyDescent="0.3">
      <c r="Q110">
        <v>103</v>
      </c>
      <c r="R110" s="42">
        <f t="shared" si="151"/>
        <v>54.93333333333333</v>
      </c>
      <c r="S110">
        <f t="shared" si="95"/>
        <v>24</v>
      </c>
      <c r="T110" s="44">
        <f t="shared" si="152"/>
        <v>2.2888888888888888</v>
      </c>
      <c r="U110" s="42">
        <f t="shared" si="153"/>
        <v>2</v>
      </c>
      <c r="V110">
        <f t="shared" si="154"/>
        <v>0.4</v>
      </c>
      <c r="W110">
        <f t="shared" si="155"/>
        <v>0.6</v>
      </c>
      <c r="X110">
        <f t="shared" si="117"/>
        <v>0</v>
      </c>
      <c r="Y110" s="42">
        <f t="shared" si="170"/>
        <v>5.7222222222222214</v>
      </c>
      <c r="Z110">
        <f t="shared" si="156"/>
        <v>1.9200000000000004</v>
      </c>
      <c r="AA110">
        <f t="shared" si="119"/>
        <v>6.6822222222222214</v>
      </c>
      <c r="AB110" s="44">
        <f t="shared" si="157"/>
        <v>3.6359882926375775</v>
      </c>
      <c r="AC110" s="42">
        <v>0</v>
      </c>
      <c r="AD110">
        <f t="shared" si="158"/>
        <v>0.13220410864197527</v>
      </c>
      <c r="AE110" s="44">
        <f t="shared" si="120"/>
        <v>0.13220410864197527</v>
      </c>
      <c r="AF110" s="42">
        <f t="shared" si="159"/>
        <v>1.0986666666666667</v>
      </c>
      <c r="AG110" s="44">
        <f t="shared" si="160"/>
        <v>1.0986666666666667</v>
      </c>
      <c r="AH110" s="42">
        <f t="shared" si="161"/>
        <v>0</v>
      </c>
      <c r="AI110">
        <f t="shared" si="162"/>
        <v>2.2417734949026067</v>
      </c>
      <c r="AJ110" s="44">
        <f t="shared" si="121"/>
        <v>2.2417734949026067</v>
      </c>
      <c r="AK110" s="42">
        <f t="shared" si="163"/>
        <v>54.93333333333333</v>
      </c>
      <c r="AL110">
        <f t="shared" si="108"/>
        <v>160</v>
      </c>
      <c r="AM110" s="44">
        <f t="shared" si="171"/>
        <v>0.34333333333333332</v>
      </c>
      <c r="AN110" s="42">
        <f t="shared" si="172"/>
        <v>2</v>
      </c>
      <c r="AO110">
        <f t="shared" si="173"/>
        <v>0.6</v>
      </c>
      <c r="AP110">
        <f t="shared" si="174"/>
        <v>0.57222222222222219</v>
      </c>
      <c r="AQ110">
        <f t="shared" si="175"/>
        <v>0.192</v>
      </c>
      <c r="AR110">
        <f t="shared" si="142"/>
        <v>0.66822222222222216</v>
      </c>
      <c r="AS110" s="44">
        <f t="shared" si="143"/>
        <v>0.44531580138477339</v>
      </c>
      <c r="AT110" s="42"/>
      <c r="AU110">
        <f t="shared" si="176"/>
        <v>1.4145333333333333E-3</v>
      </c>
      <c r="AV110" s="44">
        <f t="shared" si="144"/>
        <v>1.4145333333333333E-3</v>
      </c>
      <c r="AW110" s="42">
        <f t="shared" si="177"/>
        <v>4</v>
      </c>
      <c r="AX110">
        <f t="shared" si="178"/>
        <v>0.10299999999999999</v>
      </c>
      <c r="AY110" s="44">
        <f t="shared" si="145"/>
        <v>4.1029999999999998</v>
      </c>
      <c r="AZ110" s="42">
        <f t="shared" si="164"/>
        <v>0</v>
      </c>
      <c r="BA110">
        <f t="shared" si="165"/>
        <v>0</v>
      </c>
      <c r="BB110">
        <f t="shared" si="146"/>
        <v>0</v>
      </c>
      <c r="BC110" s="44">
        <f t="shared" si="179"/>
        <v>0</v>
      </c>
      <c r="BD110" s="42">
        <v>0</v>
      </c>
      <c r="BE110">
        <f t="shared" si="180"/>
        <v>0</v>
      </c>
      <c r="BF110" s="44">
        <f t="shared" si="147"/>
        <v>0</v>
      </c>
      <c r="BG110" s="42">
        <f t="shared" si="181"/>
        <v>0</v>
      </c>
      <c r="BH110">
        <f t="shared" si="182"/>
        <v>0</v>
      </c>
      <c r="BI110" s="44">
        <f t="shared" si="183"/>
        <v>0</v>
      </c>
      <c r="BK110" s="42">
        <f t="shared" si="166"/>
        <v>0</v>
      </c>
      <c r="BL110">
        <f t="shared" si="112"/>
        <v>0</v>
      </c>
      <c r="BM110">
        <f t="shared" si="167"/>
        <v>0</v>
      </c>
      <c r="BN110" s="44">
        <f t="shared" si="150"/>
        <v>0</v>
      </c>
      <c r="BO110" s="42">
        <v>0</v>
      </c>
      <c r="BP110">
        <f t="shared" si="184"/>
        <v>0</v>
      </c>
      <c r="BQ110" s="44">
        <f t="shared" si="148"/>
        <v>0</v>
      </c>
      <c r="BR110" s="42">
        <f t="shared" si="185"/>
        <v>0</v>
      </c>
      <c r="BS110">
        <f t="shared" si="186"/>
        <v>0</v>
      </c>
      <c r="BT110" s="44">
        <f t="shared" si="149"/>
        <v>0</v>
      </c>
      <c r="BU110" s="42">
        <f t="shared" si="168"/>
        <v>7.9322465185185154E-2</v>
      </c>
      <c r="BV110">
        <f t="shared" si="115"/>
        <v>0.23625000000000002</v>
      </c>
      <c r="BW110" s="44">
        <f t="shared" si="169"/>
        <v>1.0800000000000001E-2</v>
      </c>
      <c r="BX110">
        <f t="shared" si="139"/>
        <v>1.2308707753086419</v>
      </c>
      <c r="BY110">
        <f t="shared" si="140"/>
        <v>9.0020979353964332</v>
      </c>
      <c r="BZ110">
        <f t="shared" si="187"/>
        <v>85.92001687208564</v>
      </c>
    </row>
    <row r="111" spans="17:78" x14ac:dyDescent="0.3">
      <c r="Q111">
        <v>104</v>
      </c>
      <c r="R111" s="42">
        <f t="shared" si="151"/>
        <v>55.466666666666669</v>
      </c>
      <c r="S111">
        <f t="shared" si="95"/>
        <v>24</v>
      </c>
      <c r="T111" s="44">
        <f t="shared" si="152"/>
        <v>2.3111111111111113</v>
      </c>
      <c r="U111" s="42">
        <f t="shared" si="153"/>
        <v>2</v>
      </c>
      <c r="V111">
        <f t="shared" si="154"/>
        <v>0.4</v>
      </c>
      <c r="W111">
        <f t="shared" si="155"/>
        <v>0.6</v>
      </c>
      <c r="X111">
        <f t="shared" si="117"/>
        <v>0</v>
      </c>
      <c r="Y111" s="42">
        <f t="shared" si="170"/>
        <v>5.7777777777777768</v>
      </c>
      <c r="Z111">
        <f t="shared" si="156"/>
        <v>1.9200000000000004</v>
      </c>
      <c r="AA111">
        <f t="shared" si="119"/>
        <v>6.7377777777777768</v>
      </c>
      <c r="AB111" s="44">
        <f t="shared" si="157"/>
        <v>3.6709626012468557</v>
      </c>
      <c r="AC111" s="42">
        <v>0</v>
      </c>
      <c r="AD111">
        <f t="shared" si="158"/>
        <v>0.13475966419753083</v>
      </c>
      <c r="AE111" s="44">
        <f t="shared" si="120"/>
        <v>0.13475966419753083</v>
      </c>
      <c r="AF111" s="42">
        <f t="shared" si="159"/>
        <v>1.1093333333333335</v>
      </c>
      <c r="AG111" s="44">
        <f t="shared" si="160"/>
        <v>1.1093333333333335</v>
      </c>
      <c r="AH111" s="42">
        <f t="shared" si="161"/>
        <v>0</v>
      </c>
      <c r="AI111">
        <f t="shared" si="162"/>
        <v>2.2635382861152529</v>
      </c>
      <c r="AJ111" s="44">
        <f t="shared" si="121"/>
        <v>2.2635382861152529</v>
      </c>
      <c r="AK111" s="42">
        <f t="shared" si="163"/>
        <v>55.466666666666669</v>
      </c>
      <c r="AL111">
        <f t="shared" si="108"/>
        <v>160</v>
      </c>
      <c r="AM111" s="44">
        <f t="shared" si="171"/>
        <v>0.34666666666666668</v>
      </c>
      <c r="AN111" s="42">
        <f t="shared" si="172"/>
        <v>2</v>
      </c>
      <c r="AO111">
        <f t="shared" si="173"/>
        <v>0.6000000000000002</v>
      </c>
      <c r="AP111">
        <f t="shared" si="174"/>
        <v>0.57777777777777761</v>
      </c>
      <c r="AQ111">
        <f t="shared" si="175"/>
        <v>0.19200000000000006</v>
      </c>
      <c r="AR111">
        <f t="shared" si="142"/>
        <v>0.67377777777777759</v>
      </c>
      <c r="AS111" s="44">
        <f t="shared" si="143"/>
        <v>0.44959926189474136</v>
      </c>
      <c r="AT111" s="42"/>
      <c r="AU111">
        <f t="shared" si="176"/>
        <v>1.4421333333333335E-3</v>
      </c>
      <c r="AV111" s="44">
        <f t="shared" si="144"/>
        <v>1.4421333333333335E-3</v>
      </c>
      <c r="AW111" s="42">
        <f t="shared" si="177"/>
        <v>4</v>
      </c>
      <c r="AX111">
        <f t="shared" si="178"/>
        <v>0.104</v>
      </c>
      <c r="AY111" s="44">
        <f t="shared" si="145"/>
        <v>4.1040000000000001</v>
      </c>
      <c r="AZ111" s="42">
        <f t="shared" si="164"/>
        <v>0</v>
      </c>
      <c r="BA111">
        <f t="shared" si="165"/>
        <v>0</v>
      </c>
      <c r="BB111">
        <f t="shared" si="146"/>
        <v>0</v>
      </c>
      <c r="BC111" s="44">
        <f t="shared" si="179"/>
        <v>0</v>
      </c>
      <c r="BD111" s="42">
        <v>0</v>
      </c>
      <c r="BE111">
        <f t="shared" si="180"/>
        <v>0</v>
      </c>
      <c r="BF111" s="44">
        <f t="shared" si="147"/>
        <v>0</v>
      </c>
      <c r="BG111" s="42">
        <f t="shared" si="181"/>
        <v>0</v>
      </c>
      <c r="BH111">
        <f t="shared" si="182"/>
        <v>0</v>
      </c>
      <c r="BI111" s="44">
        <f t="shared" si="183"/>
        <v>0</v>
      </c>
      <c r="BK111" s="42">
        <f t="shared" si="166"/>
        <v>0</v>
      </c>
      <c r="BL111">
        <f t="shared" si="112"/>
        <v>0</v>
      </c>
      <c r="BM111">
        <f t="shared" si="167"/>
        <v>0</v>
      </c>
      <c r="BN111" s="44">
        <f t="shared" si="150"/>
        <v>0</v>
      </c>
      <c r="BO111" s="42">
        <v>0</v>
      </c>
      <c r="BP111">
        <f t="shared" si="184"/>
        <v>0</v>
      </c>
      <c r="BQ111" s="44">
        <f t="shared" si="148"/>
        <v>0</v>
      </c>
      <c r="BR111" s="42">
        <f t="shared" si="185"/>
        <v>0</v>
      </c>
      <c r="BS111">
        <f t="shared" si="186"/>
        <v>0</v>
      </c>
      <c r="BT111" s="44">
        <f t="shared" si="149"/>
        <v>0</v>
      </c>
      <c r="BU111" s="42">
        <f t="shared" si="168"/>
        <v>8.0855798518518499E-2</v>
      </c>
      <c r="BV111">
        <f t="shared" si="115"/>
        <v>0.23625000000000002</v>
      </c>
      <c r="BW111" s="44">
        <f t="shared" si="169"/>
        <v>1.0800000000000001E-2</v>
      </c>
      <c r="BX111">
        <f t="shared" si="139"/>
        <v>1.2440929975308643</v>
      </c>
      <c r="BY111">
        <f t="shared" si="140"/>
        <v>9.0503125488313021</v>
      </c>
      <c r="BZ111">
        <f t="shared" si="187"/>
        <v>85.972200405413162</v>
      </c>
    </row>
    <row r="112" spans="17:78" x14ac:dyDescent="0.3">
      <c r="Q112">
        <v>105</v>
      </c>
      <c r="R112" s="42">
        <f t="shared" si="151"/>
        <v>56</v>
      </c>
      <c r="S112">
        <f t="shared" si="95"/>
        <v>24</v>
      </c>
      <c r="T112" s="44">
        <f t="shared" si="152"/>
        <v>2.3333333333333335</v>
      </c>
      <c r="U112" s="42">
        <f t="shared" si="153"/>
        <v>2</v>
      </c>
      <c r="V112">
        <f t="shared" si="154"/>
        <v>0.4</v>
      </c>
      <c r="W112">
        <f t="shared" si="155"/>
        <v>0.6</v>
      </c>
      <c r="X112">
        <f t="shared" si="117"/>
        <v>0</v>
      </c>
      <c r="Y112" s="42">
        <f t="shared" si="170"/>
        <v>5.8333333333333321</v>
      </c>
      <c r="Z112">
        <f t="shared" si="156"/>
        <v>1.9200000000000004</v>
      </c>
      <c r="AA112">
        <f t="shared" si="119"/>
        <v>6.7933333333333321</v>
      </c>
      <c r="AB112" s="44">
        <f t="shared" si="157"/>
        <v>3.7059399767280508</v>
      </c>
      <c r="AC112" s="42">
        <v>0</v>
      </c>
      <c r="AD112">
        <f t="shared" si="158"/>
        <v>0.13733991111111107</v>
      </c>
      <c r="AE112" s="44">
        <f t="shared" si="120"/>
        <v>0.13733991111111107</v>
      </c>
      <c r="AF112" s="42">
        <f t="shared" si="159"/>
        <v>1.1200000000000001</v>
      </c>
      <c r="AG112" s="44">
        <f t="shared" si="160"/>
        <v>1.1200000000000001</v>
      </c>
      <c r="AH112" s="42">
        <f t="shared" si="161"/>
        <v>0</v>
      </c>
      <c r="AI112">
        <f t="shared" si="162"/>
        <v>2.2853030773278995</v>
      </c>
      <c r="AJ112" s="44">
        <f t="shared" si="121"/>
        <v>2.2853030773278995</v>
      </c>
      <c r="AK112" s="42">
        <f t="shared" si="163"/>
        <v>56</v>
      </c>
      <c r="AL112">
        <f t="shared" si="108"/>
        <v>160</v>
      </c>
      <c r="AM112" s="44">
        <f t="shared" si="171"/>
        <v>0.35</v>
      </c>
      <c r="AN112" s="42">
        <f t="shared" si="172"/>
        <v>2</v>
      </c>
      <c r="AO112">
        <f t="shared" si="173"/>
        <v>0.60000000000000009</v>
      </c>
      <c r="AP112">
        <f t="shared" si="174"/>
        <v>0.58333333333333326</v>
      </c>
      <c r="AQ112">
        <f t="shared" si="175"/>
        <v>0.19200000000000003</v>
      </c>
      <c r="AR112">
        <f t="shared" si="142"/>
        <v>0.67933333333333323</v>
      </c>
      <c r="AS112" s="44">
        <f t="shared" si="143"/>
        <v>0.45388309801827459</v>
      </c>
      <c r="AT112" s="42"/>
      <c r="AU112">
        <f t="shared" si="176"/>
        <v>1.4699999999999997E-3</v>
      </c>
      <c r="AV112" s="44">
        <f t="shared" si="144"/>
        <v>1.4699999999999997E-3</v>
      </c>
      <c r="AW112" s="42">
        <f t="shared" si="177"/>
        <v>4</v>
      </c>
      <c r="AX112">
        <f t="shared" si="178"/>
        <v>0.105</v>
      </c>
      <c r="AY112" s="44">
        <f t="shared" si="145"/>
        <v>4.1050000000000004</v>
      </c>
      <c r="AZ112" s="42">
        <f t="shared" si="164"/>
        <v>0</v>
      </c>
      <c r="BA112">
        <f t="shared" si="165"/>
        <v>0</v>
      </c>
      <c r="BB112">
        <f t="shared" si="146"/>
        <v>0</v>
      </c>
      <c r="BC112" s="44">
        <f t="shared" si="179"/>
        <v>0</v>
      </c>
      <c r="BD112" s="42">
        <v>0</v>
      </c>
      <c r="BE112">
        <f t="shared" si="180"/>
        <v>0</v>
      </c>
      <c r="BF112" s="44">
        <f t="shared" si="147"/>
        <v>0</v>
      </c>
      <c r="BG112" s="42">
        <f t="shared" si="181"/>
        <v>0</v>
      </c>
      <c r="BH112">
        <f t="shared" si="182"/>
        <v>0</v>
      </c>
      <c r="BI112" s="44">
        <f t="shared" si="183"/>
        <v>0</v>
      </c>
      <c r="BK112" s="42">
        <f t="shared" si="166"/>
        <v>0</v>
      </c>
      <c r="BL112">
        <f t="shared" si="112"/>
        <v>0</v>
      </c>
      <c r="BM112">
        <f t="shared" si="167"/>
        <v>0</v>
      </c>
      <c r="BN112" s="44">
        <f t="shared" ref="BN112:BN143" si="188">IF(EN_OUT_3=1,BK112/BL112,0)</f>
        <v>0</v>
      </c>
      <c r="BO112" s="42">
        <v>0</v>
      </c>
      <c r="BP112">
        <f t="shared" si="184"/>
        <v>0</v>
      </c>
      <c r="BQ112" s="44">
        <f t="shared" si="148"/>
        <v>0</v>
      </c>
      <c r="BR112" s="42">
        <f t="shared" si="185"/>
        <v>0</v>
      </c>
      <c r="BS112">
        <f t="shared" si="186"/>
        <v>0</v>
      </c>
      <c r="BT112" s="44">
        <f t="shared" si="149"/>
        <v>0</v>
      </c>
      <c r="BU112" s="42">
        <f t="shared" si="168"/>
        <v>8.240394666666663E-2</v>
      </c>
      <c r="BV112">
        <f t="shared" si="115"/>
        <v>0.23625000000000002</v>
      </c>
      <c r="BW112" s="44">
        <f t="shared" si="169"/>
        <v>1.0800000000000001E-2</v>
      </c>
      <c r="BX112">
        <f t="shared" si="139"/>
        <v>1.2573399111111112</v>
      </c>
      <c r="BY112">
        <f t="shared" si="140"/>
        <v>9.0985669351056782</v>
      </c>
      <c r="BZ112">
        <f t="shared" si="187"/>
        <v>86.023399033997634</v>
      </c>
    </row>
    <row r="113" spans="17:78" x14ac:dyDescent="0.3">
      <c r="Q113">
        <v>106</v>
      </c>
      <c r="R113" s="42">
        <f t="shared" si="151"/>
        <v>56.533333333333331</v>
      </c>
      <c r="S113">
        <f t="shared" si="95"/>
        <v>24</v>
      </c>
      <c r="T113" s="44">
        <f t="shared" si="152"/>
        <v>2.3555555555555556</v>
      </c>
      <c r="U113" s="42">
        <f t="shared" si="153"/>
        <v>2</v>
      </c>
      <c r="V113">
        <f t="shared" si="154"/>
        <v>0.4</v>
      </c>
      <c r="W113">
        <f t="shared" si="155"/>
        <v>0.6</v>
      </c>
      <c r="X113">
        <f t="shared" si="117"/>
        <v>0</v>
      </c>
      <c r="Y113" s="42">
        <f t="shared" si="170"/>
        <v>5.8888888888888875</v>
      </c>
      <c r="Z113">
        <f t="shared" si="156"/>
        <v>1.9200000000000004</v>
      </c>
      <c r="AA113">
        <f t="shared" si="119"/>
        <v>6.8488888888888875</v>
      </c>
      <c r="AB113" s="44">
        <f t="shared" si="157"/>
        <v>3.7409203330559708</v>
      </c>
      <c r="AC113" s="42">
        <v>0</v>
      </c>
      <c r="AD113">
        <f t="shared" si="158"/>
        <v>0.13994484938271595</v>
      </c>
      <c r="AE113" s="44">
        <f t="shared" si="120"/>
        <v>0.13994484938271595</v>
      </c>
      <c r="AF113" s="42">
        <f t="shared" si="159"/>
        <v>1.1306666666666667</v>
      </c>
      <c r="AG113" s="44">
        <f t="shared" si="160"/>
        <v>1.1306666666666667</v>
      </c>
      <c r="AH113" s="42">
        <f t="shared" si="161"/>
        <v>0</v>
      </c>
      <c r="AI113">
        <f t="shared" si="162"/>
        <v>2.3070678685405461</v>
      </c>
      <c r="AJ113" s="44">
        <f t="shared" si="121"/>
        <v>2.3070678685405461</v>
      </c>
      <c r="AK113" s="42">
        <f t="shared" si="163"/>
        <v>56.533333333333331</v>
      </c>
      <c r="AL113">
        <f t="shared" si="108"/>
        <v>160</v>
      </c>
      <c r="AM113" s="44">
        <f t="shared" si="171"/>
        <v>0.35333333333333333</v>
      </c>
      <c r="AN113" s="42">
        <f t="shared" si="172"/>
        <v>2</v>
      </c>
      <c r="AO113">
        <f t="shared" si="173"/>
        <v>0.6</v>
      </c>
      <c r="AP113">
        <f t="shared" si="174"/>
        <v>0.58888888888888891</v>
      </c>
      <c r="AQ113">
        <f t="shared" si="175"/>
        <v>0.192</v>
      </c>
      <c r="AR113">
        <f t="shared" si="142"/>
        <v>0.68488888888888888</v>
      </c>
      <c r="AS113" s="44">
        <f t="shared" si="143"/>
        <v>0.45816729921948168</v>
      </c>
      <c r="AT113" s="42"/>
      <c r="AU113">
        <f t="shared" si="176"/>
        <v>1.4981333333333334E-3</v>
      </c>
      <c r="AV113" s="44">
        <f t="shared" si="144"/>
        <v>1.4981333333333334E-3</v>
      </c>
      <c r="AW113" s="42">
        <f t="shared" si="177"/>
        <v>4</v>
      </c>
      <c r="AX113">
        <f t="shared" si="178"/>
        <v>0.106</v>
      </c>
      <c r="AY113" s="44">
        <f t="shared" si="145"/>
        <v>4.1059999999999999</v>
      </c>
      <c r="AZ113" s="42">
        <f t="shared" si="164"/>
        <v>0</v>
      </c>
      <c r="BA113">
        <f t="shared" si="165"/>
        <v>0</v>
      </c>
      <c r="BB113">
        <f t="shared" si="146"/>
        <v>0</v>
      </c>
      <c r="BC113" s="44">
        <f t="shared" si="179"/>
        <v>0</v>
      </c>
      <c r="BD113" s="42">
        <v>0</v>
      </c>
      <c r="BE113">
        <f t="shared" si="180"/>
        <v>0</v>
      </c>
      <c r="BF113" s="44">
        <f t="shared" si="147"/>
        <v>0</v>
      </c>
      <c r="BG113" s="42">
        <f t="shared" si="181"/>
        <v>0</v>
      </c>
      <c r="BH113">
        <f t="shared" si="182"/>
        <v>0</v>
      </c>
      <c r="BI113" s="44">
        <f t="shared" si="183"/>
        <v>0</v>
      </c>
      <c r="BK113" s="42">
        <f t="shared" si="166"/>
        <v>0</v>
      </c>
      <c r="BL113">
        <f t="shared" si="112"/>
        <v>0</v>
      </c>
      <c r="BM113">
        <f t="shared" si="167"/>
        <v>0</v>
      </c>
      <c r="BN113" s="44">
        <f t="shared" si="188"/>
        <v>0</v>
      </c>
      <c r="BO113" s="42">
        <v>0</v>
      </c>
      <c r="BP113">
        <f t="shared" si="184"/>
        <v>0</v>
      </c>
      <c r="BQ113" s="44">
        <f t="shared" si="148"/>
        <v>0</v>
      </c>
      <c r="BR113" s="42">
        <f t="shared" si="185"/>
        <v>0</v>
      </c>
      <c r="BS113">
        <f t="shared" si="186"/>
        <v>0</v>
      </c>
      <c r="BT113" s="44">
        <f t="shared" si="149"/>
        <v>0</v>
      </c>
      <c r="BU113" s="42">
        <f t="shared" si="168"/>
        <v>8.3966909629629577E-2</v>
      </c>
      <c r="BV113">
        <f t="shared" si="115"/>
        <v>0.23625000000000002</v>
      </c>
      <c r="BW113" s="44">
        <f t="shared" si="169"/>
        <v>1.0800000000000001E-2</v>
      </c>
      <c r="BX113">
        <f t="shared" si="139"/>
        <v>1.2706115160493827</v>
      </c>
      <c r="BY113">
        <f t="shared" si="140"/>
        <v>9.1468610942195578</v>
      </c>
      <c r="BZ113">
        <f t="shared" si="187"/>
        <v>86.073638828355172</v>
      </c>
    </row>
    <row r="114" spans="17:78" x14ac:dyDescent="0.3">
      <c r="Q114">
        <v>107</v>
      </c>
      <c r="R114" s="42">
        <f t="shared" si="151"/>
        <v>57.066666666666663</v>
      </c>
      <c r="S114">
        <f t="shared" si="95"/>
        <v>24</v>
      </c>
      <c r="T114" s="44">
        <f t="shared" si="152"/>
        <v>2.3777777777777778</v>
      </c>
      <c r="U114" s="42">
        <f t="shared" si="153"/>
        <v>2</v>
      </c>
      <c r="V114">
        <f t="shared" si="154"/>
        <v>0.4</v>
      </c>
      <c r="W114">
        <f t="shared" si="155"/>
        <v>0.6</v>
      </c>
      <c r="X114">
        <f t="shared" si="117"/>
        <v>0</v>
      </c>
      <c r="Y114" s="42">
        <f t="shared" si="170"/>
        <v>5.9444444444444429</v>
      </c>
      <c r="Z114">
        <f t="shared" si="156"/>
        <v>1.9200000000000004</v>
      </c>
      <c r="AA114">
        <f t="shared" si="119"/>
        <v>6.9044444444444428</v>
      </c>
      <c r="AB114" s="44">
        <f t="shared" si="157"/>
        <v>3.7759035873860127</v>
      </c>
      <c r="AC114" s="42">
        <v>0</v>
      </c>
      <c r="AD114">
        <f t="shared" si="158"/>
        <v>0.1425744790123456</v>
      </c>
      <c r="AE114" s="44">
        <f t="shared" si="120"/>
        <v>0.1425744790123456</v>
      </c>
      <c r="AF114" s="42">
        <f t="shared" si="159"/>
        <v>1.1413333333333333</v>
      </c>
      <c r="AG114" s="44">
        <f t="shared" si="160"/>
        <v>1.1413333333333333</v>
      </c>
      <c r="AH114" s="42">
        <f t="shared" si="161"/>
        <v>0</v>
      </c>
      <c r="AI114">
        <f t="shared" si="162"/>
        <v>2.3288326597531928</v>
      </c>
      <c r="AJ114" s="44">
        <f t="shared" si="121"/>
        <v>2.3288326597531928</v>
      </c>
      <c r="AK114" s="42">
        <f t="shared" si="163"/>
        <v>57.066666666666663</v>
      </c>
      <c r="AL114">
        <f t="shared" si="108"/>
        <v>160</v>
      </c>
      <c r="AM114" s="44">
        <f t="shared" si="171"/>
        <v>0.35666666666666663</v>
      </c>
      <c r="AN114" s="42">
        <f t="shared" si="172"/>
        <v>2</v>
      </c>
      <c r="AO114">
        <f t="shared" si="173"/>
        <v>0.60000000000000009</v>
      </c>
      <c r="AP114">
        <f t="shared" si="174"/>
        <v>0.59444444444444433</v>
      </c>
      <c r="AQ114">
        <f t="shared" si="175"/>
        <v>0.19200000000000003</v>
      </c>
      <c r="AR114">
        <f t="shared" si="142"/>
        <v>0.69044444444444431</v>
      </c>
      <c r="AS114" s="44">
        <f t="shared" si="143"/>
        <v>0.46245185535201222</v>
      </c>
      <c r="AT114" s="42"/>
      <c r="AU114">
        <f t="shared" si="176"/>
        <v>1.526533333333333E-3</v>
      </c>
      <c r="AV114" s="44">
        <f t="shared" si="144"/>
        <v>1.526533333333333E-3</v>
      </c>
      <c r="AW114" s="42">
        <f t="shared" si="177"/>
        <v>4</v>
      </c>
      <c r="AX114">
        <f t="shared" si="178"/>
        <v>0.10699999999999998</v>
      </c>
      <c r="AY114" s="44">
        <f t="shared" si="145"/>
        <v>4.1070000000000002</v>
      </c>
      <c r="AZ114" s="42">
        <f t="shared" si="164"/>
        <v>0</v>
      </c>
      <c r="BA114">
        <f t="shared" si="165"/>
        <v>0</v>
      </c>
      <c r="BB114">
        <f t="shared" si="146"/>
        <v>0</v>
      </c>
      <c r="BC114" s="44">
        <f t="shared" si="179"/>
        <v>0</v>
      </c>
      <c r="BD114" s="42">
        <v>0</v>
      </c>
      <c r="BE114">
        <f t="shared" si="180"/>
        <v>0</v>
      </c>
      <c r="BF114" s="44">
        <f t="shared" si="147"/>
        <v>0</v>
      </c>
      <c r="BG114" s="42">
        <f t="shared" si="181"/>
        <v>0</v>
      </c>
      <c r="BH114">
        <f t="shared" si="182"/>
        <v>0</v>
      </c>
      <c r="BI114" s="44">
        <f t="shared" si="183"/>
        <v>0</v>
      </c>
      <c r="BK114" s="42">
        <f t="shared" si="166"/>
        <v>0</v>
      </c>
      <c r="BL114">
        <f t="shared" si="112"/>
        <v>0</v>
      </c>
      <c r="BM114">
        <f t="shared" si="167"/>
        <v>0</v>
      </c>
      <c r="BN114" s="44">
        <f t="shared" si="188"/>
        <v>0</v>
      </c>
      <c r="BO114" s="42">
        <v>0</v>
      </c>
      <c r="BP114">
        <f t="shared" si="184"/>
        <v>0</v>
      </c>
      <c r="BQ114" s="44">
        <f t="shared" si="148"/>
        <v>0</v>
      </c>
      <c r="BR114" s="42">
        <f t="shared" si="185"/>
        <v>0</v>
      </c>
      <c r="BS114">
        <f t="shared" si="186"/>
        <v>0</v>
      </c>
      <c r="BT114" s="44">
        <f t="shared" si="149"/>
        <v>0</v>
      </c>
      <c r="BU114" s="42">
        <f t="shared" si="168"/>
        <v>8.5544687407407366E-2</v>
      </c>
      <c r="BV114">
        <f t="shared" si="115"/>
        <v>0.23625000000000002</v>
      </c>
      <c r="BW114" s="44">
        <f t="shared" si="169"/>
        <v>1.0800000000000001E-2</v>
      </c>
      <c r="BX114">
        <f t="shared" si="139"/>
        <v>1.2839078123456789</v>
      </c>
      <c r="BY114">
        <f t="shared" si="140"/>
        <v>9.1951950261729465</v>
      </c>
      <c r="BZ114">
        <f t="shared" si="187"/>
        <v>86.122944947128474</v>
      </c>
    </row>
    <row r="115" spans="17:78" x14ac:dyDescent="0.3">
      <c r="Q115">
        <v>108</v>
      </c>
      <c r="R115" s="42">
        <f t="shared" si="151"/>
        <v>57.6</v>
      </c>
      <c r="S115">
        <f t="shared" si="95"/>
        <v>24</v>
      </c>
      <c r="T115" s="44">
        <f t="shared" si="152"/>
        <v>2.4</v>
      </c>
      <c r="U115" s="42">
        <f t="shared" si="153"/>
        <v>2</v>
      </c>
      <c r="V115">
        <f t="shared" si="154"/>
        <v>0.4</v>
      </c>
      <c r="W115">
        <f t="shared" si="155"/>
        <v>0.6</v>
      </c>
      <c r="X115">
        <f t="shared" si="117"/>
        <v>0</v>
      </c>
      <c r="Y115" s="42">
        <f t="shared" si="170"/>
        <v>5.9999999999999991</v>
      </c>
      <c r="Z115">
        <f t="shared" si="156"/>
        <v>1.9200000000000004</v>
      </c>
      <c r="AA115">
        <f t="shared" si="119"/>
        <v>6.9599999999999991</v>
      </c>
      <c r="AB115" s="44">
        <f t="shared" si="157"/>
        <v>3.8108896599088244</v>
      </c>
      <c r="AC115" s="42">
        <v>0</v>
      </c>
      <c r="AD115">
        <f t="shared" si="158"/>
        <v>0.14522879999999996</v>
      </c>
      <c r="AE115" s="44">
        <f t="shared" si="120"/>
        <v>0.14522879999999996</v>
      </c>
      <c r="AF115" s="42">
        <f t="shared" si="159"/>
        <v>1.1520000000000001</v>
      </c>
      <c r="AG115" s="44">
        <f t="shared" si="160"/>
        <v>1.1520000000000001</v>
      </c>
      <c r="AH115" s="42">
        <f t="shared" si="161"/>
        <v>0</v>
      </c>
      <c r="AI115">
        <f t="shared" si="162"/>
        <v>2.3505974509658398</v>
      </c>
      <c r="AJ115" s="44">
        <f t="shared" si="121"/>
        <v>2.3505974509658398</v>
      </c>
      <c r="AK115" s="42">
        <f t="shared" si="163"/>
        <v>57.6</v>
      </c>
      <c r="AL115">
        <f t="shared" si="108"/>
        <v>160</v>
      </c>
      <c r="AM115" s="44">
        <f t="shared" si="171"/>
        <v>0.36</v>
      </c>
      <c r="AN115" s="42">
        <f t="shared" si="172"/>
        <v>2</v>
      </c>
      <c r="AO115">
        <f t="shared" si="173"/>
        <v>0.6</v>
      </c>
      <c r="AP115">
        <f t="shared" si="174"/>
        <v>0.6</v>
      </c>
      <c r="AQ115">
        <f t="shared" si="175"/>
        <v>0.192</v>
      </c>
      <c r="AR115">
        <f t="shared" si="142"/>
        <v>0.69599999999999995</v>
      </c>
      <c r="AS115" s="44">
        <f t="shared" si="143"/>
        <v>0.46673675664125702</v>
      </c>
      <c r="AT115" s="42"/>
      <c r="AU115">
        <f t="shared" si="176"/>
        <v>1.5551999999999999E-3</v>
      </c>
      <c r="AV115" s="44">
        <f t="shared" si="144"/>
        <v>1.5551999999999999E-3</v>
      </c>
      <c r="AW115" s="42">
        <f t="shared" si="177"/>
        <v>4</v>
      </c>
      <c r="AX115">
        <f t="shared" si="178"/>
        <v>0.108</v>
      </c>
      <c r="AY115" s="44">
        <f t="shared" si="145"/>
        <v>4.1079999999999997</v>
      </c>
      <c r="AZ115" s="42">
        <f t="shared" si="164"/>
        <v>0</v>
      </c>
      <c r="BA115">
        <f t="shared" si="165"/>
        <v>0</v>
      </c>
      <c r="BB115">
        <f t="shared" si="146"/>
        <v>0</v>
      </c>
      <c r="BC115" s="44">
        <f t="shared" si="179"/>
        <v>0</v>
      </c>
      <c r="BD115" s="42">
        <v>0</v>
      </c>
      <c r="BE115">
        <f t="shared" si="180"/>
        <v>0</v>
      </c>
      <c r="BF115" s="44">
        <f t="shared" si="147"/>
        <v>0</v>
      </c>
      <c r="BG115" s="42">
        <f t="shared" si="181"/>
        <v>0</v>
      </c>
      <c r="BH115">
        <f t="shared" si="182"/>
        <v>0</v>
      </c>
      <c r="BI115" s="44">
        <f t="shared" si="183"/>
        <v>0</v>
      </c>
      <c r="BK115" s="42">
        <f t="shared" si="166"/>
        <v>0</v>
      </c>
      <c r="BL115">
        <f t="shared" si="112"/>
        <v>0</v>
      </c>
      <c r="BM115">
        <f t="shared" si="167"/>
        <v>0</v>
      </c>
      <c r="BN115" s="44">
        <f t="shared" si="188"/>
        <v>0</v>
      </c>
      <c r="BO115" s="42">
        <v>0</v>
      </c>
      <c r="BP115">
        <f t="shared" si="184"/>
        <v>0</v>
      </c>
      <c r="BQ115" s="44">
        <f t="shared" si="148"/>
        <v>0</v>
      </c>
      <c r="BR115" s="42">
        <f t="shared" si="185"/>
        <v>0</v>
      </c>
      <c r="BS115">
        <f t="shared" si="186"/>
        <v>0</v>
      </c>
      <c r="BT115" s="44">
        <f t="shared" si="149"/>
        <v>0</v>
      </c>
      <c r="BU115" s="42">
        <f t="shared" si="168"/>
        <v>8.713727999999997E-2</v>
      </c>
      <c r="BV115">
        <f t="shared" si="115"/>
        <v>0.23625000000000002</v>
      </c>
      <c r="BW115" s="44">
        <f t="shared" si="169"/>
        <v>1.0800000000000001E-2</v>
      </c>
      <c r="BX115">
        <f t="shared" si="139"/>
        <v>1.2972288000000001</v>
      </c>
      <c r="BY115">
        <f t="shared" si="140"/>
        <v>9.2435687309658405</v>
      </c>
      <c r="BZ115">
        <f t="shared" si="187"/>
        <v>86.171341676609671</v>
      </c>
    </row>
    <row r="116" spans="17:78" x14ac:dyDescent="0.3">
      <c r="Q116">
        <v>109</v>
      </c>
      <c r="R116" s="42">
        <f t="shared" si="151"/>
        <v>58.133333333333333</v>
      </c>
      <c r="S116">
        <f t="shared" si="95"/>
        <v>24</v>
      </c>
      <c r="T116" s="44">
        <f t="shared" si="152"/>
        <v>2.4222222222222221</v>
      </c>
      <c r="U116" s="42">
        <f t="shared" si="153"/>
        <v>2</v>
      </c>
      <c r="V116">
        <f t="shared" si="154"/>
        <v>0.4</v>
      </c>
      <c r="W116">
        <f t="shared" si="155"/>
        <v>0.6</v>
      </c>
      <c r="X116">
        <f t="shared" si="117"/>
        <v>0</v>
      </c>
      <c r="Y116" s="42">
        <f t="shared" si="170"/>
        <v>6.0555555555555545</v>
      </c>
      <c r="Z116">
        <f t="shared" si="156"/>
        <v>1.9200000000000004</v>
      </c>
      <c r="AA116">
        <f t="shared" si="119"/>
        <v>7.0155555555555544</v>
      </c>
      <c r="AB116" s="44">
        <f t="shared" si="157"/>
        <v>3.845878473712852</v>
      </c>
      <c r="AC116" s="42">
        <v>0</v>
      </c>
      <c r="AD116">
        <f t="shared" si="158"/>
        <v>0.14790781234567896</v>
      </c>
      <c r="AE116" s="44">
        <f t="shared" si="120"/>
        <v>0.14790781234567896</v>
      </c>
      <c r="AF116" s="42">
        <f t="shared" si="159"/>
        <v>1.1626666666666667</v>
      </c>
      <c r="AG116" s="44">
        <f t="shared" si="160"/>
        <v>1.1626666666666667</v>
      </c>
      <c r="AH116" s="42">
        <f t="shared" si="161"/>
        <v>0</v>
      </c>
      <c r="AI116">
        <f t="shared" si="162"/>
        <v>2.3723622421784865</v>
      </c>
      <c r="AJ116" s="44">
        <f t="shared" si="121"/>
        <v>2.3723622421784865</v>
      </c>
      <c r="AK116" s="42">
        <f t="shared" si="163"/>
        <v>58.133333333333333</v>
      </c>
      <c r="AL116">
        <f t="shared" si="108"/>
        <v>160</v>
      </c>
      <c r="AM116" s="44">
        <f t="shared" si="171"/>
        <v>0.36333333333333334</v>
      </c>
      <c r="AN116" s="42">
        <f t="shared" si="172"/>
        <v>2</v>
      </c>
      <c r="AO116">
        <f t="shared" si="173"/>
        <v>0.6000000000000002</v>
      </c>
      <c r="AP116">
        <f t="shared" si="174"/>
        <v>0.6055555555555554</v>
      </c>
      <c r="AQ116">
        <f t="shared" si="175"/>
        <v>0.19200000000000006</v>
      </c>
      <c r="AR116">
        <f t="shared" si="142"/>
        <v>0.70155555555555549</v>
      </c>
      <c r="AS116" s="44">
        <f t="shared" si="143"/>
        <v>0.47102199366751291</v>
      </c>
      <c r="AT116" s="42"/>
      <c r="AU116">
        <f t="shared" si="176"/>
        <v>1.5841333333333333E-3</v>
      </c>
      <c r="AV116" s="44">
        <f t="shared" si="144"/>
        <v>1.5841333333333333E-3</v>
      </c>
      <c r="AW116" s="42">
        <f t="shared" si="177"/>
        <v>4</v>
      </c>
      <c r="AX116">
        <f t="shared" si="178"/>
        <v>0.109</v>
      </c>
      <c r="AY116" s="44">
        <f t="shared" si="145"/>
        <v>4.109</v>
      </c>
      <c r="AZ116" s="42">
        <f t="shared" si="164"/>
        <v>0</v>
      </c>
      <c r="BA116">
        <f t="shared" si="165"/>
        <v>0</v>
      </c>
      <c r="BB116">
        <f t="shared" si="146"/>
        <v>0</v>
      </c>
      <c r="BC116" s="44">
        <f t="shared" si="179"/>
        <v>0</v>
      </c>
      <c r="BD116" s="42">
        <v>0</v>
      </c>
      <c r="BE116">
        <f t="shared" si="180"/>
        <v>0</v>
      </c>
      <c r="BF116" s="44">
        <f t="shared" si="147"/>
        <v>0</v>
      </c>
      <c r="BG116" s="42">
        <f t="shared" si="181"/>
        <v>0</v>
      </c>
      <c r="BH116">
        <f t="shared" si="182"/>
        <v>0</v>
      </c>
      <c r="BI116" s="44">
        <f t="shared" si="183"/>
        <v>0</v>
      </c>
      <c r="BK116" s="42">
        <f t="shared" si="166"/>
        <v>0</v>
      </c>
      <c r="BL116">
        <f t="shared" si="112"/>
        <v>0</v>
      </c>
      <c r="BM116">
        <f t="shared" si="167"/>
        <v>0</v>
      </c>
      <c r="BN116" s="44">
        <f t="shared" si="188"/>
        <v>0</v>
      </c>
      <c r="BO116" s="42">
        <v>0</v>
      </c>
      <c r="BP116">
        <f t="shared" si="184"/>
        <v>0</v>
      </c>
      <c r="BQ116" s="44">
        <f t="shared" si="148"/>
        <v>0</v>
      </c>
      <c r="BR116" s="42">
        <f t="shared" si="185"/>
        <v>0</v>
      </c>
      <c r="BS116">
        <f t="shared" si="186"/>
        <v>0</v>
      </c>
      <c r="BT116" s="44">
        <f t="shared" si="149"/>
        <v>0</v>
      </c>
      <c r="BU116" s="42">
        <f t="shared" si="168"/>
        <v>8.8744687407407388E-2</v>
      </c>
      <c r="BV116">
        <f t="shared" si="115"/>
        <v>0.23625000000000002</v>
      </c>
      <c r="BW116" s="44">
        <f t="shared" si="169"/>
        <v>1.0800000000000001E-2</v>
      </c>
      <c r="BX116">
        <f t="shared" si="139"/>
        <v>1.3105744790123457</v>
      </c>
      <c r="BY116">
        <f t="shared" si="140"/>
        <v>9.2919822085982382</v>
      </c>
      <c r="BZ116">
        <f t="shared" si="187"/>
        <v>86.218852468225265</v>
      </c>
    </row>
    <row r="117" spans="17:78" x14ac:dyDescent="0.3">
      <c r="Q117">
        <v>110</v>
      </c>
      <c r="R117" s="42">
        <f t="shared" si="151"/>
        <v>58.666666666666664</v>
      </c>
      <c r="S117">
        <f t="shared" si="95"/>
        <v>24</v>
      </c>
      <c r="T117" s="44">
        <f t="shared" si="152"/>
        <v>2.4444444444444442</v>
      </c>
      <c r="U117" s="42">
        <f t="shared" si="153"/>
        <v>2</v>
      </c>
      <c r="V117">
        <f t="shared" si="154"/>
        <v>0.4</v>
      </c>
      <c r="W117">
        <f t="shared" si="155"/>
        <v>0.6</v>
      </c>
      <c r="X117">
        <f t="shared" si="117"/>
        <v>0</v>
      </c>
      <c r="Y117" s="42">
        <f t="shared" si="170"/>
        <v>6.1111111111111098</v>
      </c>
      <c r="Z117">
        <f t="shared" si="156"/>
        <v>1.9200000000000004</v>
      </c>
      <c r="AA117">
        <f t="shared" si="119"/>
        <v>7.0711111111111098</v>
      </c>
      <c r="AB117" s="44">
        <f t="shared" si="157"/>
        <v>3.880869954654274</v>
      </c>
      <c r="AC117" s="42">
        <v>0</v>
      </c>
      <c r="AD117">
        <f t="shared" si="158"/>
        <v>0.15061151604938267</v>
      </c>
      <c r="AE117" s="44">
        <f t="shared" si="120"/>
        <v>0.15061151604938267</v>
      </c>
      <c r="AF117" s="42">
        <f t="shared" si="159"/>
        <v>1.1733333333333333</v>
      </c>
      <c r="AG117" s="44">
        <f t="shared" si="160"/>
        <v>1.1733333333333333</v>
      </c>
      <c r="AH117" s="42">
        <f t="shared" si="161"/>
        <v>0</v>
      </c>
      <c r="AI117">
        <f t="shared" si="162"/>
        <v>2.3941270333911326</v>
      </c>
      <c r="AJ117" s="44">
        <f t="shared" si="121"/>
        <v>2.3941270333911326</v>
      </c>
      <c r="AK117" s="42">
        <f t="shared" si="163"/>
        <v>58.666666666666664</v>
      </c>
      <c r="AL117">
        <f t="shared" si="108"/>
        <v>160</v>
      </c>
      <c r="AM117" s="44">
        <f t="shared" si="171"/>
        <v>0.36666666666666664</v>
      </c>
      <c r="AN117" s="42">
        <f t="shared" si="172"/>
        <v>2</v>
      </c>
      <c r="AO117">
        <f t="shared" si="173"/>
        <v>0.60000000000000009</v>
      </c>
      <c r="AP117">
        <f t="shared" si="174"/>
        <v>0.61111111111111094</v>
      </c>
      <c r="AQ117">
        <f t="shared" si="175"/>
        <v>0.19200000000000003</v>
      </c>
      <c r="AR117">
        <f t="shared" si="142"/>
        <v>0.70711111111111091</v>
      </c>
      <c r="AS117" s="44">
        <f t="shared" si="143"/>
        <v>0.47530755735005303</v>
      </c>
      <c r="AT117" s="42"/>
      <c r="AU117">
        <f t="shared" si="176"/>
        <v>1.6133333333333332E-3</v>
      </c>
      <c r="AV117" s="44">
        <f t="shared" si="144"/>
        <v>1.6133333333333332E-3</v>
      </c>
      <c r="AW117" s="42">
        <f t="shared" si="177"/>
        <v>4</v>
      </c>
      <c r="AX117">
        <f t="shared" si="178"/>
        <v>0.10999999999999999</v>
      </c>
      <c r="AY117" s="44">
        <f t="shared" si="145"/>
        <v>4.1100000000000003</v>
      </c>
      <c r="AZ117" s="42">
        <f t="shared" si="164"/>
        <v>0</v>
      </c>
      <c r="BA117">
        <f t="shared" si="165"/>
        <v>0</v>
      </c>
      <c r="BB117">
        <f t="shared" si="146"/>
        <v>0</v>
      </c>
      <c r="BC117" s="44">
        <f t="shared" si="179"/>
        <v>0</v>
      </c>
      <c r="BD117" s="42">
        <v>0</v>
      </c>
      <c r="BE117">
        <f t="shared" si="180"/>
        <v>0</v>
      </c>
      <c r="BF117" s="44">
        <f t="shared" si="147"/>
        <v>0</v>
      </c>
      <c r="BG117" s="42">
        <f t="shared" si="181"/>
        <v>0</v>
      </c>
      <c r="BH117">
        <f t="shared" si="182"/>
        <v>0</v>
      </c>
      <c r="BI117" s="44">
        <f t="shared" si="183"/>
        <v>0</v>
      </c>
      <c r="BK117" s="42">
        <f t="shared" si="166"/>
        <v>0</v>
      </c>
      <c r="BL117">
        <f t="shared" si="112"/>
        <v>0</v>
      </c>
      <c r="BM117">
        <f t="shared" si="167"/>
        <v>0</v>
      </c>
      <c r="BN117" s="44">
        <f t="shared" si="188"/>
        <v>0</v>
      </c>
      <c r="BO117" s="42">
        <v>0</v>
      </c>
      <c r="BP117">
        <f t="shared" si="184"/>
        <v>0</v>
      </c>
      <c r="BQ117" s="44">
        <f t="shared" si="148"/>
        <v>0</v>
      </c>
      <c r="BR117" s="42">
        <f t="shared" si="185"/>
        <v>0</v>
      </c>
      <c r="BS117">
        <f t="shared" si="186"/>
        <v>0</v>
      </c>
      <c r="BT117" s="44">
        <f t="shared" si="149"/>
        <v>0</v>
      </c>
      <c r="BU117" s="42">
        <f t="shared" si="168"/>
        <v>9.0366909629629608E-2</v>
      </c>
      <c r="BV117">
        <f t="shared" si="115"/>
        <v>0.23625000000000002</v>
      </c>
      <c r="BW117" s="44">
        <f t="shared" si="169"/>
        <v>1.0800000000000001E-2</v>
      </c>
      <c r="BX117">
        <f t="shared" si="139"/>
        <v>1.3239448493827159</v>
      </c>
      <c r="BY117">
        <f t="shared" si="140"/>
        <v>9.3404354590701448</v>
      </c>
      <c r="BZ117">
        <f t="shared" si="187"/>
        <v>86.265499974104443</v>
      </c>
    </row>
    <row r="118" spans="17:78" x14ac:dyDescent="0.3">
      <c r="Q118">
        <v>111</v>
      </c>
      <c r="R118" s="42">
        <f t="shared" si="151"/>
        <v>59.199999999999996</v>
      </c>
      <c r="S118">
        <f t="shared" si="95"/>
        <v>24</v>
      </c>
      <c r="T118" s="44">
        <f t="shared" si="152"/>
        <v>2.4666666666666663</v>
      </c>
      <c r="U118" s="42">
        <f t="shared" si="153"/>
        <v>2</v>
      </c>
      <c r="V118">
        <f t="shared" si="154"/>
        <v>0.4</v>
      </c>
      <c r="W118">
        <f t="shared" si="155"/>
        <v>0.6</v>
      </c>
      <c r="X118">
        <f t="shared" si="117"/>
        <v>0</v>
      </c>
      <c r="Y118" s="42">
        <f t="shared" si="170"/>
        <v>6.1666666666666652</v>
      </c>
      <c r="Z118">
        <f t="shared" si="156"/>
        <v>1.9200000000000004</v>
      </c>
      <c r="AA118">
        <f t="shared" si="119"/>
        <v>7.1266666666666652</v>
      </c>
      <c r="AB118" s="44">
        <f t="shared" si="157"/>
        <v>3.9158640312338608</v>
      </c>
      <c r="AC118" s="42">
        <v>0</v>
      </c>
      <c r="AD118">
        <f t="shared" si="158"/>
        <v>0.15333991111111103</v>
      </c>
      <c r="AE118" s="44">
        <f t="shared" si="120"/>
        <v>0.15333991111111103</v>
      </c>
      <c r="AF118" s="42">
        <f t="shared" si="159"/>
        <v>1.1839999999999999</v>
      </c>
      <c r="AG118" s="44">
        <f t="shared" si="160"/>
        <v>1.1839999999999999</v>
      </c>
      <c r="AH118" s="42">
        <f t="shared" si="161"/>
        <v>0</v>
      </c>
      <c r="AI118">
        <f t="shared" si="162"/>
        <v>2.4158918246037793</v>
      </c>
      <c r="AJ118" s="44">
        <f t="shared" si="121"/>
        <v>2.4158918246037793</v>
      </c>
      <c r="AK118" s="42">
        <f t="shared" si="163"/>
        <v>59.199999999999996</v>
      </c>
      <c r="AL118">
        <f t="shared" si="108"/>
        <v>160</v>
      </c>
      <c r="AM118" s="44">
        <f t="shared" si="171"/>
        <v>0.37</v>
      </c>
      <c r="AN118" s="42">
        <f t="shared" si="172"/>
        <v>2</v>
      </c>
      <c r="AO118">
        <f t="shared" si="173"/>
        <v>0.6000000000000002</v>
      </c>
      <c r="AP118">
        <f t="shared" si="174"/>
        <v>0.61666666666666647</v>
      </c>
      <c r="AQ118">
        <f t="shared" si="175"/>
        <v>0.19200000000000006</v>
      </c>
      <c r="AR118">
        <f t="shared" si="142"/>
        <v>0.71266666666666656</v>
      </c>
      <c r="AS118" s="44">
        <f t="shared" si="143"/>
        <v>0.47959343893204653</v>
      </c>
      <c r="AT118" s="42"/>
      <c r="AU118">
        <f t="shared" si="176"/>
        <v>1.6428E-3</v>
      </c>
      <c r="AV118" s="44">
        <f t="shared" si="144"/>
        <v>1.6428E-3</v>
      </c>
      <c r="AW118" s="42">
        <f t="shared" si="177"/>
        <v>4</v>
      </c>
      <c r="AX118">
        <f t="shared" si="178"/>
        <v>0.111</v>
      </c>
      <c r="AY118" s="44">
        <f t="shared" si="145"/>
        <v>4.1109999999999998</v>
      </c>
      <c r="AZ118" s="42">
        <f t="shared" si="164"/>
        <v>0</v>
      </c>
      <c r="BA118">
        <f t="shared" si="165"/>
        <v>0</v>
      </c>
      <c r="BB118">
        <f t="shared" si="146"/>
        <v>0</v>
      </c>
      <c r="BC118" s="44">
        <f t="shared" si="179"/>
        <v>0</v>
      </c>
      <c r="BD118" s="42">
        <v>0</v>
      </c>
      <c r="BE118">
        <f t="shared" si="180"/>
        <v>0</v>
      </c>
      <c r="BF118" s="44">
        <f t="shared" si="147"/>
        <v>0</v>
      </c>
      <c r="BG118" s="42">
        <f t="shared" si="181"/>
        <v>0</v>
      </c>
      <c r="BH118">
        <f t="shared" si="182"/>
        <v>0</v>
      </c>
      <c r="BI118" s="44">
        <f t="shared" si="183"/>
        <v>0</v>
      </c>
      <c r="BK118" s="42">
        <f t="shared" si="166"/>
        <v>0</v>
      </c>
      <c r="BL118">
        <f t="shared" si="112"/>
        <v>0</v>
      </c>
      <c r="BM118">
        <f t="shared" si="167"/>
        <v>0</v>
      </c>
      <c r="BN118" s="44">
        <f t="shared" si="188"/>
        <v>0</v>
      </c>
      <c r="BO118" s="42">
        <v>0</v>
      </c>
      <c r="BP118">
        <f t="shared" si="184"/>
        <v>0</v>
      </c>
      <c r="BQ118" s="44">
        <f t="shared" si="148"/>
        <v>0</v>
      </c>
      <c r="BR118" s="42">
        <f t="shared" si="185"/>
        <v>0</v>
      </c>
      <c r="BS118">
        <f t="shared" si="186"/>
        <v>0</v>
      </c>
      <c r="BT118" s="44">
        <f t="shared" si="149"/>
        <v>0</v>
      </c>
      <c r="BU118" s="42">
        <f t="shared" si="168"/>
        <v>9.2003946666666628E-2</v>
      </c>
      <c r="BV118">
        <f t="shared" si="115"/>
        <v>0.23625000000000002</v>
      </c>
      <c r="BW118" s="44">
        <f t="shared" si="169"/>
        <v>1.0800000000000001E-2</v>
      </c>
      <c r="BX118">
        <f t="shared" si="139"/>
        <v>1.3373399111111111</v>
      </c>
      <c r="BY118">
        <f t="shared" si="140"/>
        <v>9.3889284823815551</v>
      </c>
      <c r="BZ118">
        <f t="shared" si="187"/>
        <v>86.311306080844687</v>
      </c>
    </row>
    <row r="119" spans="17:78" x14ac:dyDescent="0.3">
      <c r="Q119">
        <v>112</v>
      </c>
      <c r="R119" s="42">
        <f t="shared" si="151"/>
        <v>59.733333333333334</v>
      </c>
      <c r="S119">
        <f t="shared" si="95"/>
        <v>24</v>
      </c>
      <c r="T119" s="44">
        <f t="shared" si="152"/>
        <v>2.4888888888888889</v>
      </c>
      <c r="U119" s="42">
        <f t="shared" si="153"/>
        <v>2</v>
      </c>
      <c r="V119">
        <f t="shared" si="154"/>
        <v>0.4</v>
      </c>
      <c r="W119">
        <f t="shared" si="155"/>
        <v>0.6</v>
      </c>
      <c r="X119">
        <f t="shared" si="117"/>
        <v>0</v>
      </c>
      <c r="Y119" s="42">
        <f t="shared" si="170"/>
        <v>6.2222222222222214</v>
      </c>
      <c r="Z119">
        <f t="shared" si="156"/>
        <v>1.9200000000000004</v>
      </c>
      <c r="AA119">
        <f t="shared" si="119"/>
        <v>7.1822222222222214</v>
      </c>
      <c r="AB119" s="44">
        <f t="shared" si="157"/>
        <v>3.9508606344803425</v>
      </c>
      <c r="AC119" s="42">
        <v>0</v>
      </c>
      <c r="AD119">
        <f t="shared" si="158"/>
        <v>0.15609299753086414</v>
      </c>
      <c r="AE119" s="44">
        <f t="shared" si="120"/>
        <v>0.15609299753086414</v>
      </c>
      <c r="AF119" s="42">
        <f t="shared" si="159"/>
        <v>1.1946666666666668</v>
      </c>
      <c r="AG119" s="44">
        <f t="shared" si="160"/>
        <v>1.1946666666666668</v>
      </c>
      <c r="AH119" s="42">
        <f t="shared" si="161"/>
        <v>0</v>
      </c>
      <c r="AI119">
        <f t="shared" si="162"/>
        <v>2.4376566158164263</v>
      </c>
      <c r="AJ119" s="44">
        <f t="shared" si="121"/>
        <v>2.4376566158164263</v>
      </c>
      <c r="AK119" s="42">
        <f t="shared" si="163"/>
        <v>59.733333333333334</v>
      </c>
      <c r="AL119">
        <f t="shared" si="108"/>
        <v>160</v>
      </c>
      <c r="AM119" s="44">
        <f t="shared" si="171"/>
        <v>0.37333333333333335</v>
      </c>
      <c r="AN119" s="42">
        <f t="shared" si="172"/>
        <v>2</v>
      </c>
      <c r="AO119">
        <f t="shared" si="173"/>
        <v>0.60000000000000009</v>
      </c>
      <c r="AP119">
        <f t="shared" si="174"/>
        <v>0.62222222222222212</v>
      </c>
      <c r="AQ119">
        <f t="shared" si="175"/>
        <v>0.19200000000000003</v>
      </c>
      <c r="AR119">
        <f t="shared" si="142"/>
        <v>0.7182222222222221</v>
      </c>
      <c r="AS119" s="44">
        <f t="shared" si="143"/>
        <v>0.48387962996627187</v>
      </c>
      <c r="AT119" s="42"/>
      <c r="AU119">
        <f t="shared" si="176"/>
        <v>1.6725333333333335E-3</v>
      </c>
      <c r="AV119" s="44">
        <f t="shared" si="144"/>
        <v>1.6725333333333335E-3</v>
      </c>
      <c r="AW119" s="42">
        <f t="shared" si="177"/>
        <v>4</v>
      </c>
      <c r="AX119">
        <f t="shared" si="178"/>
        <v>0.112</v>
      </c>
      <c r="AY119" s="44">
        <f t="shared" si="145"/>
        <v>4.1120000000000001</v>
      </c>
      <c r="AZ119" s="42">
        <f t="shared" si="164"/>
        <v>0</v>
      </c>
      <c r="BA119">
        <f t="shared" si="165"/>
        <v>0</v>
      </c>
      <c r="BB119">
        <f t="shared" si="146"/>
        <v>0</v>
      </c>
      <c r="BC119" s="44">
        <f t="shared" si="179"/>
        <v>0</v>
      </c>
      <c r="BD119" s="42">
        <v>0</v>
      </c>
      <c r="BE119">
        <f t="shared" si="180"/>
        <v>0</v>
      </c>
      <c r="BF119" s="44">
        <f t="shared" si="147"/>
        <v>0</v>
      </c>
      <c r="BG119" s="42">
        <f t="shared" si="181"/>
        <v>0</v>
      </c>
      <c r="BH119">
        <f t="shared" si="182"/>
        <v>0</v>
      </c>
      <c r="BI119" s="44">
        <f t="shared" si="183"/>
        <v>0</v>
      </c>
      <c r="BK119" s="42">
        <f t="shared" si="166"/>
        <v>0</v>
      </c>
      <c r="BL119">
        <f t="shared" si="112"/>
        <v>0</v>
      </c>
      <c r="BM119">
        <f t="shared" si="167"/>
        <v>0</v>
      </c>
      <c r="BN119" s="44">
        <f t="shared" si="188"/>
        <v>0</v>
      </c>
      <c r="BO119" s="42">
        <v>0</v>
      </c>
      <c r="BP119">
        <f t="shared" si="184"/>
        <v>0</v>
      </c>
      <c r="BQ119" s="44">
        <f t="shared" si="148"/>
        <v>0</v>
      </c>
      <c r="BR119" s="42">
        <f t="shared" si="185"/>
        <v>0</v>
      </c>
      <c r="BS119">
        <f t="shared" si="186"/>
        <v>0</v>
      </c>
      <c r="BT119" s="44">
        <f t="shared" si="149"/>
        <v>0</v>
      </c>
      <c r="BU119" s="42">
        <f t="shared" si="168"/>
        <v>9.365579851851849E-2</v>
      </c>
      <c r="BV119">
        <f t="shared" si="115"/>
        <v>0.23625000000000002</v>
      </c>
      <c r="BW119" s="44">
        <f t="shared" si="169"/>
        <v>1.0800000000000001E-2</v>
      </c>
      <c r="BX119">
        <f t="shared" si="139"/>
        <v>1.3507596641975308</v>
      </c>
      <c r="BY119">
        <f t="shared" si="140"/>
        <v>9.4374612785324761</v>
      </c>
      <c r="BZ119">
        <f t="shared" si="187"/>
        <v>86.356291941579713</v>
      </c>
    </row>
    <row r="120" spans="17:78" x14ac:dyDescent="0.3">
      <c r="Q120">
        <v>113</v>
      </c>
      <c r="R120" s="42">
        <f t="shared" si="151"/>
        <v>60.266666666666666</v>
      </c>
      <c r="S120">
        <f t="shared" si="95"/>
        <v>24</v>
      </c>
      <c r="T120" s="44">
        <f t="shared" si="152"/>
        <v>2.5111111111111111</v>
      </c>
      <c r="U120" s="42">
        <f t="shared" si="153"/>
        <v>2</v>
      </c>
      <c r="V120">
        <f t="shared" si="154"/>
        <v>0.4</v>
      </c>
      <c r="W120">
        <f t="shared" si="155"/>
        <v>0.6</v>
      </c>
      <c r="X120">
        <f t="shared" si="117"/>
        <v>0</v>
      </c>
      <c r="Y120" s="42">
        <f t="shared" si="170"/>
        <v>6.2777777777777768</v>
      </c>
      <c r="Z120">
        <f t="shared" si="156"/>
        <v>1.9200000000000004</v>
      </c>
      <c r="AA120">
        <f t="shared" si="119"/>
        <v>7.2377777777777768</v>
      </c>
      <c r="AB120" s="44">
        <f t="shared" si="157"/>
        <v>3.9858596978398761</v>
      </c>
      <c r="AC120" s="42">
        <v>0</v>
      </c>
      <c r="AD120">
        <f t="shared" si="158"/>
        <v>0.15887077530864191</v>
      </c>
      <c r="AE120" s="44">
        <f t="shared" si="120"/>
        <v>0.15887077530864191</v>
      </c>
      <c r="AF120" s="42">
        <f t="shared" si="159"/>
        <v>1.2053333333333334</v>
      </c>
      <c r="AG120" s="44">
        <f t="shared" si="160"/>
        <v>1.2053333333333334</v>
      </c>
      <c r="AH120" s="42">
        <f t="shared" si="161"/>
        <v>0</v>
      </c>
      <c r="AI120">
        <f t="shared" si="162"/>
        <v>2.459421407029073</v>
      </c>
      <c r="AJ120" s="44">
        <f t="shared" si="121"/>
        <v>2.459421407029073</v>
      </c>
      <c r="AK120" s="42">
        <f t="shared" si="163"/>
        <v>60.266666666666666</v>
      </c>
      <c r="AL120">
        <f t="shared" si="108"/>
        <v>160</v>
      </c>
      <c r="AM120" s="44">
        <f t="shared" si="171"/>
        <v>0.37666666666666665</v>
      </c>
      <c r="AN120" s="42">
        <f t="shared" si="172"/>
        <v>2</v>
      </c>
      <c r="AO120">
        <f t="shared" si="173"/>
        <v>0.60000000000000009</v>
      </c>
      <c r="AP120">
        <f t="shared" si="174"/>
        <v>0.62777777777777766</v>
      </c>
      <c r="AQ120">
        <f t="shared" si="175"/>
        <v>0.19200000000000003</v>
      </c>
      <c r="AR120">
        <f t="shared" si="142"/>
        <v>0.72377777777777763</v>
      </c>
      <c r="AS120" s="44">
        <f t="shared" si="143"/>
        <v>0.48816612230158174</v>
      </c>
      <c r="AT120" s="42"/>
      <c r="AU120">
        <f t="shared" si="176"/>
        <v>1.7025333333333334E-3</v>
      </c>
      <c r="AV120" s="44">
        <f t="shared" si="144"/>
        <v>1.7025333333333334E-3</v>
      </c>
      <c r="AW120" s="42">
        <f t="shared" si="177"/>
        <v>4</v>
      </c>
      <c r="AX120">
        <f t="shared" si="178"/>
        <v>0.11299999999999999</v>
      </c>
      <c r="AY120" s="44">
        <f t="shared" si="145"/>
        <v>4.1129999999999995</v>
      </c>
      <c r="AZ120" s="42">
        <f t="shared" si="164"/>
        <v>0</v>
      </c>
      <c r="BA120">
        <f t="shared" si="165"/>
        <v>0</v>
      </c>
      <c r="BB120">
        <f t="shared" si="146"/>
        <v>0</v>
      </c>
      <c r="BC120" s="44">
        <f t="shared" si="179"/>
        <v>0</v>
      </c>
      <c r="BD120" s="42">
        <v>0</v>
      </c>
      <c r="BE120">
        <f t="shared" si="180"/>
        <v>0</v>
      </c>
      <c r="BF120" s="44">
        <f t="shared" si="147"/>
        <v>0</v>
      </c>
      <c r="BG120" s="42">
        <f t="shared" si="181"/>
        <v>0</v>
      </c>
      <c r="BH120">
        <f t="shared" si="182"/>
        <v>0</v>
      </c>
      <c r="BI120" s="44">
        <f t="shared" si="183"/>
        <v>0</v>
      </c>
      <c r="BK120" s="42">
        <f t="shared" si="166"/>
        <v>0</v>
      </c>
      <c r="BL120">
        <f t="shared" si="112"/>
        <v>0</v>
      </c>
      <c r="BM120">
        <f t="shared" si="167"/>
        <v>0</v>
      </c>
      <c r="BN120" s="44">
        <f t="shared" si="188"/>
        <v>0</v>
      </c>
      <c r="BO120" s="42">
        <v>0</v>
      </c>
      <c r="BP120">
        <f t="shared" si="184"/>
        <v>0</v>
      </c>
      <c r="BQ120" s="44">
        <f t="shared" si="148"/>
        <v>0</v>
      </c>
      <c r="BR120" s="42">
        <f t="shared" si="185"/>
        <v>0</v>
      </c>
      <c r="BS120">
        <f t="shared" si="186"/>
        <v>0</v>
      </c>
      <c r="BT120" s="44">
        <f t="shared" si="149"/>
        <v>0</v>
      </c>
      <c r="BU120" s="42">
        <f t="shared" si="168"/>
        <v>9.532246518518514E-2</v>
      </c>
      <c r="BV120">
        <f t="shared" si="115"/>
        <v>0.23625000000000002</v>
      </c>
      <c r="BW120" s="44">
        <f t="shared" si="169"/>
        <v>1.0800000000000001E-2</v>
      </c>
      <c r="BX120">
        <f t="shared" si="139"/>
        <v>1.3642041086419754</v>
      </c>
      <c r="BY120">
        <f t="shared" si="140"/>
        <v>9.4860338475229007</v>
      </c>
      <c r="BZ120">
        <f t="shared" si="187"/>
        <v>86.400478006449106</v>
      </c>
    </row>
    <row r="121" spans="17:78" x14ac:dyDescent="0.3">
      <c r="Q121">
        <v>114</v>
      </c>
      <c r="R121" s="42">
        <f t="shared" si="151"/>
        <v>60.8</v>
      </c>
      <c r="S121">
        <f t="shared" si="95"/>
        <v>24</v>
      </c>
      <c r="T121" s="44">
        <f t="shared" si="152"/>
        <v>2.5333333333333332</v>
      </c>
      <c r="U121" s="42">
        <f t="shared" si="153"/>
        <v>2</v>
      </c>
      <c r="V121">
        <f t="shared" si="154"/>
        <v>0.4</v>
      </c>
      <c r="W121">
        <f t="shared" si="155"/>
        <v>0.6</v>
      </c>
      <c r="X121">
        <f t="shared" si="117"/>
        <v>0</v>
      </c>
      <c r="Y121" s="42">
        <f t="shared" si="170"/>
        <v>6.3333333333333321</v>
      </c>
      <c r="Z121">
        <f t="shared" si="156"/>
        <v>1.9200000000000004</v>
      </c>
      <c r="AA121">
        <f t="shared" si="119"/>
        <v>7.2933333333333321</v>
      </c>
      <c r="AB121" s="44">
        <f t="shared" si="157"/>
        <v>4.0208611570712609</v>
      </c>
      <c r="AC121" s="42">
        <v>0</v>
      </c>
      <c r="AD121">
        <f t="shared" si="158"/>
        <v>0.16167324444444439</v>
      </c>
      <c r="AE121" s="44">
        <f t="shared" si="120"/>
        <v>0.16167324444444439</v>
      </c>
      <c r="AF121" s="42">
        <f t="shared" si="159"/>
        <v>1.216</v>
      </c>
      <c r="AG121" s="44">
        <f t="shared" si="160"/>
        <v>1.216</v>
      </c>
      <c r="AH121" s="42">
        <f t="shared" si="161"/>
        <v>0</v>
      </c>
      <c r="AI121">
        <f t="shared" si="162"/>
        <v>2.4811861982417196</v>
      </c>
      <c r="AJ121" s="44">
        <f t="shared" si="121"/>
        <v>2.4811861982417196</v>
      </c>
      <c r="AK121" s="42">
        <f t="shared" si="163"/>
        <v>60.8</v>
      </c>
      <c r="AL121">
        <f t="shared" si="108"/>
        <v>160</v>
      </c>
      <c r="AM121" s="44">
        <f t="shared" si="171"/>
        <v>0.38</v>
      </c>
      <c r="AN121" s="42">
        <f t="shared" si="172"/>
        <v>2</v>
      </c>
      <c r="AO121">
        <f t="shared" si="173"/>
        <v>0.60000000000000009</v>
      </c>
      <c r="AP121">
        <f t="shared" si="174"/>
        <v>0.63333333333333319</v>
      </c>
      <c r="AQ121">
        <f t="shared" si="175"/>
        <v>0.19200000000000003</v>
      </c>
      <c r="AR121">
        <f t="shared" si="142"/>
        <v>0.72933333333333317</v>
      </c>
      <c r="AS121" s="44">
        <f t="shared" si="143"/>
        <v>0.49245290807006775</v>
      </c>
      <c r="AT121" s="42"/>
      <c r="AU121">
        <f t="shared" si="176"/>
        <v>1.7328000000000001E-3</v>
      </c>
      <c r="AV121" s="44">
        <f t="shared" si="144"/>
        <v>1.7328000000000001E-3</v>
      </c>
      <c r="AW121" s="42">
        <f t="shared" si="177"/>
        <v>4</v>
      </c>
      <c r="AX121">
        <f t="shared" si="178"/>
        <v>0.11399999999999999</v>
      </c>
      <c r="AY121" s="44">
        <f t="shared" si="145"/>
        <v>4.1139999999999999</v>
      </c>
      <c r="AZ121" s="42">
        <f t="shared" si="164"/>
        <v>0</v>
      </c>
      <c r="BA121">
        <f t="shared" si="165"/>
        <v>0</v>
      </c>
      <c r="BB121">
        <f t="shared" si="146"/>
        <v>0</v>
      </c>
      <c r="BC121" s="44">
        <f t="shared" si="179"/>
        <v>0</v>
      </c>
      <c r="BD121" s="42">
        <v>0</v>
      </c>
      <c r="BE121">
        <f t="shared" si="180"/>
        <v>0</v>
      </c>
      <c r="BF121" s="44">
        <f t="shared" si="147"/>
        <v>0</v>
      </c>
      <c r="BG121" s="42">
        <f t="shared" si="181"/>
        <v>0</v>
      </c>
      <c r="BH121">
        <f t="shared" si="182"/>
        <v>0</v>
      </c>
      <c r="BI121" s="44">
        <f t="shared" si="183"/>
        <v>0</v>
      </c>
      <c r="BK121" s="42">
        <f t="shared" si="166"/>
        <v>0</v>
      </c>
      <c r="BL121">
        <f t="shared" si="112"/>
        <v>0</v>
      </c>
      <c r="BM121">
        <f t="shared" si="167"/>
        <v>0</v>
      </c>
      <c r="BN121" s="44">
        <f t="shared" si="188"/>
        <v>0</v>
      </c>
      <c r="BO121" s="42">
        <v>0</v>
      </c>
      <c r="BP121">
        <f t="shared" si="184"/>
        <v>0</v>
      </c>
      <c r="BQ121" s="44">
        <f t="shared" si="148"/>
        <v>0</v>
      </c>
      <c r="BR121" s="42">
        <f t="shared" si="185"/>
        <v>0</v>
      </c>
      <c r="BS121">
        <f t="shared" si="186"/>
        <v>0</v>
      </c>
      <c r="BT121" s="44">
        <f t="shared" si="149"/>
        <v>0</v>
      </c>
      <c r="BU121" s="42">
        <f t="shared" si="168"/>
        <v>9.7003946666666632E-2</v>
      </c>
      <c r="BV121">
        <f t="shared" si="115"/>
        <v>0.23625000000000002</v>
      </c>
      <c r="BW121" s="44">
        <f t="shared" si="169"/>
        <v>1.0800000000000001E-2</v>
      </c>
      <c r="BX121">
        <f t="shared" si="139"/>
        <v>1.3776732444444444</v>
      </c>
      <c r="BY121">
        <f t="shared" si="140"/>
        <v>9.5346461893528289</v>
      </c>
      <c r="BZ121">
        <f t="shared" si="187"/>
        <v>86.443884051561241</v>
      </c>
    </row>
    <row r="122" spans="17:78" x14ac:dyDescent="0.3">
      <c r="Q122">
        <v>115</v>
      </c>
      <c r="R122" s="42">
        <f t="shared" si="151"/>
        <v>61.333333333333336</v>
      </c>
      <c r="S122">
        <f t="shared" si="95"/>
        <v>24</v>
      </c>
      <c r="T122" s="44">
        <f t="shared" si="152"/>
        <v>2.5555555555555558</v>
      </c>
      <c r="U122" s="42">
        <f t="shared" si="153"/>
        <v>2</v>
      </c>
      <c r="V122">
        <f t="shared" si="154"/>
        <v>0.4</v>
      </c>
      <c r="W122">
        <f t="shared" si="155"/>
        <v>0.6</v>
      </c>
      <c r="X122">
        <f t="shared" si="117"/>
        <v>0</v>
      </c>
      <c r="Y122" s="42">
        <f t="shared" si="170"/>
        <v>6.3888888888888884</v>
      </c>
      <c r="Z122">
        <f t="shared" si="156"/>
        <v>1.9200000000000004</v>
      </c>
      <c r="AA122">
        <f t="shared" si="119"/>
        <v>7.3488888888888884</v>
      </c>
      <c r="AB122" s="44">
        <f t="shared" si="157"/>
        <v>4.0558649501465354</v>
      </c>
      <c r="AC122" s="42">
        <v>0</v>
      </c>
      <c r="AD122">
        <f t="shared" si="158"/>
        <v>0.16450040493827156</v>
      </c>
      <c r="AE122" s="44">
        <f t="shared" si="120"/>
        <v>0.16450040493827156</v>
      </c>
      <c r="AF122" s="42">
        <f t="shared" si="159"/>
        <v>1.2266666666666668</v>
      </c>
      <c r="AG122" s="44">
        <f t="shared" si="160"/>
        <v>1.2266666666666668</v>
      </c>
      <c r="AH122" s="42">
        <f t="shared" si="161"/>
        <v>0</v>
      </c>
      <c r="AI122">
        <f t="shared" si="162"/>
        <v>2.5029509894543667</v>
      </c>
      <c r="AJ122" s="44">
        <f t="shared" si="121"/>
        <v>2.5029509894543667</v>
      </c>
      <c r="AK122" s="42">
        <f t="shared" si="163"/>
        <v>61.333333333333336</v>
      </c>
      <c r="AL122">
        <f t="shared" si="108"/>
        <v>160</v>
      </c>
      <c r="AM122" s="44">
        <f t="shared" si="171"/>
        <v>0.38333333333333336</v>
      </c>
      <c r="AN122" s="42">
        <f t="shared" si="172"/>
        <v>2</v>
      </c>
      <c r="AO122">
        <f t="shared" si="173"/>
        <v>0.60000000000000009</v>
      </c>
      <c r="AP122">
        <f t="shared" si="174"/>
        <v>0.63888888888888884</v>
      </c>
      <c r="AQ122">
        <f t="shared" si="175"/>
        <v>0.19200000000000003</v>
      </c>
      <c r="AR122">
        <f t="shared" si="142"/>
        <v>0.73488888888888881</v>
      </c>
      <c r="AS122" s="44">
        <f t="shared" si="143"/>
        <v>0.4967399796748872</v>
      </c>
      <c r="AT122" s="42"/>
      <c r="AU122">
        <f t="shared" si="176"/>
        <v>1.7633333333333335E-3</v>
      </c>
      <c r="AV122" s="44">
        <f t="shared" si="144"/>
        <v>1.7633333333333335E-3</v>
      </c>
      <c r="AW122" s="42">
        <f t="shared" si="177"/>
        <v>4</v>
      </c>
      <c r="AX122">
        <f t="shared" si="178"/>
        <v>0.115</v>
      </c>
      <c r="AY122" s="44">
        <f t="shared" si="145"/>
        <v>4.1150000000000002</v>
      </c>
      <c r="AZ122" s="42">
        <f t="shared" si="164"/>
        <v>0</v>
      </c>
      <c r="BA122">
        <f t="shared" si="165"/>
        <v>0</v>
      </c>
      <c r="BB122">
        <f t="shared" si="146"/>
        <v>0</v>
      </c>
      <c r="BC122" s="44">
        <f t="shared" si="179"/>
        <v>0</v>
      </c>
      <c r="BD122" s="42">
        <v>0</v>
      </c>
      <c r="BE122">
        <f t="shared" si="180"/>
        <v>0</v>
      </c>
      <c r="BF122" s="44">
        <f t="shared" si="147"/>
        <v>0</v>
      </c>
      <c r="BG122" s="42">
        <f t="shared" si="181"/>
        <v>0</v>
      </c>
      <c r="BH122">
        <f t="shared" si="182"/>
        <v>0</v>
      </c>
      <c r="BI122" s="44">
        <f t="shared" si="183"/>
        <v>0</v>
      </c>
      <c r="BK122" s="42">
        <f t="shared" si="166"/>
        <v>0</v>
      </c>
      <c r="BL122">
        <f t="shared" si="112"/>
        <v>0</v>
      </c>
      <c r="BM122">
        <f t="shared" si="167"/>
        <v>0</v>
      </c>
      <c r="BN122" s="44">
        <f t="shared" si="188"/>
        <v>0</v>
      </c>
      <c r="BO122" s="42">
        <v>0</v>
      </c>
      <c r="BP122">
        <f t="shared" si="184"/>
        <v>0</v>
      </c>
      <c r="BQ122" s="44">
        <f t="shared" si="148"/>
        <v>0</v>
      </c>
      <c r="BR122" s="42">
        <f t="shared" si="185"/>
        <v>0</v>
      </c>
      <c r="BS122">
        <f t="shared" si="186"/>
        <v>0</v>
      </c>
      <c r="BT122" s="44">
        <f t="shared" si="149"/>
        <v>0</v>
      </c>
      <c r="BU122" s="42">
        <f t="shared" si="168"/>
        <v>9.8700242962962939E-2</v>
      </c>
      <c r="BV122">
        <f t="shared" si="115"/>
        <v>0.23625000000000002</v>
      </c>
      <c r="BW122" s="44">
        <f t="shared" si="169"/>
        <v>1.0800000000000001E-2</v>
      </c>
      <c r="BX122">
        <f t="shared" si="139"/>
        <v>1.3911670716049382</v>
      </c>
      <c r="BY122">
        <f t="shared" si="140"/>
        <v>9.5832983040222679</v>
      </c>
      <c r="BZ122">
        <f t="shared" si="187"/>
        <v>86.486529206536318</v>
      </c>
    </row>
    <row r="123" spans="17:78" x14ac:dyDescent="0.3">
      <c r="Q123">
        <v>116</v>
      </c>
      <c r="R123" s="42">
        <f t="shared" si="151"/>
        <v>61.866666666666667</v>
      </c>
      <c r="S123">
        <f t="shared" si="95"/>
        <v>24</v>
      </c>
      <c r="T123" s="44">
        <f t="shared" si="152"/>
        <v>2.5777777777777779</v>
      </c>
      <c r="U123" s="42">
        <f t="shared" si="153"/>
        <v>2</v>
      </c>
      <c r="V123">
        <f t="shared" si="154"/>
        <v>0.4</v>
      </c>
      <c r="W123">
        <f t="shared" si="155"/>
        <v>0.6</v>
      </c>
      <c r="X123">
        <f t="shared" si="117"/>
        <v>0</v>
      </c>
      <c r="Y123" s="42">
        <f t="shared" si="170"/>
        <v>6.4444444444444438</v>
      </c>
      <c r="Z123">
        <f t="shared" si="156"/>
        <v>1.9200000000000004</v>
      </c>
      <c r="AA123">
        <f t="shared" si="119"/>
        <v>7.4044444444444437</v>
      </c>
      <c r="AB123" s="44">
        <f t="shared" si="157"/>
        <v>4.0908710171566574</v>
      </c>
      <c r="AC123" s="42">
        <v>0</v>
      </c>
      <c r="AD123">
        <f t="shared" si="158"/>
        <v>0.16735225679012344</v>
      </c>
      <c r="AE123" s="44">
        <f t="shared" si="120"/>
        <v>0.16735225679012344</v>
      </c>
      <c r="AF123" s="42">
        <f t="shared" si="159"/>
        <v>1.2373333333333334</v>
      </c>
      <c r="AG123" s="44">
        <f t="shared" si="160"/>
        <v>1.2373333333333334</v>
      </c>
      <c r="AH123" s="42">
        <f t="shared" si="161"/>
        <v>0</v>
      </c>
      <c r="AI123">
        <f t="shared" si="162"/>
        <v>2.5247157806670133</v>
      </c>
      <c r="AJ123" s="44">
        <f t="shared" si="121"/>
        <v>2.5247157806670133</v>
      </c>
      <c r="AK123" s="42">
        <f t="shared" si="163"/>
        <v>61.866666666666667</v>
      </c>
      <c r="AL123">
        <f t="shared" si="108"/>
        <v>160</v>
      </c>
      <c r="AM123" s="44">
        <f t="shared" si="171"/>
        <v>0.38666666666666666</v>
      </c>
      <c r="AN123" s="42">
        <f t="shared" si="172"/>
        <v>2</v>
      </c>
      <c r="AO123">
        <f t="shared" si="173"/>
        <v>0.6</v>
      </c>
      <c r="AP123">
        <f t="shared" si="174"/>
        <v>0.64444444444444449</v>
      </c>
      <c r="AQ123">
        <f t="shared" si="175"/>
        <v>0.192</v>
      </c>
      <c r="AR123">
        <f t="shared" si="142"/>
        <v>0.74044444444444446</v>
      </c>
      <c r="AS123" s="44">
        <f t="shared" si="143"/>
        <v>0.50102732977871089</v>
      </c>
      <c r="AT123" s="42"/>
      <c r="AU123">
        <f t="shared" si="176"/>
        <v>1.7941333333333332E-3</v>
      </c>
      <c r="AV123" s="44">
        <f t="shared" si="144"/>
        <v>1.7941333333333332E-3</v>
      </c>
      <c r="AW123" s="42">
        <f t="shared" si="177"/>
        <v>4</v>
      </c>
      <c r="AX123">
        <f t="shared" si="178"/>
        <v>0.11599999999999999</v>
      </c>
      <c r="AY123" s="44">
        <f t="shared" si="145"/>
        <v>4.1159999999999997</v>
      </c>
      <c r="AZ123" s="42">
        <f t="shared" si="164"/>
        <v>0</v>
      </c>
      <c r="BA123">
        <f t="shared" si="165"/>
        <v>0</v>
      </c>
      <c r="BB123">
        <f t="shared" si="146"/>
        <v>0</v>
      </c>
      <c r="BC123" s="44">
        <f t="shared" si="179"/>
        <v>0</v>
      </c>
      <c r="BD123" s="42">
        <v>0</v>
      </c>
      <c r="BE123">
        <f t="shared" si="180"/>
        <v>0</v>
      </c>
      <c r="BF123" s="44">
        <f t="shared" si="147"/>
        <v>0</v>
      </c>
      <c r="BG123" s="42">
        <f t="shared" si="181"/>
        <v>0</v>
      </c>
      <c r="BH123">
        <f t="shared" si="182"/>
        <v>0</v>
      </c>
      <c r="BI123" s="44">
        <f t="shared" si="183"/>
        <v>0</v>
      </c>
      <c r="BK123" s="42">
        <f t="shared" si="166"/>
        <v>0</v>
      </c>
      <c r="BL123">
        <f t="shared" si="112"/>
        <v>0</v>
      </c>
      <c r="BM123">
        <f t="shared" si="167"/>
        <v>0</v>
      </c>
      <c r="BN123" s="44">
        <f t="shared" si="188"/>
        <v>0</v>
      </c>
      <c r="BO123" s="42">
        <v>0</v>
      </c>
      <c r="BP123">
        <f t="shared" si="184"/>
        <v>0</v>
      </c>
      <c r="BQ123" s="44">
        <f t="shared" si="148"/>
        <v>0</v>
      </c>
      <c r="BR123" s="42">
        <f t="shared" si="185"/>
        <v>0</v>
      </c>
      <c r="BS123">
        <f t="shared" si="186"/>
        <v>0</v>
      </c>
      <c r="BT123" s="44">
        <f t="shared" si="149"/>
        <v>0</v>
      </c>
      <c r="BU123" s="42">
        <f t="shared" si="168"/>
        <v>0.10041135407407407</v>
      </c>
      <c r="BV123">
        <f t="shared" si="115"/>
        <v>0.23625000000000002</v>
      </c>
      <c r="BW123" s="44">
        <f t="shared" si="169"/>
        <v>1.0800000000000001E-2</v>
      </c>
      <c r="BX123">
        <f t="shared" si="139"/>
        <v>1.404685590123457</v>
      </c>
      <c r="BY123">
        <f t="shared" si="140"/>
        <v>9.6319901915312105</v>
      </c>
      <c r="BZ123">
        <f t="shared" si="187"/>
        <v>86.528431980709541</v>
      </c>
    </row>
    <row r="124" spans="17:78" x14ac:dyDescent="0.3">
      <c r="Q124">
        <v>117</v>
      </c>
      <c r="R124" s="42">
        <f t="shared" si="151"/>
        <v>62.4</v>
      </c>
      <c r="S124">
        <f t="shared" si="95"/>
        <v>24</v>
      </c>
      <c r="T124" s="44">
        <f t="shared" si="152"/>
        <v>2.6</v>
      </c>
      <c r="U124" s="42">
        <f t="shared" si="153"/>
        <v>2</v>
      </c>
      <c r="V124">
        <f t="shared" si="154"/>
        <v>0.4</v>
      </c>
      <c r="W124">
        <f t="shared" si="155"/>
        <v>0.6</v>
      </c>
      <c r="X124">
        <f t="shared" si="117"/>
        <v>0</v>
      </c>
      <c r="Y124" s="42">
        <f t="shared" si="170"/>
        <v>6.4999999999999991</v>
      </c>
      <c r="Z124">
        <f t="shared" si="156"/>
        <v>1.9200000000000004</v>
      </c>
      <c r="AA124">
        <f t="shared" si="119"/>
        <v>7.4599999999999991</v>
      </c>
      <c r="AB124" s="44">
        <f t="shared" si="157"/>
        <v>4.1258793002219534</v>
      </c>
      <c r="AC124" s="42">
        <v>0</v>
      </c>
      <c r="AD124">
        <f t="shared" si="158"/>
        <v>0.17022879999999999</v>
      </c>
      <c r="AE124" s="44">
        <f t="shared" si="120"/>
        <v>0.17022879999999999</v>
      </c>
      <c r="AF124" s="42">
        <f t="shared" si="159"/>
        <v>1.248</v>
      </c>
      <c r="AG124" s="44">
        <f t="shared" si="160"/>
        <v>1.248</v>
      </c>
      <c r="AH124" s="42">
        <f t="shared" si="161"/>
        <v>0</v>
      </c>
      <c r="AI124">
        <f t="shared" si="162"/>
        <v>2.5464805718796595</v>
      </c>
      <c r="AJ124" s="44">
        <f t="shared" si="121"/>
        <v>2.5464805718796595</v>
      </c>
      <c r="AK124" s="42">
        <f t="shared" si="163"/>
        <v>62.4</v>
      </c>
      <c r="AL124">
        <f t="shared" si="108"/>
        <v>160</v>
      </c>
      <c r="AM124" s="44">
        <f t="shared" si="171"/>
        <v>0.39</v>
      </c>
      <c r="AN124" s="42">
        <f t="shared" si="172"/>
        <v>2</v>
      </c>
      <c r="AO124">
        <f t="shared" si="173"/>
        <v>0.6000000000000002</v>
      </c>
      <c r="AP124">
        <f t="shared" si="174"/>
        <v>0.6499999999999998</v>
      </c>
      <c r="AQ124">
        <f t="shared" si="175"/>
        <v>0.19200000000000006</v>
      </c>
      <c r="AR124">
        <f t="shared" si="142"/>
        <v>0.74599999999999977</v>
      </c>
      <c r="AS124" s="44">
        <f t="shared" si="143"/>
        <v>0.5053149512927555</v>
      </c>
      <c r="AT124" s="42"/>
      <c r="AU124">
        <f t="shared" si="176"/>
        <v>1.8252000000000001E-3</v>
      </c>
      <c r="AV124" s="44">
        <f t="shared" si="144"/>
        <v>1.8252000000000001E-3</v>
      </c>
      <c r="AW124" s="42">
        <f t="shared" si="177"/>
        <v>4</v>
      </c>
      <c r="AX124">
        <f t="shared" si="178"/>
        <v>0.11699999999999999</v>
      </c>
      <c r="AY124" s="44">
        <f t="shared" si="145"/>
        <v>4.117</v>
      </c>
      <c r="AZ124" s="42">
        <f t="shared" si="164"/>
        <v>0</v>
      </c>
      <c r="BA124">
        <f t="shared" si="165"/>
        <v>0</v>
      </c>
      <c r="BB124">
        <f t="shared" si="146"/>
        <v>0</v>
      </c>
      <c r="BC124" s="44">
        <f t="shared" si="179"/>
        <v>0</v>
      </c>
      <c r="BD124" s="42">
        <v>0</v>
      </c>
      <c r="BE124">
        <f t="shared" si="180"/>
        <v>0</v>
      </c>
      <c r="BF124" s="44">
        <f t="shared" si="147"/>
        <v>0</v>
      </c>
      <c r="BG124" s="42">
        <f t="shared" si="181"/>
        <v>0</v>
      </c>
      <c r="BH124">
        <f t="shared" si="182"/>
        <v>0</v>
      </c>
      <c r="BI124" s="44">
        <f t="shared" si="183"/>
        <v>0</v>
      </c>
      <c r="BK124" s="42">
        <f t="shared" si="166"/>
        <v>0</v>
      </c>
      <c r="BL124">
        <f t="shared" si="112"/>
        <v>0</v>
      </c>
      <c r="BM124">
        <f t="shared" si="167"/>
        <v>0</v>
      </c>
      <c r="BN124" s="44">
        <f t="shared" si="188"/>
        <v>0</v>
      </c>
      <c r="BO124" s="42">
        <v>0</v>
      </c>
      <c r="BP124">
        <f t="shared" si="184"/>
        <v>0</v>
      </c>
      <c r="BQ124" s="44">
        <f t="shared" si="148"/>
        <v>0</v>
      </c>
      <c r="BR124" s="42">
        <f t="shared" si="185"/>
        <v>0</v>
      </c>
      <c r="BS124">
        <f t="shared" si="186"/>
        <v>0</v>
      </c>
      <c r="BT124" s="44">
        <f t="shared" si="149"/>
        <v>0</v>
      </c>
      <c r="BU124" s="42">
        <f t="shared" si="168"/>
        <v>0.10213727999999998</v>
      </c>
      <c r="BV124">
        <f t="shared" si="115"/>
        <v>0.23625000000000002</v>
      </c>
      <c r="BW124" s="44">
        <f t="shared" si="169"/>
        <v>1.0800000000000001E-2</v>
      </c>
      <c r="BX124">
        <f t="shared" si="139"/>
        <v>1.4182288000000001</v>
      </c>
      <c r="BY124">
        <f t="shared" si="140"/>
        <v>9.6807218518796585</v>
      </c>
      <c r="BZ124">
        <f t="shared" si="187"/>
        <v>86.569610288070081</v>
      </c>
    </row>
    <row r="125" spans="17:78" x14ac:dyDescent="0.3">
      <c r="Q125">
        <v>118</v>
      </c>
      <c r="R125" s="42">
        <f t="shared" si="151"/>
        <v>62.93333333333333</v>
      </c>
      <c r="S125">
        <f t="shared" si="95"/>
        <v>24</v>
      </c>
      <c r="T125" s="44">
        <f t="shared" si="152"/>
        <v>2.6222222222222222</v>
      </c>
      <c r="U125" s="42">
        <f t="shared" si="153"/>
        <v>2</v>
      </c>
      <c r="V125">
        <f t="shared" si="154"/>
        <v>0.4</v>
      </c>
      <c r="W125">
        <f t="shared" si="155"/>
        <v>0.6</v>
      </c>
      <c r="X125">
        <f t="shared" si="117"/>
        <v>0</v>
      </c>
      <c r="Y125" s="42">
        <f t="shared" si="170"/>
        <v>6.5555555555555545</v>
      </c>
      <c r="Z125">
        <f t="shared" si="156"/>
        <v>1.9200000000000004</v>
      </c>
      <c r="AA125">
        <f t="shared" si="119"/>
        <v>7.5155555555555544</v>
      </c>
      <c r="AB125" s="44">
        <f t="shared" si="157"/>
        <v>4.1608897434070657</v>
      </c>
      <c r="AC125" s="42">
        <v>0</v>
      </c>
      <c r="AD125">
        <f t="shared" si="158"/>
        <v>0.17313003456790119</v>
      </c>
      <c r="AE125" s="44">
        <f t="shared" si="120"/>
        <v>0.17313003456790119</v>
      </c>
      <c r="AF125" s="42">
        <f t="shared" si="159"/>
        <v>1.2586666666666666</v>
      </c>
      <c r="AG125" s="44">
        <f t="shared" si="160"/>
        <v>1.2586666666666666</v>
      </c>
      <c r="AH125" s="42">
        <f t="shared" si="161"/>
        <v>0</v>
      </c>
      <c r="AI125">
        <f t="shared" si="162"/>
        <v>2.5682453630923061</v>
      </c>
      <c r="AJ125" s="44">
        <f t="shared" si="121"/>
        <v>2.5682453630923061</v>
      </c>
      <c r="AK125" s="42">
        <f t="shared" si="163"/>
        <v>62.93333333333333</v>
      </c>
      <c r="AL125">
        <f t="shared" si="108"/>
        <v>160</v>
      </c>
      <c r="AM125" s="44">
        <f t="shared" si="171"/>
        <v>0.39333333333333331</v>
      </c>
      <c r="AN125" s="42">
        <f t="shared" si="172"/>
        <v>2</v>
      </c>
      <c r="AO125">
        <f t="shared" si="173"/>
        <v>0.6</v>
      </c>
      <c r="AP125">
        <f t="shared" si="174"/>
        <v>0.65555555555555556</v>
      </c>
      <c r="AQ125">
        <f t="shared" si="175"/>
        <v>0.192</v>
      </c>
      <c r="AR125">
        <f t="shared" si="142"/>
        <v>0.75155555555555553</v>
      </c>
      <c r="AS125" s="44">
        <f t="shared" si="143"/>
        <v>0.50960283736636691</v>
      </c>
      <c r="AT125" s="42"/>
      <c r="AU125">
        <f t="shared" si="176"/>
        <v>1.8565333333333332E-3</v>
      </c>
      <c r="AV125" s="44">
        <f t="shared" si="144"/>
        <v>1.8565333333333332E-3</v>
      </c>
      <c r="AW125" s="42">
        <f t="shared" si="177"/>
        <v>4</v>
      </c>
      <c r="AX125">
        <f t="shared" si="178"/>
        <v>0.11799999999999999</v>
      </c>
      <c r="AY125" s="44">
        <f t="shared" si="145"/>
        <v>4.1180000000000003</v>
      </c>
      <c r="AZ125" s="42">
        <f t="shared" si="164"/>
        <v>0</v>
      </c>
      <c r="BA125">
        <f t="shared" si="165"/>
        <v>0</v>
      </c>
      <c r="BB125">
        <f t="shared" si="146"/>
        <v>0</v>
      </c>
      <c r="BC125" s="44">
        <f t="shared" si="179"/>
        <v>0</v>
      </c>
      <c r="BD125" s="42">
        <v>0</v>
      </c>
      <c r="BE125">
        <f t="shared" si="180"/>
        <v>0</v>
      </c>
      <c r="BF125" s="44">
        <f t="shared" si="147"/>
        <v>0</v>
      </c>
      <c r="BG125" s="42">
        <f t="shared" si="181"/>
        <v>0</v>
      </c>
      <c r="BH125">
        <f t="shared" si="182"/>
        <v>0</v>
      </c>
      <c r="BI125" s="44">
        <f t="shared" si="183"/>
        <v>0</v>
      </c>
      <c r="BK125" s="42">
        <f t="shared" si="166"/>
        <v>0</v>
      </c>
      <c r="BL125">
        <f t="shared" si="112"/>
        <v>0</v>
      </c>
      <c r="BM125">
        <f t="shared" si="167"/>
        <v>0</v>
      </c>
      <c r="BN125" s="44">
        <f t="shared" si="188"/>
        <v>0</v>
      </c>
      <c r="BO125" s="42">
        <v>0</v>
      </c>
      <c r="BP125">
        <f t="shared" si="184"/>
        <v>0</v>
      </c>
      <c r="BQ125" s="44">
        <f t="shared" si="148"/>
        <v>0</v>
      </c>
      <c r="BR125" s="42">
        <f t="shared" si="185"/>
        <v>0</v>
      </c>
      <c r="BS125">
        <f t="shared" si="186"/>
        <v>0</v>
      </c>
      <c r="BT125" s="44">
        <f t="shared" si="149"/>
        <v>0</v>
      </c>
      <c r="BU125" s="42">
        <f t="shared" si="168"/>
        <v>0.10387802074074071</v>
      </c>
      <c r="BV125">
        <f t="shared" si="115"/>
        <v>0.23625000000000002</v>
      </c>
      <c r="BW125" s="44">
        <f t="shared" si="169"/>
        <v>1.0800000000000001E-2</v>
      </c>
      <c r="BX125">
        <f t="shared" si="139"/>
        <v>1.4317967012345678</v>
      </c>
      <c r="BY125">
        <f t="shared" si="140"/>
        <v>9.7294932850676137</v>
      </c>
      <c r="BZ125">
        <f t="shared" si="187"/>
        <v>86.610081471006609</v>
      </c>
    </row>
    <row r="126" spans="17:78" x14ac:dyDescent="0.3">
      <c r="Q126">
        <v>119</v>
      </c>
      <c r="R126" s="42">
        <f t="shared" si="151"/>
        <v>63.466666666666669</v>
      </c>
      <c r="S126">
        <f t="shared" si="95"/>
        <v>24</v>
      </c>
      <c r="T126" s="44">
        <f t="shared" si="152"/>
        <v>2.6444444444444444</v>
      </c>
      <c r="U126" s="42">
        <f t="shared" si="153"/>
        <v>2</v>
      </c>
      <c r="V126">
        <f t="shared" si="154"/>
        <v>0.4</v>
      </c>
      <c r="W126">
        <f t="shared" si="155"/>
        <v>0.6</v>
      </c>
      <c r="X126">
        <f t="shared" si="117"/>
        <v>0</v>
      </c>
      <c r="Y126" s="42">
        <f t="shared" si="170"/>
        <v>6.6111111111111107</v>
      </c>
      <c r="Z126">
        <f t="shared" si="156"/>
        <v>1.9200000000000004</v>
      </c>
      <c r="AA126">
        <f t="shared" si="119"/>
        <v>7.5711111111111107</v>
      </c>
      <c r="AB126" s="44">
        <f t="shared" si="157"/>
        <v>4.195902292640131</v>
      </c>
      <c r="AC126" s="42">
        <v>0</v>
      </c>
      <c r="AD126">
        <f t="shared" si="158"/>
        <v>0.17605596049382707</v>
      </c>
      <c r="AE126" s="44">
        <f t="shared" si="120"/>
        <v>0.17605596049382707</v>
      </c>
      <c r="AF126" s="42">
        <f t="shared" si="159"/>
        <v>1.2693333333333334</v>
      </c>
      <c r="AG126" s="44">
        <f t="shared" si="160"/>
        <v>1.2693333333333334</v>
      </c>
      <c r="AH126" s="42">
        <f t="shared" si="161"/>
        <v>0</v>
      </c>
      <c r="AI126">
        <f t="shared" si="162"/>
        <v>2.5900101543049536</v>
      </c>
      <c r="AJ126" s="44">
        <f t="shared" si="121"/>
        <v>2.5900101543049536</v>
      </c>
      <c r="AK126" s="42">
        <f t="shared" si="163"/>
        <v>63.466666666666669</v>
      </c>
      <c r="AL126">
        <f t="shared" si="108"/>
        <v>160</v>
      </c>
      <c r="AM126" s="44">
        <f t="shared" si="171"/>
        <v>0.39666666666666667</v>
      </c>
      <c r="AN126" s="42">
        <f t="shared" si="172"/>
        <v>2</v>
      </c>
      <c r="AO126">
        <f t="shared" si="173"/>
        <v>0.6</v>
      </c>
      <c r="AP126">
        <f t="shared" si="174"/>
        <v>0.66111111111111109</v>
      </c>
      <c r="AQ126">
        <f t="shared" si="175"/>
        <v>0.192</v>
      </c>
      <c r="AR126">
        <f t="shared" si="142"/>
        <v>0.75711111111111107</v>
      </c>
      <c r="AS126" s="44">
        <f t="shared" si="143"/>
        <v>0.51389098137712108</v>
      </c>
      <c r="AT126" s="42"/>
      <c r="AU126">
        <f t="shared" si="176"/>
        <v>1.8881333333333335E-3</v>
      </c>
      <c r="AV126" s="44">
        <f t="shared" si="144"/>
        <v>1.8881333333333335E-3</v>
      </c>
      <c r="AW126" s="42">
        <f t="shared" si="177"/>
        <v>4</v>
      </c>
      <c r="AX126">
        <f t="shared" si="178"/>
        <v>0.11899999999999999</v>
      </c>
      <c r="AY126" s="44">
        <f t="shared" si="145"/>
        <v>4.1189999999999998</v>
      </c>
      <c r="AZ126" s="42">
        <f t="shared" si="164"/>
        <v>0</v>
      </c>
      <c r="BA126">
        <f t="shared" si="165"/>
        <v>0</v>
      </c>
      <c r="BB126">
        <f t="shared" si="146"/>
        <v>0</v>
      </c>
      <c r="BC126" s="44">
        <f t="shared" si="179"/>
        <v>0</v>
      </c>
      <c r="BD126" s="42">
        <v>0</v>
      </c>
      <c r="BE126">
        <f t="shared" si="180"/>
        <v>0</v>
      </c>
      <c r="BF126" s="44">
        <f t="shared" si="147"/>
        <v>0</v>
      </c>
      <c r="BG126" s="42">
        <f t="shared" si="181"/>
        <v>0</v>
      </c>
      <c r="BH126">
        <f t="shared" si="182"/>
        <v>0</v>
      </c>
      <c r="BI126" s="44">
        <f t="shared" si="183"/>
        <v>0</v>
      </c>
      <c r="BK126" s="42">
        <f t="shared" si="166"/>
        <v>0</v>
      </c>
      <c r="BL126">
        <f t="shared" si="112"/>
        <v>0</v>
      </c>
      <c r="BM126">
        <f t="shared" si="167"/>
        <v>0</v>
      </c>
      <c r="BN126" s="44">
        <f t="shared" si="188"/>
        <v>0</v>
      </c>
      <c r="BO126" s="42">
        <v>0</v>
      </c>
      <c r="BP126">
        <f t="shared" si="184"/>
        <v>0</v>
      </c>
      <c r="BQ126" s="44">
        <f t="shared" si="148"/>
        <v>0</v>
      </c>
      <c r="BR126" s="42">
        <f t="shared" si="185"/>
        <v>0</v>
      </c>
      <c r="BS126">
        <f t="shared" si="186"/>
        <v>0</v>
      </c>
      <c r="BT126" s="44">
        <f t="shared" si="149"/>
        <v>0</v>
      </c>
      <c r="BU126" s="42">
        <f t="shared" si="168"/>
        <v>0.10563357629629624</v>
      </c>
      <c r="BV126">
        <f t="shared" si="115"/>
        <v>0.23625000000000002</v>
      </c>
      <c r="BW126" s="44">
        <f t="shared" si="169"/>
        <v>1.0800000000000001E-2</v>
      </c>
      <c r="BX126">
        <f t="shared" si="139"/>
        <v>1.4453892938271604</v>
      </c>
      <c r="BY126">
        <f t="shared" si="140"/>
        <v>9.778304491095076</v>
      </c>
      <c r="BZ126">
        <f t="shared" si="187"/>
        <v>86.649862322925003</v>
      </c>
    </row>
    <row r="127" spans="17:78" x14ac:dyDescent="0.3">
      <c r="Q127">
        <v>120</v>
      </c>
      <c r="R127" s="42">
        <f t="shared" si="151"/>
        <v>64</v>
      </c>
      <c r="S127">
        <f t="shared" si="95"/>
        <v>24</v>
      </c>
      <c r="T127" s="44">
        <f t="shared" si="152"/>
        <v>2.6666666666666665</v>
      </c>
      <c r="U127" s="42">
        <f t="shared" si="153"/>
        <v>2</v>
      </c>
      <c r="V127">
        <f t="shared" si="154"/>
        <v>0.4</v>
      </c>
      <c r="W127">
        <f t="shared" si="155"/>
        <v>0.6</v>
      </c>
      <c r="X127">
        <f t="shared" si="117"/>
        <v>0</v>
      </c>
      <c r="Y127" s="42">
        <f t="shared" si="170"/>
        <v>6.6666666666666661</v>
      </c>
      <c r="Z127">
        <f t="shared" si="156"/>
        <v>1.9200000000000004</v>
      </c>
      <c r="AA127">
        <f t="shared" si="119"/>
        <v>7.626666666666666</v>
      </c>
      <c r="AB127" s="44">
        <f t="shared" si="157"/>
        <v>4.2309168956359535</v>
      </c>
      <c r="AC127" s="42">
        <v>0</v>
      </c>
      <c r="AD127">
        <f t="shared" si="158"/>
        <v>0.17900657777777773</v>
      </c>
      <c r="AE127" s="44">
        <f t="shared" si="120"/>
        <v>0.17900657777777773</v>
      </c>
      <c r="AF127" s="42">
        <f t="shared" si="159"/>
        <v>1.28</v>
      </c>
      <c r="AG127" s="44">
        <f t="shared" si="160"/>
        <v>1.28</v>
      </c>
      <c r="AH127" s="42">
        <f t="shared" si="161"/>
        <v>0</v>
      </c>
      <c r="AI127">
        <f t="shared" si="162"/>
        <v>2.6117749455175998</v>
      </c>
      <c r="AJ127" s="44">
        <f t="shared" si="121"/>
        <v>2.6117749455175998</v>
      </c>
      <c r="AK127" s="42">
        <f t="shared" si="163"/>
        <v>64</v>
      </c>
      <c r="AL127">
        <f t="shared" si="108"/>
        <v>160</v>
      </c>
      <c r="AM127" s="44">
        <f t="shared" si="171"/>
        <v>0.4</v>
      </c>
      <c r="AN127" s="42">
        <f t="shared" si="172"/>
        <v>2</v>
      </c>
      <c r="AO127">
        <f t="shared" si="173"/>
        <v>0.60000000000000009</v>
      </c>
      <c r="AP127">
        <f t="shared" si="174"/>
        <v>0.66666666666666663</v>
      </c>
      <c r="AQ127">
        <f t="shared" si="175"/>
        <v>0.19200000000000003</v>
      </c>
      <c r="AR127">
        <f t="shared" si="142"/>
        <v>0.7626666666666666</v>
      </c>
      <c r="AS127" s="44">
        <f t="shared" si="143"/>
        <v>0.51817937692141569</v>
      </c>
      <c r="AT127" s="42"/>
      <c r="AU127">
        <f t="shared" si="176"/>
        <v>1.9200000000000005E-3</v>
      </c>
      <c r="AV127" s="44">
        <f t="shared" si="144"/>
        <v>1.9200000000000005E-3</v>
      </c>
      <c r="AW127" s="42">
        <f t="shared" si="177"/>
        <v>4</v>
      </c>
      <c r="AX127">
        <f t="shared" si="178"/>
        <v>0.12</v>
      </c>
      <c r="AY127" s="44">
        <f t="shared" si="145"/>
        <v>4.12</v>
      </c>
      <c r="AZ127" s="42">
        <f t="shared" si="164"/>
        <v>0</v>
      </c>
      <c r="BA127">
        <f t="shared" si="165"/>
        <v>0</v>
      </c>
      <c r="BB127">
        <f t="shared" si="146"/>
        <v>0</v>
      </c>
      <c r="BC127" s="44">
        <f t="shared" si="179"/>
        <v>0</v>
      </c>
      <c r="BD127" s="42">
        <v>0</v>
      </c>
      <c r="BE127">
        <f t="shared" si="180"/>
        <v>0</v>
      </c>
      <c r="BF127" s="44">
        <f t="shared" si="147"/>
        <v>0</v>
      </c>
      <c r="BG127" s="42">
        <f t="shared" si="181"/>
        <v>0</v>
      </c>
      <c r="BH127">
        <f t="shared" si="182"/>
        <v>0</v>
      </c>
      <c r="BI127" s="44">
        <f t="shared" si="183"/>
        <v>0</v>
      </c>
      <c r="BK127" s="42">
        <f t="shared" si="166"/>
        <v>0</v>
      </c>
      <c r="BL127">
        <f t="shared" si="112"/>
        <v>0</v>
      </c>
      <c r="BM127">
        <f t="shared" si="167"/>
        <v>0</v>
      </c>
      <c r="BN127" s="44">
        <f t="shared" si="188"/>
        <v>0</v>
      </c>
      <c r="BO127" s="42">
        <v>0</v>
      </c>
      <c r="BP127">
        <f t="shared" si="184"/>
        <v>0</v>
      </c>
      <c r="BQ127" s="44">
        <f t="shared" si="148"/>
        <v>0</v>
      </c>
      <c r="BR127" s="42">
        <f t="shared" si="185"/>
        <v>0</v>
      </c>
      <c r="BS127">
        <f t="shared" si="186"/>
        <v>0</v>
      </c>
      <c r="BT127" s="44">
        <f t="shared" si="149"/>
        <v>0</v>
      </c>
      <c r="BU127" s="42">
        <f t="shared" si="168"/>
        <v>0.10740394666666664</v>
      </c>
      <c r="BV127">
        <f t="shared" si="115"/>
        <v>0.23625000000000002</v>
      </c>
      <c r="BW127" s="44">
        <f t="shared" si="169"/>
        <v>1.0800000000000001E-2</v>
      </c>
      <c r="BX127">
        <f t="shared" si="139"/>
        <v>1.4590065777777776</v>
      </c>
      <c r="BY127">
        <f t="shared" si="140"/>
        <v>9.827155469962042</v>
      </c>
      <c r="BZ127">
        <f t="shared" si="187"/>
        <v>86.688969109800794</v>
      </c>
    </row>
    <row r="128" spans="17:78" x14ac:dyDescent="0.3">
      <c r="Q128">
        <v>121</v>
      </c>
      <c r="R128" s="42">
        <f t="shared" si="151"/>
        <v>64.533333333333331</v>
      </c>
      <c r="S128">
        <f t="shared" si="95"/>
        <v>24</v>
      </c>
      <c r="T128" s="44">
        <f t="shared" si="152"/>
        <v>2.6888888888888887</v>
      </c>
      <c r="U128" s="42">
        <f t="shared" si="153"/>
        <v>2</v>
      </c>
      <c r="V128">
        <f t="shared" si="154"/>
        <v>0.4</v>
      </c>
      <c r="W128">
        <f t="shared" si="155"/>
        <v>0.6</v>
      </c>
      <c r="X128">
        <f t="shared" si="117"/>
        <v>0</v>
      </c>
      <c r="Y128" s="42">
        <f t="shared" si="170"/>
        <v>6.7222222222222214</v>
      </c>
      <c r="Z128">
        <f t="shared" si="156"/>
        <v>1.9200000000000004</v>
      </c>
      <c r="AA128">
        <f t="shared" si="119"/>
        <v>7.6822222222222214</v>
      </c>
      <c r="AB128" s="44">
        <f t="shared" si="157"/>
        <v>4.2659335018229365</v>
      </c>
      <c r="AC128" s="42">
        <v>0</v>
      </c>
      <c r="AD128">
        <f t="shared" si="158"/>
        <v>0.18198188641975305</v>
      </c>
      <c r="AE128" s="44">
        <f t="shared" si="120"/>
        <v>0.18198188641975305</v>
      </c>
      <c r="AF128" s="42">
        <f t="shared" si="159"/>
        <v>1.2906666666666666</v>
      </c>
      <c r="AG128" s="44">
        <f t="shared" si="160"/>
        <v>1.2906666666666666</v>
      </c>
      <c r="AH128" s="42">
        <f t="shared" si="161"/>
        <v>0</v>
      </c>
      <c r="AI128">
        <f t="shared" si="162"/>
        <v>2.6335397367302464</v>
      </c>
      <c r="AJ128" s="44">
        <f t="shared" si="121"/>
        <v>2.6335397367302464</v>
      </c>
      <c r="AK128" s="42">
        <f t="shared" si="163"/>
        <v>64.533333333333331</v>
      </c>
      <c r="AL128">
        <f t="shared" si="108"/>
        <v>160</v>
      </c>
      <c r="AM128" s="44">
        <f t="shared" si="171"/>
        <v>0.40333333333333332</v>
      </c>
      <c r="AN128" s="42">
        <f t="shared" si="172"/>
        <v>2</v>
      </c>
      <c r="AO128">
        <f t="shared" si="173"/>
        <v>0.6</v>
      </c>
      <c r="AP128">
        <f t="shared" si="174"/>
        <v>0.67222222222222228</v>
      </c>
      <c r="AQ128">
        <f t="shared" si="175"/>
        <v>0.192</v>
      </c>
      <c r="AR128">
        <f t="shared" si="142"/>
        <v>0.76822222222222225</v>
      </c>
      <c r="AS128" s="44">
        <f t="shared" si="143"/>
        <v>0.52246801780552043</v>
      </c>
      <c r="AT128" s="42"/>
      <c r="AU128">
        <f t="shared" si="176"/>
        <v>1.9521333333333332E-3</v>
      </c>
      <c r="AV128" s="44">
        <f t="shared" si="144"/>
        <v>1.9521333333333332E-3</v>
      </c>
      <c r="AW128" s="42">
        <f t="shared" si="177"/>
        <v>4</v>
      </c>
      <c r="AX128">
        <f t="shared" si="178"/>
        <v>0.121</v>
      </c>
      <c r="AY128" s="44">
        <f t="shared" si="145"/>
        <v>4.1210000000000004</v>
      </c>
      <c r="AZ128" s="42">
        <f t="shared" si="164"/>
        <v>0</v>
      </c>
      <c r="BA128">
        <f t="shared" si="165"/>
        <v>0</v>
      </c>
      <c r="BB128">
        <f t="shared" si="146"/>
        <v>0</v>
      </c>
      <c r="BC128" s="44">
        <f t="shared" si="179"/>
        <v>0</v>
      </c>
      <c r="BD128" s="42">
        <v>0</v>
      </c>
      <c r="BE128">
        <f t="shared" si="180"/>
        <v>0</v>
      </c>
      <c r="BF128" s="44">
        <f t="shared" si="147"/>
        <v>0</v>
      </c>
      <c r="BG128" s="42">
        <f t="shared" si="181"/>
        <v>0</v>
      </c>
      <c r="BH128">
        <f t="shared" si="182"/>
        <v>0</v>
      </c>
      <c r="BI128" s="44">
        <f t="shared" si="183"/>
        <v>0</v>
      </c>
      <c r="BK128" s="42">
        <f t="shared" si="166"/>
        <v>0</v>
      </c>
      <c r="BL128">
        <f t="shared" si="112"/>
        <v>0</v>
      </c>
      <c r="BM128">
        <f t="shared" si="167"/>
        <v>0</v>
      </c>
      <c r="BN128" s="44">
        <f t="shared" si="188"/>
        <v>0</v>
      </c>
      <c r="BO128" s="42">
        <v>0</v>
      </c>
      <c r="BP128">
        <f t="shared" si="184"/>
        <v>0</v>
      </c>
      <c r="BQ128" s="44">
        <f t="shared" si="148"/>
        <v>0</v>
      </c>
      <c r="BR128" s="42">
        <f t="shared" si="185"/>
        <v>0</v>
      </c>
      <c r="BS128">
        <f t="shared" si="186"/>
        <v>0</v>
      </c>
      <c r="BT128" s="44">
        <f t="shared" si="149"/>
        <v>0</v>
      </c>
      <c r="BU128" s="42">
        <f t="shared" si="168"/>
        <v>0.10918913185185182</v>
      </c>
      <c r="BV128">
        <f t="shared" si="115"/>
        <v>0.23625000000000002</v>
      </c>
      <c r="BW128" s="44">
        <f t="shared" si="169"/>
        <v>1.0800000000000001E-2</v>
      </c>
      <c r="BX128">
        <f t="shared" si="139"/>
        <v>1.4726485530864197</v>
      </c>
      <c r="BY128">
        <f t="shared" si="140"/>
        <v>9.876046221668517</v>
      </c>
      <c r="BZ128">
        <f t="shared" si="187"/>
        <v>86.727417590724102</v>
      </c>
    </row>
    <row r="129" spans="17:78" x14ac:dyDescent="0.3">
      <c r="Q129">
        <v>122</v>
      </c>
      <c r="R129" s="42">
        <f t="shared" si="151"/>
        <v>65.066666666666663</v>
      </c>
      <c r="S129">
        <f t="shared" si="95"/>
        <v>24</v>
      </c>
      <c r="T129" s="44">
        <f t="shared" si="152"/>
        <v>2.7111111111111108</v>
      </c>
      <c r="U129" s="42">
        <f t="shared" si="153"/>
        <v>2</v>
      </c>
      <c r="V129">
        <f t="shared" si="154"/>
        <v>0.4</v>
      </c>
      <c r="W129">
        <f t="shared" si="155"/>
        <v>0.6</v>
      </c>
      <c r="X129">
        <f t="shared" si="117"/>
        <v>0</v>
      </c>
      <c r="Y129" s="42">
        <f t="shared" si="170"/>
        <v>6.7777777777777768</v>
      </c>
      <c r="Z129">
        <f t="shared" si="156"/>
        <v>1.9200000000000004</v>
      </c>
      <c r="AA129">
        <f t="shared" si="119"/>
        <v>7.7377777777777768</v>
      </c>
      <c r="AB129" s="44">
        <f t="shared" si="157"/>
        <v>4.3009520622735735</v>
      </c>
      <c r="AC129" s="42">
        <v>0</v>
      </c>
      <c r="AD129">
        <f t="shared" si="158"/>
        <v>0.18498188641975305</v>
      </c>
      <c r="AE129" s="44">
        <f t="shared" si="120"/>
        <v>0.18498188641975305</v>
      </c>
      <c r="AF129" s="42">
        <f t="shared" si="159"/>
        <v>1.3013333333333332</v>
      </c>
      <c r="AG129" s="44">
        <f t="shared" si="160"/>
        <v>1.3013333333333332</v>
      </c>
      <c r="AH129" s="42">
        <f t="shared" si="161"/>
        <v>0</v>
      </c>
      <c r="AI129">
        <f t="shared" si="162"/>
        <v>2.6553045279428935</v>
      </c>
      <c r="AJ129" s="44">
        <f t="shared" si="121"/>
        <v>2.6553045279428935</v>
      </c>
      <c r="AK129" s="42">
        <f t="shared" si="163"/>
        <v>65.066666666666663</v>
      </c>
      <c r="AL129">
        <f t="shared" si="108"/>
        <v>160</v>
      </c>
      <c r="AM129" s="44">
        <f t="shared" si="171"/>
        <v>0.40666666666666662</v>
      </c>
      <c r="AN129" s="42">
        <f t="shared" si="172"/>
        <v>2</v>
      </c>
      <c r="AO129">
        <f t="shared" si="173"/>
        <v>0.6</v>
      </c>
      <c r="AP129">
        <f t="shared" si="174"/>
        <v>0.6777777777777777</v>
      </c>
      <c r="AQ129">
        <f t="shared" si="175"/>
        <v>0.192</v>
      </c>
      <c r="AR129">
        <f t="shared" si="142"/>
        <v>0.77377777777777768</v>
      </c>
      <c r="AS129" s="44">
        <f t="shared" si="143"/>
        <v>0.52675689803706371</v>
      </c>
      <c r="AT129" s="42"/>
      <c r="AU129">
        <f t="shared" si="176"/>
        <v>1.9845333333333329E-3</v>
      </c>
      <c r="AV129" s="44">
        <f t="shared" si="144"/>
        <v>1.9845333333333329E-3</v>
      </c>
      <c r="AW129" s="42">
        <f t="shared" si="177"/>
        <v>4</v>
      </c>
      <c r="AX129">
        <f t="shared" si="178"/>
        <v>0.12199999999999998</v>
      </c>
      <c r="AY129" s="44">
        <f t="shared" si="145"/>
        <v>4.1219999999999999</v>
      </c>
      <c r="AZ129" s="42">
        <f t="shared" si="164"/>
        <v>0</v>
      </c>
      <c r="BA129">
        <f t="shared" si="165"/>
        <v>0</v>
      </c>
      <c r="BB129">
        <f t="shared" si="146"/>
        <v>0</v>
      </c>
      <c r="BC129" s="44">
        <f t="shared" si="179"/>
        <v>0</v>
      </c>
      <c r="BD129" s="42">
        <v>0</v>
      </c>
      <c r="BE129">
        <f t="shared" si="180"/>
        <v>0</v>
      </c>
      <c r="BF129" s="44">
        <f t="shared" si="147"/>
        <v>0</v>
      </c>
      <c r="BG129" s="42">
        <f t="shared" si="181"/>
        <v>0</v>
      </c>
      <c r="BH129">
        <f t="shared" si="182"/>
        <v>0</v>
      </c>
      <c r="BI129" s="44">
        <f t="shared" si="183"/>
        <v>0</v>
      </c>
      <c r="BK129" s="42">
        <f t="shared" si="166"/>
        <v>0</v>
      </c>
      <c r="BL129">
        <f t="shared" si="112"/>
        <v>0</v>
      </c>
      <c r="BM129">
        <f t="shared" si="167"/>
        <v>0</v>
      </c>
      <c r="BN129" s="44">
        <f t="shared" si="188"/>
        <v>0</v>
      </c>
      <c r="BO129" s="42">
        <v>0</v>
      </c>
      <c r="BP129">
        <f t="shared" si="184"/>
        <v>0</v>
      </c>
      <c r="BQ129" s="44">
        <f t="shared" si="148"/>
        <v>0</v>
      </c>
      <c r="BR129" s="42">
        <f t="shared" si="185"/>
        <v>0</v>
      </c>
      <c r="BS129">
        <f t="shared" si="186"/>
        <v>0</v>
      </c>
      <c r="BT129" s="44">
        <f t="shared" si="149"/>
        <v>0</v>
      </c>
      <c r="BU129" s="42">
        <f t="shared" si="168"/>
        <v>0.11098913185185183</v>
      </c>
      <c r="BV129">
        <f t="shared" si="115"/>
        <v>0.23625000000000002</v>
      </c>
      <c r="BW129" s="44">
        <f t="shared" si="169"/>
        <v>1.0800000000000001E-2</v>
      </c>
      <c r="BX129">
        <f t="shared" si="139"/>
        <v>1.4863152197530862</v>
      </c>
      <c r="BY129">
        <f t="shared" si="140"/>
        <v>9.9249767462144991</v>
      </c>
      <c r="BZ129">
        <f t="shared" si="187"/>
        <v>86.765223037491523</v>
      </c>
    </row>
    <row r="130" spans="17:78" x14ac:dyDescent="0.3">
      <c r="Q130">
        <v>123</v>
      </c>
      <c r="R130" s="42">
        <f t="shared" si="151"/>
        <v>65.599999999999994</v>
      </c>
      <c r="S130">
        <f t="shared" si="95"/>
        <v>24</v>
      </c>
      <c r="T130" s="44">
        <f t="shared" si="152"/>
        <v>2.7333333333333329</v>
      </c>
      <c r="U130" s="42">
        <f t="shared" si="153"/>
        <v>2</v>
      </c>
      <c r="V130">
        <f t="shared" si="154"/>
        <v>0.4</v>
      </c>
      <c r="W130">
        <f t="shared" si="155"/>
        <v>0.6</v>
      </c>
      <c r="X130">
        <f t="shared" si="117"/>
        <v>0</v>
      </c>
      <c r="Y130" s="42">
        <f t="shared" si="170"/>
        <v>6.8333333333333321</v>
      </c>
      <c r="Z130">
        <f t="shared" si="156"/>
        <v>1.9200000000000004</v>
      </c>
      <c r="AA130">
        <f t="shared" si="119"/>
        <v>7.7933333333333321</v>
      </c>
      <c r="AB130" s="44">
        <f t="shared" si="157"/>
        <v>4.3359725296382781</v>
      </c>
      <c r="AC130" s="42">
        <v>0</v>
      </c>
      <c r="AD130">
        <f t="shared" si="158"/>
        <v>0.18800657777777768</v>
      </c>
      <c r="AE130" s="44">
        <f t="shared" si="120"/>
        <v>0.18800657777777768</v>
      </c>
      <c r="AF130" s="42">
        <f t="shared" si="159"/>
        <v>1.3119999999999998</v>
      </c>
      <c r="AG130" s="44">
        <f t="shared" si="160"/>
        <v>1.3119999999999998</v>
      </c>
      <c r="AH130" s="42">
        <f t="shared" si="161"/>
        <v>0</v>
      </c>
      <c r="AI130">
        <f t="shared" si="162"/>
        <v>2.6770693191555393</v>
      </c>
      <c r="AJ130" s="44">
        <f t="shared" si="121"/>
        <v>2.6770693191555393</v>
      </c>
      <c r="AK130" s="42">
        <f t="shared" si="163"/>
        <v>65.599999999999994</v>
      </c>
      <c r="AL130">
        <f t="shared" si="108"/>
        <v>160</v>
      </c>
      <c r="AM130" s="44">
        <f t="shared" si="171"/>
        <v>0.41</v>
      </c>
      <c r="AN130" s="42">
        <f t="shared" si="172"/>
        <v>2</v>
      </c>
      <c r="AO130">
        <f t="shared" si="173"/>
        <v>0.6000000000000002</v>
      </c>
      <c r="AP130">
        <f t="shared" si="174"/>
        <v>0.68333333333333313</v>
      </c>
      <c r="AQ130">
        <f t="shared" si="175"/>
        <v>0.19200000000000006</v>
      </c>
      <c r="AR130">
        <f t="shared" si="142"/>
        <v>0.77933333333333321</v>
      </c>
      <c r="AS130" s="44">
        <f t="shared" si="143"/>
        <v>0.53104601181692968</v>
      </c>
      <c r="AT130" s="42"/>
      <c r="AU130">
        <f t="shared" si="176"/>
        <v>2.0171999999999998E-3</v>
      </c>
      <c r="AV130" s="44">
        <f t="shared" si="144"/>
        <v>2.0171999999999998E-3</v>
      </c>
      <c r="AW130" s="42">
        <f t="shared" si="177"/>
        <v>4</v>
      </c>
      <c r="AX130">
        <f t="shared" si="178"/>
        <v>0.12299999999999998</v>
      </c>
      <c r="AY130" s="44">
        <f t="shared" si="145"/>
        <v>4.1230000000000002</v>
      </c>
      <c r="AZ130" s="42">
        <f t="shared" si="164"/>
        <v>0</v>
      </c>
      <c r="BA130">
        <f t="shared" si="165"/>
        <v>0</v>
      </c>
      <c r="BB130">
        <f t="shared" si="146"/>
        <v>0</v>
      </c>
      <c r="BC130" s="44">
        <f t="shared" si="179"/>
        <v>0</v>
      </c>
      <c r="BD130" s="42">
        <v>0</v>
      </c>
      <c r="BE130">
        <f t="shared" si="180"/>
        <v>0</v>
      </c>
      <c r="BF130" s="44">
        <f t="shared" si="147"/>
        <v>0</v>
      </c>
      <c r="BG130" s="42">
        <f t="shared" si="181"/>
        <v>0</v>
      </c>
      <c r="BH130">
        <f t="shared" si="182"/>
        <v>0</v>
      </c>
      <c r="BI130" s="44">
        <f t="shared" si="183"/>
        <v>0</v>
      </c>
      <c r="BK130" s="42">
        <f t="shared" si="166"/>
        <v>0</v>
      </c>
      <c r="BL130">
        <f t="shared" si="112"/>
        <v>0</v>
      </c>
      <c r="BM130">
        <f t="shared" si="167"/>
        <v>0</v>
      </c>
      <c r="BN130" s="44">
        <f t="shared" si="188"/>
        <v>0</v>
      </c>
      <c r="BO130" s="42">
        <v>0</v>
      </c>
      <c r="BP130">
        <f t="shared" si="184"/>
        <v>0</v>
      </c>
      <c r="BQ130" s="44">
        <f t="shared" si="148"/>
        <v>0</v>
      </c>
      <c r="BR130" s="42">
        <f t="shared" si="185"/>
        <v>0</v>
      </c>
      <c r="BS130">
        <f t="shared" si="186"/>
        <v>0</v>
      </c>
      <c r="BT130" s="44">
        <f t="shared" si="149"/>
        <v>0</v>
      </c>
      <c r="BU130" s="42">
        <f t="shared" si="168"/>
        <v>0.11280394666666661</v>
      </c>
      <c r="BV130">
        <f t="shared" si="115"/>
        <v>0.23625000000000002</v>
      </c>
      <c r="BW130" s="44">
        <f t="shared" si="169"/>
        <v>1.0800000000000001E-2</v>
      </c>
      <c r="BX130">
        <f t="shared" si="139"/>
        <v>1.5000065777777776</v>
      </c>
      <c r="BY130">
        <f t="shared" si="140"/>
        <v>9.9739470435999831</v>
      </c>
      <c r="BZ130">
        <f t="shared" si="187"/>
        <v>86.802400253296511</v>
      </c>
    </row>
    <row r="131" spans="17:78" x14ac:dyDescent="0.3">
      <c r="Q131">
        <v>124</v>
      </c>
      <c r="R131" s="42">
        <f t="shared" si="151"/>
        <v>66.133333333333326</v>
      </c>
      <c r="S131">
        <f t="shared" si="95"/>
        <v>24</v>
      </c>
      <c r="T131" s="44">
        <f t="shared" si="152"/>
        <v>2.7555555555555551</v>
      </c>
      <c r="U131" s="42">
        <f t="shared" si="153"/>
        <v>2</v>
      </c>
      <c r="V131">
        <f t="shared" si="154"/>
        <v>0.4</v>
      </c>
      <c r="W131">
        <f t="shared" si="155"/>
        <v>0.6</v>
      </c>
      <c r="X131">
        <f t="shared" si="117"/>
        <v>0</v>
      </c>
      <c r="Y131" s="42">
        <f t="shared" si="170"/>
        <v>6.8888888888888875</v>
      </c>
      <c r="Z131">
        <f t="shared" si="156"/>
        <v>1.9200000000000004</v>
      </c>
      <c r="AA131">
        <f t="shared" si="119"/>
        <v>7.8488888888888875</v>
      </c>
      <c r="AB131" s="44">
        <f t="shared" si="157"/>
        <v>4.3709948580823914</v>
      </c>
      <c r="AC131" s="42">
        <v>0</v>
      </c>
      <c r="AD131">
        <f t="shared" si="158"/>
        <v>0.19105596049382706</v>
      </c>
      <c r="AE131" s="44">
        <f t="shared" si="120"/>
        <v>0.19105596049382706</v>
      </c>
      <c r="AF131" s="42">
        <f t="shared" si="159"/>
        <v>1.3226666666666664</v>
      </c>
      <c r="AG131" s="44">
        <f t="shared" si="160"/>
        <v>1.3226666666666664</v>
      </c>
      <c r="AH131" s="42">
        <f t="shared" si="161"/>
        <v>0</v>
      </c>
      <c r="AI131">
        <f t="shared" si="162"/>
        <v>2.6988341103681859</v>
      </c>
      <c r="AJ131" s="44">
        <f t="shared" si="121"/>
        <v>2.6988341103681859</v>
      </c>
      <c r="AK131" s="42">
        <f t="shared" si="163"/>
        <v>66.133333333333326</v>
      </c>
      <c r="AL131">
        <f t="shared" si="108"/>
        <v>160</v>
      </c>
      <c r="AM131" s="44">
        <f t="shared" si="171"/>
        <v>0.41333333333333327</v>
      </c>
      <c r="AN131" s="42">
        <f t="shared" si="172"/>
        <v>2</v>
      </c>
      <c r="AO131">
        <f t="shared" si="173"/>
        <v>0.6</v>
      </c>
      <c r="AP131">
        <f t="shared" si="174"/>
        <v>0.68888888888888877</v>
      </c>
      <c r="AQ131">
        <f t="shared" si="175"/>
        <v>0.192</v>
      </c>
      <c r="AR131">
        <f t="shared" si="142"/>
        <v>0.78488888888888875</v>
      </c>
      <c r="AS131" s="44">
        <f t="shared" si="143"/>
        <v>0.5353353535315416</v>
      </c>
      <c r="AT131" s="42"/>
      <c r="AU131">
        <f t="shared" si="176"/>
        <v>2.0501333333333331E-3</v>
      </c>
      <c r="AV131" s="44">
        <f t="shared" si="144"/>
        <v>2.0501333333333331E-3</v>
      </c>
      <c r="AW131" s="42">
        <f t="shared" si="177"/>
        <v>4</v>
      </c>
      <c r="AX131">
        <f t="shared" si="178"/>
        <v>0.12399999999999997</v>
      </c>
      <c r="AY131" s="44">
        <f t="shared" si="145"/>
        <v>4.1239999999999997</v>
      </c>
      <c r="AZ131" s="42">
        <f t="shared" si="164"/>
        <v>0</v>
      </c>
      <c r="BA131">
        <f t="shared" si="165"/>
        <v>0</v>
      </c>
      <c r="BB131">
        <f t="shared" si="146"/>
        <v>0</v>
      </c>
      <c r="BC131" s="44">
        <f t="shared" si="179"/>
        <v>0</v>
      </c>
      <c r="BD131" s="42">
        <v>0</v>
      </c>
      <c r="BE131">
        <f t="shared" si="180"/>
        <v>0</v>
      </c>
      <c r="BF131" s="44">
        <f t="shared" si="147"/>
        <v>0</v>
      </c>
      <c r="BG131" s="42">
        <f t="shared" si="181"/>
        <v>0</v>
      </c>
      <c r="BH131">
        <f t="shared" si="182"/>
        <v>0</v>
      </c>
      <c r="BI131" s="44">
        <f t="shared" si="183"/>
        <v>0</v>
      </c>
      <c r="BK131" s="42">
        <f t="shared" si="166"/>
        <v>0</v>
      </c>
      <c r="BL131">
        <f t="shared" si="112"/>
        <v>0</v>
      </c>
      <c r="BM131">
        <f t="shared" si="167"/>
        <v>0</v>
      </c>
      <c r="BN131" s="44">
        <f t="shared" si="188"/>
        <v>0</v>
      </c>
      <c r="BO131" s="42">
        <v>0</v>
      </c>
      <c r="BP131">
        <f t="shared" si="184"/>
        <v>0</v>
      </c>
      <c r="BQ131" s="44">
        <f t="shared" si="148"/>
        <v>0</v>
      </c>
      <c r="BR131" s="42">
        <f t="shared" si="185"/>
        <v>0</v>
      </c>
      <c r="BS131">
        <f t="shared" si="186"/>
        <v>0</v>
      </c>
      <c r="BT131" s="44">
        <f t="shared" si="149"/>
        <v>0</v>
      </c>
      <c r="BU131" s="42">
        <f t="shared" si="168"/>
        <v>0.11463357629629622</v>
      </c>
      <c r="BV131">
        <f t="shared" si="115"/>
        <v>0.23625000000000002</v>
      </c>
      <c r="BW131" s="44">
        <f t="shared" si="169"/>
        <v>1.0800000000000001E-2</v>
      </c>
      <c r="BX131">
        <f t="shared" si="139"/>
        <v>1.5137226271604936</v>
      </c>
      <c r="BY131">
        <f t="shared" si="140"/>
        <v>10.022957113824976</v>
      </c>
      <c r="BZ131">
        <f t="shared" si="187"/>
        <v>86.838963590565783</v>
      </c>
    </row>
    <row r="132" spans="17:78" x14ac:dyDescent="0.3">
      <c r="Q132">
        <v>125</v>
      </c>
      <c r="R132" s="42">
        <f t="shared" si="151"/>
        <v>66.666666666666671</v>
      </c>
      <c r="S132">
        <f t="shared" si="95"/>
        <v>24</v>
      </c>
      <c r="T132" s="44">
        <f t="shared" si="152"/>
        <v>2.7777777777777781</v>
      </c>
      <c r="U132" s="42">
        <f t="shared" si="153"/>
        <v>2</v>
      </c>
      <c r="V132">
        <f t="shared" si="154"/>
        <v>0.4</v>
      </c>
      <c r="W132">
        <f t="shared" si="155"/>
        <v>0.6</v>
      </c>
      <c r="X132">
        <f t="shared" si="117"/>
        <v>0</v>
      </c>
      <c r="Y132" s="42">
        <f t="shared" si="170"/>
        <v>6.9444444444444438</v>
      </c>
      <c r="Z132">
        <f t="shared" si="156"/>
        <v>1.9200000000000004</v>
      </c>
      <c r="AA132">
        <f t="shared" si="119"/>
        <v>7.9044444444444437</v>
      </c>
      <c r="AB132" s="44">
        <f t="shared" si="157"/>
        <v>4.4060190032261684</v>
      </c>
      <c r="AC132" s="42">
        <v>0</v>
      </c>
      <c r="AD132">
        <f t="shared" si="158"/>
        <v>0.19413003456790118</v>
      </c>
      <c r="AE132" s="44">
        <f t="shared" si="120"/>
        <v>0.19413003456790118</v>
      </c>
      <c r="AF132" s="42">
        <f t="shared" si="159"/>
        <v>1.3333333333333335</v>
      </c>
      <c r="AG132" s="44">
        <f t="shared" si="160"/>
        <v>1.3333333333333335</v>
      </c>
      <c r="AH132" s="42">
        <f t="shared" si="161"/>
        <v>0</v>
      </c>
      <c r="AI132">
        <f t="shared" si="162"/>
        <v>2.7205989015808334</v>
      </c>
      <c r="AJ132" s="44">
        <f t="shared" si="121"/>
        <v>2.7205989015808334</v>
      </c>
      <c r="AK132" s="42">
        <f t="shared" si="163"/>
        <v>66.666666666666671</v>
      </c>
      <c r="AL132">
        <f t="shared" si="108"/>
        <v>160</v>
      </c>
      <c r="AM132" s="44">
        <f t="shared" si="171"/>
        <v>0.41666666666666669</v>
      </c>
      <c r="AN132" s="42">
        <f t="shared" si="172"/>
        <v>2</v>
      </c>
      <c r="AO132">
        <f t="shared" si="173"/>
        <v>0.60000000000000009</v>
      </c>
      <c r="AP132">
        <f t="shared" si="174"/>
        <v>0.69444444444444431</v>
      </c>
      <c r="AQ132">
        <f t="shared" si="175"/>
        <v>0.19200000000000003</v>
      </c>
      <c r="AR132">
        <f t="shared" si="142"/>
        <v>0.79044444444444428</v>
      </c>
      <c r="AS132" s="44">
        <f t="shared" si="143"/>
        <v>0.53962491774551302</v>
      </c>
      <c r="AT132" s="42"/>
      <c r="AU132">
        <f t="shared" si="176"/>
        <v>2.0833333333333337E-3</v>
      </c>
      <c r="AV132" s="44">
        <f t="shared" si="144"/>
        <v>2.0833333333333337E-3</v>
      </c>
      <c r="AW132" s="42">
        <f t="shared" si="177"/>
        <v>4</v>
      </c>
      <c r="AX132">
        <f t="shared" si="178"/>
        <v>0.125</v>
      </c>
      <c r="AY132" s="44">
        <f t="shared" si="145"/>
        <v>4.125</v>
      </c>
      <c r="AZ132" s="42">
        <f t="shared" si="164"/>
        <v>0</v>
      </c>
      <c r="BA132">
        <f t="shared" si="165"/>
        <v>0</v>
      </c>
      <c r="BB132">
        <f t="shared" si="146"/>
        <v>0</v>
      </c>
      <c r="BC132" s="44">
        <f t="shared" si="179"/>
        <v>0</v>
      </c>
      <c r="BD132" s="42">
        <v>0</v>
      </c>
      <c r="BE132">
        <f t="shared" si="180"/>
        <v>0</v>
      </c>
      <c r="BF132" s="44">
        <f t="shared" si="147"/>
        <v>0</v>
      </c>
      <c r="BG132" s="42">
        <f t="shared" si="181"/>
        <v>0</v>
      </c>
      <c r="BH132">
        <f t="shared" si="182"/>
        <v>0</v>
      </c>
      <c r="BI132" s="44">
        <f t="shared" si="183"/>
        <v>0</v>
      </c>
      <c r="BK132" s="42">
        <f t="shared" si="166"/>
        <v>0</v>
      </c>
      <c r="BL132">
        <f t="shared" si="112"/>
        <v>0</v>
      </c>
      <c r="BM132">
        <f t="shared" si="167"/>
        <v>0</v>
      </c>
      <c r="BN132" s="44">
        <f t="shared" si="188"/>
        <v>0</v>
      </c>
      <c r="BO132" s="42">
        <v>0</v>
      </c>
      <c r="BP132">
        <f t="shared" si="184"/>
        <v>0</v>
      </c>
      <c r="BQ132" s="44">
        <f t="shared" si="148"/>
        <v>0</v>
      </c>
      <c r="BR132" s="42">
        <f t="shared" si="185"/>
        <v>0</v>
      </c>
      <c r="BS132">
        <f t="shared" si="186"/>
        <v>0</v>
      </c>
      <c r="BT132" s="44">
        <f t="shared" si="149"/>
        <v>0</v>
      </c>
      <c r="BU132" s="42">
        <f t="shared" si="168"/>
        <v>0.11647802074074071</v>
      </c>
      <c r="BV132">
        <f t="shared" si="115"/>
        <v>0.23625000000000002</v>
      </c>
      <c r="BW132" s="44">
        <f t="shared" si="169"/>
        <v>1.0800000000000001E-2</v>
      </c>
      <c r="BX132">
        <f t="shared" si="139"/>
        <v>1.5274633679012346</v>
      </c>
      <c r="BY132">
        <f t="shared" si="140"/>
        <v>10.072006956889478</v>
      </c>
      <c r="BZ132">
        <f t="shared" si="187"/>
        <v>86.874926967987463</v>
      </c>
    </row>
    <row r="133" spans="17:78" x14ac:dyDescent="0.3">
      <c r="Q133">
        <v>126</v>
      </c>
      <c r="R133" s="42">
        <f t="shared" si="151"/>
        <v>67.2</v>
      </c>
      <c r="S133">
        <f t="shared" si="95"/>
        <v>24</v>
      </c>
      <c r="T133" s="44">
        <f t="shared" si="152"/>
        <v>2.8000000000000003</v>
      </c>
      <c r="U133" s="42">
        <f t="shared" si="153"/>
        <v>2</v>
      </c>
      <c r="V133">
        <f t="shared" si="154"/>
        <v>0.4</v>
      </c>
      <c r="W133">
        <f t="shared" si="155"/>
        <v>0.6</v>
      </c>
      <c r="X133">
        <f t="shared" si="117"/>
        <v>0</v>
      </c>
      <c r="Y133" s="42">
        <f t="shared" si="170"/>
        <v>6.9999999999999991</v>
      </c>
      <c r="Z133">
        <f t="shared" si="156"/>
        <v>1.9200000000000004</v>
      </c>
      <c r="AA133">
        <f t="shared" si="119"/>
        <v>7.9599999999999991</v>
      </c>
      <c r="AB133" s="44">
        <f t="shared" si="157"/>
        <v>4.4410449220875936</v>
      </c>
      <c r="AC133" s="42">
        <v>0</v>
      </c>
      <c r="AD133">
        <f t="shared" si="158"/>
        <v>0.19722880000000001</v>
      </c>
      <c r="AE133" s="44">
        <f t="shared" si="120"/>
        <v>0.19722880000000001</v>
      </c>
      <c r="AF133" s="42">
        <f t="shared" si="159"/>
        <v>1.3440000000000001</v>
      </c>
      <c r="AG133" s="44">
        <f t="shared" si="160"/>
        <v>1.3440000000000001</v>
      </c>
      <c r="AH133" s="42">
        <f t="shared" si="161"/>
        <v>0</v>
      </c>
      <c r="AI133">
        <f t="shared" si="162"/>
        <v>2.7423636927934796</v>
      </c>
      <c r="AJ133" s="44">
        <f t="shared" si="121"/>
        <v>2.7423636927934796</v>
      </c>
      <c r="AK133" s="42">
        <f t="shared" si="163"/>
        <v>67.2</v>
      </c>
      <c r="AL133">
        <f t="shared" si="108"/>
        <v>160</v>
      </c>
      <c r="AM133" s="44">
        <f t="shared" si="171"/>
        <v>0.42000000000000004</v>
      </c>
      <c r="AN133" s="42">
        <f t="shared" si="172"/>
        <v>2</v>
      </c>
      <c r="AO133">
        <f t="shared" si="173"/>
        <v>0.60000000000000009</v>
      </c>
      <c r="AP133">
        <f t="shared" si="174"/>
        <v>0.7</v>
      </c>
      <c r="AQ133">
        <f t="shared" si="175"/>
        <v>0.19200000000000003</v>
      </c>
      <c r="AR133">
        <f t="shared" si="142"/>
        <v>0.79599999999999993</v>
      </c>
      <c r="AS133" s="44">
        <f t="shared" si="143"/>
        <v>0.54391469919464386</v>
      </c>
      <c r="AT133" s="42"/>
      <c r="AU133">
        <f t="shared" si="176"/>
        <v>2.1168000000000003E-3</v>
      </c>
      <c r="AV133" s="44">
        <f t="shared" si="144"/>
        <v>2.1168000000000003E-3</v>
      </c>
      <c r="AW133" s="42">
        <f t="shared" si="177"/>
        <v>4</v>
      </c>
      <c r="AX133">
        <f t="shared" si="178"/>
        <v>0.126</v>
      </c>
      <c r="AY133" s="44">
        <f t="shared" si="145"/>
        <v>4.1260000000000003</v>
      </c>
      <c r="AZ133" s="42">
        <f t="shared" si="164"/>
        <v>0</v>
      </c>
      <c r="BA133">
        <f t="shared" si="165"/>
        <v>0</v>
      </c>
      <c r="BB133">
        <f t="shared" si="146"/>
        <v>0</v>
      </c>
      <c r="BC133" s="44">
        <f t="shared" si="179"/>
        <v>0</v>
      </c>
      <c r="BD133" s="42">
        <v>0</v>
      </c>
      <c r="BE133">
        <f t="shared" si="180"/>
        <v>0</v>
      </c>
      <c r="BF133" s="44">
        <f t="shared" si="147"/>
        <v>0</v>
      </c>
      <c r="BG133" s="42">
        <f t="shared" si="181"/>
        <v>0</v>
      </c>
      <c r="BH133">
        <f t="shared" si="182"/>
        <v>0</v>
      </c>
      <c r="BI133" s="44">
        <f t="shared" si="183"/>
        <v>0</v>
      </c>
      <c r="BK133" s="42">
        <f t="shared" si="166"/>
        <v>0</v>
      </c>
      <c r="BL133">
        <f t="shared" si="112"/>
        <v>0</v>
      </c>
      <c r="BM133">
        <f t="shared" si="167"/>
        <v>0</v>
      </c>
      <c r="BN133" s="44">
        <f t="shared" si="188"/>
        <v>0</v>
      </c>
      <c r="BO133" s="42">
        <v>0</v>
      </c>
      <c r="BP133">
        <f t="shared" si="184"/>
        <v>0</v>
      </c>
      <c r="BQ133" s="44">
        <f t="shared" si="148"/>
        <v>0</v>
      </c>
      <c r="BR133" s="42">
        <f t="shared" si="185"/>
        <v>0</v>
      </c>
      <c r="BS133">
        <f t="shared" si="186"/>
        <v>0</v>
      </c>
      <c r="BT133" s="44">
        <f t="shared" si="149"/>
        <v>0</v>
      </c>
      <c r="BU133" s="42">
        <f t="shared" si="168"/>
        <v>0.11833728</v>
      </c>
      <c r="BV133">
        <f t="shared" si="115"/>
        <v>0.23625000000000002</v>
      </c>
      <c r="BW133" s="44">
        <f t="shared" si="169"/>
        <v>1.0800000000000001E-2</v>
      </c>
      <c r="BX133">
        <f t="shared" si="139"/>
        <v>1.5412288000000001</v>
      </c>
      <c r="BY133">
        <f t="shared" si="140"/>
        <v>10.121096572793478</v>
      </c>
      <c r="BZ133">
        <f t="shared" si="187"/>
        <v>86.910303886772951</v>
      </c>
    </row>
    <row r="134" spans="17:78" x14ac:dyDescent="0.3">
      <c r="Q134">
        <v>127</v>
      </c>
      <c r="R134" s="42">
        <f t="shared" si="151"/>
        <v>67.733333333333334</v>
      </c>
      <c r="S134">
        <f t="shared" si="95"/>
        <v>24</v>
      </c>
      <c r="T134" s="44">
        <f t="shared" si="152"/>
        <v>2.8222222222222224</v>
      </c>
      <c r="U134" s="42">
        <f t="shared" si="153"/>
        <v>2</v>
      </c>
      <c r="V134">
        <f t="shared" si="154"/>
        <v>0.4</v>
      </c>
      <c r="W134">
        <f t="shared" si="155"/>
        <v>0.6</v>
      </c>
      <c r="X134">
        <f t="shared" si="117"/>
        <v>0</v>
      </c>
      <c r="Y134" s="42">
        <f t="shared" si="170"/>
        <v>7.0555555555555545</v>
      </c>
      <c r="Z134">
        <f t="shared" si="156"/>
        <v>1.9200000000000004</v>
      </c>
      <c r="AA134">
        <f t="shared" si="119"/>
        <v>8.0155555555555544</v>
      </c>
      <c r="AB134" s="44">
        <f t="shared" si="157"/>
        <v>4.4760725730278708</v>
      </c>
      <c r="AC134" s="42">
        <v>0</v>
      </c>
      <c r="AD134">
        <f t="shared" si="158"/>
        <v>0.20035225679012342</v>
      </c>
      <c r="AE134" s="44">
        <f t="shared" si="120"/>
        <v>0.20035225679012342</v>
      </c>
      <c r="AF134" s="42">
        <f t="shared" si="159"/>
        <v>1.3546666666666667</v>
      </c>
      <c r="AG134" s="44">
        <f t="shared" si="160"/>
        <v>1.3546666666666667</v>
      </c>
      <c r="AH134" s="42">
        <f t="shared" si="161"/>
        <v>0</v>
      </c>
      <c r="AI134">
        <f t="shared" si="162"/>
        <v>2.7641284840061262</v>
      </c>
      <c r="AJ134" s="44">
        <f t="shared" si="121"/>
        <v>2.7641284840061262</v>
      </c>
      <c r="AK134" s="42">
        <f t="shared" si="163"/>
        <v>67.733333333333334</v>
      </c>
      <c r="AL134">
        <f t="shared" si="108"/>
        <v>160</v>
      </c>
      <c r="AM134" s="44">
        <f t="shared" si="171"/>
        <v>0.42333333333333334</v>
      </c>
      <c r="AN134" s="42">
        <f t="shared" si="172"/>
        <v>2</v>
      </c>
      <c r="AO134">
        <f t="shared" si="173"/>
        <v>0.6000000000000002</v>
      </c>
      <c r="AP134">
        <f t="shared" si="174"/>
        <v>0.70555555555555538</v>
      </c>
      <c r="AQ134">
        <f t="shared" si="175"/>
        <v>0.19200000000000006</v>
      </c>
      <c r="AR134">
        <f t="shared" si="142"/>
        <v>0.80155555555555535</v>
      </c>
      <c r="AS134" s="44">
        <f t="shared" si="143"/>
        <v>0.54820469277924377</v>
      </c>
      <c r="AT134" s="42"/>
      <c r="AU134">
        <f t="shared" si="176"/>
        <v>2.1505333333333336E-3</v>
      </c>
      <c r="AV134" s="44">
        <f t="shared" si="144"/>
        <v>2.1505333333333336E-3</v>
      </c>
      <c r="AW134" s="42">
        <f t="shared" si="177"/>
        <v>4</v>
      </c>
      <c r="AX134">
        <f t="shared" si="178"/>
        <v>0.127</v>
      </c>
      <c r="AY134" s="44">
        <f t="shared" si="145"/>
        <v>4.1269999999999998</v>
      </c>
      <c r="AZ134" s="42">
        <f t="shared" si="164"/>
        <v>0</v>
      </c>
      <c r="BA134">
        <f t="shared" si="165"/>
        <v>0</v>
      </c>
      <c r="BB134">
        <f t="shared" si="146"/>
        <v>0</v>
      </c>
      <c r="BC134" s="44">
        <f t="shared" si="179"/>
        <v>0</v>
      </c>
      <c r="BD134" s="42">
        <v>0</v>
      </c>
      <c r="BE134">
        <f t="shared" si="180"/>
        <v>0</v>
      </c>
      <c r="BF134" s="44">
        <f t="shared" si="147"/>
        <v>0</v>
      </c>
      <c r="BG134" s="42">
        <f t="shared" si="181"/>
        <v>0</v>
      </c>
      <c r="BH134">
        <f t="shared" si="182"/>
        <v>0</v>
      </c>
      <c r="BI134" s="44">
        <f t="shared" si="183"/>
        <v>0</v>
      </c>
      <c r="BK134" s="42">
        <f t="shared" si="166"/>
        <v>0</v>
      </c>
      <c r="BL134">
        <f t="shared" si="112"/>
        <v>0</v>
      </c>
      <c r="BM134">
        <f t="shared" si="167"/>
        <v>0</v>
      </c>
      <c r="BN134" s="44">
        <f t="shared" si="188"/>
        <v>0</v>
      </c>
      <c r="BO134" s="42">
        <v>0</v>
      </c>
      <c r="BP134">
        <f t="shared" si="184"/>
        <v>0</v>
      </c>
      <c r="BQ134" s="44">
        <f t="shared" si="148"/>
        <v>0</v>
      </c>
      <c r="BR134" s="42">
        <f t="shared" si="185"/>
        <v>0</v>
      </c>
      <c r="BS134">
        <f t="shared" si="186"/>
        <v>0</v>
      </c>
      <c r="BT134" s="44">
        <f t="shared" si="149"/>
        <v>0</v>
      </c>
      <c r="BU134" s="42">
        <f t="shared" si="168"/>
        <v>0.12021135407407406</v>
      </c>
      <c r="BV134">
        <f t="shared" si="115"/>
        <v>0.23625000000000002</v>
      </c>
      <c r="BW134" s="44">
        <f t="shared" si="169"/>
        <v>1.0800000000000001E-2</v>
      </c>
      <c r="BX134">
        <f t="shared" si="139"/>
        <v>1.5550189234567902</v>
      </c>
      <c r="BY134">
        <f t="shared" si="140"/>
        <v>10.170225961536991</v>
      </c>
      <c r="BZ134">
        <f t="shared" si="187"/>
        <v>86.945107446192566</v>
      </c>
    </row>
    <row r="135" spans="17:78" x14ac:dyDescent="0.3">
      <c r="Q135">
        <v>128</v>
      </c>
      <c r="R135" s="42">
        <f t="shared" ref="R135:R157" si="189">AK135+AZ135+BK135</f>
        <v>68.266666666666666</v>
      </c>
      <c r="S135">
        <f t="shared" ref="S135:S157" si="190">VIN_var</f>
        <v>24</v>
      </c>
      <c r="T135" s="44">
        <f t="shared" ref="T135:T157" si="191">(R135)/(S135*EFF_est)</f>
        <v>2.8444444444444446</v>
      </c>
      <c r="U135" s="42">
        <f t="shared" ref="U135:U157" si="192">IF(R135&lt;((((Np/NS1_)*(AL135)/((S135+((Np/NS1_)*(AL135)))))^2)*(S135^2))/(2*Lm*Fsw),1,2)</f>
        <v>2</v>
      </c>
      <c r="V135">
        <f t="shared" ref="V135:V157" si="193">CHOOSE(U135,SQRT((2*Lm*R135*Fsw)/((S135^2)*EFF_est)),(((Np/NS1_)*(AL135))/(S135+((Np/NS1_)*(AL135)))))</f>
        <v>0.4</v>
      </c>
      <c r="W135">
        <f t="shared" ref="W135:W157" si="194">CHOOSE(U135,(NS1_*S135*V135)/(Np*AL135),1-V135)</f>
        <v>0.6</v>
      </c>
      <c r="X135">
        <f t="shared" si="117"/>
        <v>0</v>
      </c>
      <c r="Y135" s="42">
        <f t="shared" si="170"/>
        <v>7.1111111111111098</v>
      </c>
      <c r="Z135">
        <f t="shared" ref="Z135:Z157" si="195">(S135*V135)/(Lm*Fsw)</f>
        <v>1.9200000000000004</v>
      </c>
      <c r="AA135">
        <f t="shared" si="119"/>
        <v>8.0711111111111098</v>
      </c>
      <c r="AB135" s="44">
        <f t="shared" ref="AB135:AB157" si="196">CHOOSE(U135,AA135*SQRT(V135/3),SQRT(V135*((AA135^2)+((Z135^2)/(3))-(AA135*Z135))))</f>
        <v>4.5111019156994399</v>
      </c>
      <c r="AC135" s="42">
        <v>0</v>
      </c>
      <c r="AD135">
        <f t="shared" ref="AD135:AD157" si="197">(AB135^2)*Rdcr</f>
        <v>0.20350040493827157</v>
      </c>
      <c r="AE135" s="44">
        <f t="shared" si="120"/>
        <v>0.20350040493827157</v>
      </c>
      <c r="AF135" s="42">
        <f t="shared" ref="AF135:AF157" si="198">R135*0.02</f>
        <v>1.3653333333333333</v>
      </c>
      <c r="AG135" s="44">
        <f t="shared" ref="AG135:AG157" si="199">R135*0.02</f>
        <v>1.3653333333333333</v>
      </c>
      <c r="AH135" s="42">
        <f t="shared" ref="AH135:AH157" si="200">(AB135^2)*RDS_on</f>
        <v>0</v>
      </c>
      <c r="AI135">
        <f t="shared" ref="AI135:AI157" si="201">((Y135*(S135+((Np/NS1_)*VOUT1)))/2)*Fsw*(tr_sw+tf_sw)</f>
        <v>2.7858932752187733</v>
      </c>
      <c r="AJ135" s="44">
        <f t="shared" si="121"/>
        <v>2.7858932752187733</v>
      </c>
      <c r="AK135" s="42">
        <f t="shared" ref="AK135:AK157" si="202">Q135*$B$11</f>
        <v>68.266666666666666</v>
      </c>
      <c r="AL135">
        <f t="shared" ref="AL135:AL157" si="203">VOUT1</f>
        <v>160</v>
      </c>
      <c r="AM135" s="44">
        <f t="shared" si="171"/>
        <v>0.42666666666666664</v>
      </c>
      <c r="AN135" s="42">
        <f t="shared" si="172"/>
        <v>2</v>
      </c>
      <c r="AO135">
        <f t="shared" si="173"/>
        <v>0.6</v>
      </c>
      <c r="AP135">
        <f t="shared" si="174"/>
        <v>0.71111111111111103</v>
      </c>
      <c r="AQ135">
        <f t="shared" si="175"/>
        <v>0.192</v>
      </c>
      <c r="AR135">
        <f t="shared" si="142"/>
        <v>0.807111111111111</v>
      </c>
      <c r="AS135" s="44">
        <f t="shared" si="143"/>
        <v>0.55249489355776615</v>
      </c>
      <c r="AT135" s="42"/>
      <c r="AU135">
        <f t="shared" si="176"/>
        <v>2.1845333333333329E-3</v>
      </c>
      <c r="AV135" s="44">
        <f t="shared" si="144"/>
        <v>2.1845333333333329E-3</v>
      </c>
      <c r="AW135" s="42">
        <f t="shared" si="177"/>
        <v>4</v>
      </c>
      <c r="AX135">
        <f t="shared" si="178"/>
        <v>0.12799999999999997</v>
      </c>
      <c r="AY135" s="44">
        <f t="shared" si="145"/>
        <v>4.1280000000000001</v>
      </c>
      <c r="AZ135" s="42">
        <f t="shared" ref="AZ135:AZ157" si="204">IF(EN_OUT_2=1,Q135*$B$15,0)</f>
        <v>0</v>
      </c>
      <c r="BA135">
        <f t="shared" ref="BA135:BA157" si="205">IF(EN_OUT_2=1,VOUT2,0)</f>
        <v>0</v>
      </c>
      <c r="BB135">
        <f t="shared" si="146"/>
        <v>0</v>
      </c>
      <c r="BC135" s="44">
        <f t="shared" si="179"/>
        <v>0</v>
      </c>
      <c r="BD135" s="42">
        <v>0</v>
      </c>
      <c r="BE135">
        <f t="shared" si="180"/>
        <v>0</v>
      </c>
      <c r="BF135" s="44">
        <f t="shared" si="147"/>
        <v>0</v>
      </c>
      <c r="BG135" s="42">
        <f t="shared" si="181"/>
        <v>0</v>
      </c>
      <c r="BH135">
        <f t="shared" si="182"/>
        <v>0</v>
      </c>
      <c r="BI135" s="44">
        <f t="shared" si="183"/>
        <v>0</v>
      </c>
      <c r="BK135" s="42">
        <f t="shared" ref="BK135:BK157" si="206">IF(EN_OUT_3=1,Q135*$B$19,0)</f>
        <v>0</v>
      </c>
      <c r="BL135">
        <f t="shared" ref="BL135:BL157" si="207">IF(EN_OUT_3=1,VOUT3,0)</f>
        <v>0</v>
      </c>
      <c r="BM135">
        <f t="shared" ref="BM135:BM157" si="208">IF(EN_OUT_3=1,BK135/BL135,0)</f>
        <v>0</v>
      </c>
      <c r="BN135" s="44">
        <f t="shared" si="188"/>
        <v>0</v>
      </c>
      <c r="BO135" s="42">
        <v>0</v>
      </c>
      <c r="BP135">
        <f t="shared" si="184"/>
        <v>0</v>
      </c>
      <c r="BQ135" s="44">
        <f t="shared" si="148"/>
        <v>0</v>
      </c>
      <c r="BR135" s="42">
        <f t="shared" si="185"/>
        <v>0</v>
      </c>
      <c r="BS135">
        <f t="shared" si="186"/>
        <v>0</v>
      </c>
      <c r="BT135" s="44">
        <f t="shared" si="149"/>
        <v>0</v>
      </c>
      <c r="BU135" s="42">
        <f t="shared" ref="BU135:BU157" si="209">(AB135^2)*R_cs</f>
        <v>0.12210024296296293</v>
      </c>
      <c r="BV135">
        <f t="shared" ref="BV135:BV157" si="210">Qg_tot*Vcc*Fsw</f>
        <v>0.23625000000000002</v>
      </c>
      <c r="BW135" s="44">
        <f t="shared" ref="BW135:BW157" si="211">IQ*S135</f>
        <v>1.0800000000000001E-2</v>
      </c>
      <c r="BX135">
        <f t="shared" si="139"/>
        <v>1.5688337382716049</v>
      </c>
      <c r="BY135">
        <f t="shared" si="140"/>
        <v>10.219395123120009</v>
      </c>
      <c r="BZ135">
        <f t="shared" si="187"/>
        <v>86.979350358422678</v>
      </c>
    </row>
    <row r="136" spans="17:78" x14ac:dyDescent="0.3">
      <c r="Q136">
        <v>129</v>
      </c>
      <c r="R136" s="42">
        <f t="shared" si="189"/>
        <v>68.8</v>
      </c>
      <c r="S136">
        <f t="shared" si="190"/>
        <v>24</v>
      </c>
      <c r="T136" s="44">
        <f t="shared" si="191"/>
        <v>2.8666666666666667</v>
      </c>
      <c r="U136" s="42">
        <f t="shared" si="192"/>
        <v>2</v>
      </c>
      <c r="V136">
        <f t="shared" si="193"/>
        <v>0.4</v>
      </c>
      <c r="W136">
        <f t="shared" si="194"/>
        <v>0.6</v>
      </c>
      <c r="X136">
        <f t="shared" ref="X136:X157" si="212">CHOOSE(U136,1-V136-W136,0)</f>
        <v>0</v>
      </c>
      <c r="Y136" s="42">
        <f t="shared" ref="Y136:Y157" si="213">R136/(S136*EFF_est*V136)</f>
        <v>7.1666666666666652</v>
      </c>
      <c r="Z136">
        <f t="shared" si="195"/>
        <v>1.9200000000000004</v>
      </c>
      <c r="AA136">
        <f t="shared" ref="AA136:AA156" si="214">Y136+(Z136/2)</f>
        <v>8.1266666666666652</v>
      </c>
      <c r="AB136" s="44">
        <f t="shared" si="196"/>
        <v>4.5461329109963824</v>
      </c>
      <c r="AC136" s="42">
        <v>0</v>
      </c>
      <c r="AD136">
        <f t="shared" si="197"/>
        <v>0.20667324444444443</v>
      </c>
      <c r="AE136" s="44">
        <f t="shared" ref="AE136:AE157" si="215">AC136+AD136</f>
        <v>0.20667324444444443</v>
      </c>
      <c r="AF136" s="42">
        <f t="shared" si="198"/>
        <v>1.3759999999999999</v>
      </c>
      <c r="AG136" s="44">
        <f t="shared" si="199"/>
        <v>1.3759999999999999</v>
      </c>
      <c r="AH136" s="42">
        <f t="shared" si="200"/>
        <v>0</v>
      </c>
      <c r="AI136">
        <f t="shared" si="201"/>
        <v>2.8076580664314199</v>
      </c>
      <c r="AJ136" s="44">
        <f t="shared" ref="AJ136:AJ157" si="216">AH136+AI136</f>
        <v>2.8076580664314199</v>
      </c>
      <c r="AK136" s="42">
        <f t="shared" si="202"/>
        <v>68.8</v>
      </c>
      <c r="AL136">
        <f t="shared" si="203"/>
        <v>160</v>
      </c>
      <c r="AM136" s="44">
        <f t="shared" ref="AM136:AM157" si="217">AK136/AL136</f>
        <v>0.43</v>
      </c>
      <c r="AN136" s="42">
        <f t="shared" ref="AN136:AN157" si="218">IF(((AL136*AO136)/(Fsw*$AO$2))/2&gt;AP136,1,2)</f>
        <v>2</v>
      </c>
      <c r="AO136">
        <f t="shared" ref="AO136:AO157" si="219">AM136/AP136</f>
        <v>0.6000000000000002</v>
      </c>
      <c r="AP136">
        <f t="shared" ref="AP136:AP157" si="220">Np*$Y136*AK136/(R136*NS1_)</f>
        <v>0.71666666666666645</v>
      </c>
      <c r="AQ136">
        <f t="shared" ref="AQ136:AQ157" si="221">(AL136*AO136)/(Fsw*$AO$2)</f>
        <v>0.19200000000000006</v>
      </c>
      <c r="AR136">
        <f t="shared" si="142"/>
        <v>0.81266666666666643</v>
      </c>
      <c r="AS136" s="44">
        <f t="shared" si="143"/>
        <v>0.5567852967407334</v>
      </c>
      <c r="AT136" s="42"/>
      <c r="AU136">
        <f t="shared" ref="AU136:AU157" si="222">(AM136^2)*Rdcr1</f>
        <v>2.2187999999999999E-3</v>
      </c>
      <c r="AV136" s="44">
        <f t="shared" si="144"/>
        <v>2.2187999999999999E-3</v>
      </c>
      <c r="AW136" s="42">
        <f t="shared" ref="AW136:AW157" si="223">(VOUT1+((NS1_/Np)*S136))*QRR1_*Fsw</f>
        <v>4</v>
      </c>
      <c r="AX136">
        <f t="shared" ref="AX136:AX157" si="224">AM136*VD1_</f>
        <v>0.129</v>
      </c>
      <c r="AY136" s="44">
        <f t="shared" si="145"/>
        <v>4.1289999999999996</v>
      </c>
      <c r="AZ136" s="42">
        <f t="shared" si="204"/>
        <v>0</v>
      </c>
      <c r="BA136">
        <f t="shared" si="205"/>
        <v>0</v>
      </c>
      <c r="BB136">
        <f t="shared" si="146"/>
        <v>0</v>
      </c>
      <c r="BC136" s="44">
        <f t="shared" ref="BC136:BC157" si="225">IF(EN_OUT_2=1,AZ136/BA136,0)</f>
        <v>0</v>
      </c>
      <c r="BD136" s="42">
        <v>0</v>
      </c>
      <c r="BE136">
        <f t="shared" ref="BE136:BE157" si="226">(BB136^2)*Rdcr2</f>
        <v>0</v>
      </c>
      <c r="BF136" s="44">
        <f t="shared" si="147"/>
        <v>0</v>
      </c>
      <c r="BG136" s="42">
        <f t="shared" ref="BG136:BG157" si="227">(VOUT2+((NS2_/Np)*S136))*QRR2_*Fsw</f>
        <v>0</v>
      </c>
      <c r="BH136">
        <f t="shared" ref="BH136:BH157" si="228">BB136*VD2_</f>
        <v>0</v>
      </c>
      <c r="BI136" s="44">
        <f t="shared" ref="BI136:BI157" si="229">BH136+BG136</f>
        <v>0</v>
      </c>
      <c r="BK136" s="42">
        <f t="shared" si="206"/>
        <v>0</v>
      </c>
      <c r="BL136">
        <f t="shared" si="207"/>
        <v>0</v>
      </c>
      <c r="BM136">
        <f t="shared" si="208"/>
        <v>0</v>
      </c>
      <c r="BN136" s="44">
        <f t="shared" si="188"/>
        <v>0</v>
      </c>
      <c r="BO136" s="42">
        <v>0</v>
      </c>
      <c r="BP136">
        <f t="shared" ref="BP136:BP157" si="230">(BM136^2)*Rdcr3</f>
        <v>0</v>
      </c>
      <c r="BQ136" s="44">
        <f t="shared" si="148"/>
        <v>0</v>
      </c>
      <c r="BR136" s="42">
        <f t="shared" ref="BR136:BR157" si="231">(VOUT3+((NS3_/Np)*S136))*QRR3_*Fsw</f>
        <v>0</v>
      </c>
      <c r="BS136">
        <f t="shared" ref="BS136:BS157" si="232">BM136*VD3_</f>
        <v>0</v>
      </c>
      <c r="BT136" s="44">
        <f t="shared" si="149"/>
        <v>0</v>
      </c>
      <c r="BU136" s="42">
        <f t="shared" si="209"/>
        <v>0.12400394666666666</v>
      </c>
      <c r="BV136">
        <f t="shared" si="210"/>
        <v>0.23625000000000002</v>
      </c>
      <c r="BW136" s="44">
        <f t="shared" si="211"/>
        <v>1.0800000000000001E-2</v>
      </c>
      <c r="BX136">
        <f t="shared" ref="BX136:BX157" si="233">BF136+BQ136+AE136+AG136</f>
        <v>1.5826732444444442</v>
      </c>
      <c r="BY136">
        <f t="shared" ref="BY136:BY157" si="234">BW136+BV136+BU136+BT136+BQ136+BI136+BF136++AY136+AV136+AJ136+AF136+AE136+AG136</f>
        <v>10.268604057542529</v>
      </c>
      <c r="BZ136">
        <f t="shared" ref="BZ136:BZ157" si="235">(R136/(R136+BY136))*100</f>
        <v>87.013044962739556</v>
      </c>
    </row>
    <row r="137" spans="17:78" x14ac:dyDescent="0.3">
      <c r="Q137">
        <v>130</v>
      </c>
      <c r="R137" s="42">
        <f t="shared" si="189"/>
        <v>69.333333333333329</v>
      </c>
      <c r="S137">
        <f t="shared" si="190"/>
        <v>24</v>
      </c>
      <c r="T137" s="44">
        <f t="shared" si="191"/>
        <v>2.8888888888888888</v>
      </c>
      <c r="U137" s="42">
        <f t="shared" si="192"/>
        <v>2</v>
      </c>
      <c r="V137">
        <f t="shared" si="193"/>
        <v>0.4</v>
      </c>
      <c r="W137">
        <f t="shared" si="194"/>
        <v>0.6</v>
      </c>
      <c r="X137">
        <f t="shared" si="212"/>
        <v>0</v>
      </c>
      <c r="Y137" s="42">
        <f t="shared" si="213"/>
        <v>7.2222222222222205</v>
      </c>
      <c r="Z137">
        <f t="shared" si="195"/>
        <v>1.9200000000000004</v>
      </c>
      <c r="AA137">
        <f t="shared" si="214"/>
        <v>8.1822222222222205</v>
      </c>
      <c r="AB137" s="44">
        <f t="shared" si="196"/>
        <v>4.581165521007093</v>
      </c>
      <c r="AC137" s="42">
        <v>0</v>
      </c>
      <c r="AD137">
        <f t="shared" si="197"/>
        <v>0.20987077530864193</v>
      </c>
      <c r="AE137" s="44">
        <f t="shared" si="215"/>
        <v>0.20987077530864193</v>
      </c>
      <c r="AF137" s="42">
        <f t="shared" si="198"/>
        <v>1.3866666666666665</v>
      </c>
      <c r="AG137" s="44">
        <f t="shared" si="199"/>
        <v>1.3866666666666665</v>
      </c>
      <c r="AH137" s="42">
        <f t="shared" si="200"/>
        <v>0</v>
      </c>
      <c r="AI137">
        <f t="shared" si="201"/>
        <v>2.8294228576440656</v>
      </c>
      <c r="AJ137" s="44">
        <f t="shared" si="216"/>
        <v>2.8294228576440656</v>
      </c>
      <c r="AK137" s="42">
        <f t="shared" si="202"/>
        <v>69.333333333333329</v>
      </c>
      <c r="AL137">
        <f t="shared" si="203"/>
        <v>160</v>
      </c>
      <c r="AM137" s="44">
        <f t="shared" si="217"/>
        <v>0.43333333333333329</v>
      </c>
      <c r="AN137" s="42">
        <f t="shared" si="218"/>
        <v>2</v>
      </c>
      <c r="AO137">
        <f t="shared" si="219"/>
        <v>0.60000000000000009</v>
      </c>
      <c r="AP137">
        <f t="shared" si="220"/>
        <v>0.7222222222222221</v>
      </c>
      <c r="AQ137">
        <f t="shared" si="221"/>
        <v>0.19200000000000003</v>
      </c>
      <c r="AR137">
        <f t="shared" ref="AR137:AR157" si="236">AP137+(AQ137/2)</f>
        <v>0.81822222222222207</v>
      </c>
      <c r="AS137" s="44">
        <f t="shared" ref="AS137:AS157" si="237">CHOOSE(AN137,AR137*SQRT(AO137/3),SQRT(AO137*((AR137^2)+((AQ137^2)/(3))-(AQ137*AR137))))</f>
        <v>0.56107589768494137</v>
      </c>
      <c r="AT137" s="42"/>
      <c r="AU137">
        <f t="shared" si="222"/>
        <v>2.2533333333333329E-3</v>
      </c>
      <c r="AV137" s="44">
        <f t="shared" ref="AV137:AV157" si="238">AT137+AU137</f>
        <v>2.2533333333333329E-3</v>
      </c>
      <c r="AW137" s="42">
        <f t="shared" si="223"/>
        <v>4</v>
      </c>
      <c r="AX137">
        <f t="shared" si="224"/>
        <v>0.12999999999999998</v>
      </c>
      <c r="AY137" s="44">
        <f t="shared" ref="AY137:AY157" si="239">AW137+AX137</f>
        <v>4.13</v>
      </c>
      <c r="AZ137" s="42">
        <f t="shared" si="204"/>
        <v>0</v>
      </c>
      <c r="BA137">
        <f t="shared" si="205"/>
        <v>0</v>
      </c>
      <c r="BB137">
        <f t="shared" ref="BB137:BB157" si="240">IF(EN_OUT_2=1,AZ137/BA137,0)</f>
        <v>0</v>
      </c>
      <c r="BC137" s="44">
        <f t="shared" si="225"/>
        <v>0</v>
      </c>
      <c r="BD137" s="42">
        <v>0</v>
      </c>
      <c r="BE137">
        <f t="shared" si="226"/>
        <v>0</v>
      </c>
      <c r="BF137" s="44">
        <f t="shared" ref="BF137:BF157" si="241">BD137+BE137</f>
        <v>0</v>
      </c>
      <c r="BG137" s="42">
        <f t="shared" si="227"/>
        <v>0</v>
      </c>
      <c r="BH137">
        <f t="shared" si="228"/>
        <v>0</v>
      </c>
      <c r="BI137" s="44">
        <f t="shared" si="229"/>
        <v>0</v>
      </c>
      <c r="BK137" s="42">
        <f t="shared" si="206"/>
        <v>0</v>
      </c>
      <c r="BL137">
        <f t="shared" si="207"/>
        <v>0</v>
      </c>
      <c r="BM137">
        <f t="shared" si="208"/>
        <v>0</v>
      </c>
      <c r="BN137" s="44">
        <f t="shared" si="188"/>
        <v>0</v>
      </c>
      <c r="BO137" s="42">
        <v>0</v>
      </c>
      <c r="BP137">
        <f t="shared" si="230"/>
        <v>0</v>
      </c>
      <c r="BQ137" s="44">
        <f t="shared" ref="BQ137:BQ157" si="242">BO137+BP137</f>
        <v>0</v>
      </c>
      <c r="BR137" s="42">
        <f t="shared" si="231"/>
        <v>0</v>
      </c>
      <c r="BS137">
        <f t="shared" si="232"/>
        <v>0</v>
      </c>
      <c r="BT137" s="44">
        <f t="shared" ref="BT137:BT157" si="243">BS137+BR137</f>
        <v>0</v>
      </c>
      <c r="BU137" s="42">
        <f t="shared" si="209"/>
        <v>0.12592246518518516</v>
      </c>
      <c r="BV137">
        <f t="shared" si="210"/>
        <v>0.23625000000000002</v>
      </c>
      <c r="BW137" s="44">
        <f t="shared" si="211"/>
        <v>1.0800000000000001E-2</v>
      </c>
      <c r="BX137">
        <f t="shared" si="233"/>
        <v>1.5965374419753084</v>
      </c>
      <c r="BY137">
        <f t="shared" si="234"/>
        <v>10.317852764804559</v>
      </c>
      <c r="BZ137">
        <f t="shared" si="235"/>
        <v>87.046203239093046</v>
      </c>
    </row>
    <row r="138" spans="17:78" x14ac:dyDescent="0.3">
      <c r="Q138">
        <v>131</v>
      </c>
      <c r="R138" s="42">
        <f t="shared" si="189"/>
        <v>69.86666666666666</v>
      </c>
      <c r="S138">
        <f t="shared" si="190"/>
        <v>24</v>
      </c>
      <c r="T138" s="44">
        <f t="shared" si="191"/>
        <v>2.911111111111111</v>
      </c>
      <c r="U138" s="42">
        <f t="shared" si="192"/>
        <v>2</v>
      </c>
      <c r="V138">
        <f t="shared" si="193"/>
        <v>0.4</v>
      </c>
      <c r="W138">
        <f t="shared" si="194"/>
        <v>0.6</v>
      </c>
      <c r="X138">
        <f t="shared" si="212"/>
        <v>0</v>
      </c>
      <c r="Y138" s="42">
        <f t="shared" si="213"/>
        <v>7.2777777777777759</v>
      </c>
      <c r="Z138">
        <f t="shared" si="195"/>
        <v>1.9200000000000004</v>
      </c>
      <c r="AA138">
        <f t="shared" si="214"/>
        <v>8.2377777777777759</v>
      </c>
      <c r="AB138" s="44">
        <f t="shared" si="196"/>
        <v>4.6161997089691011</v>
      </c>
      <c r="AC138" s="42">
        <v>0</v>
      </c>
      <c r="AD138">
        <f t="shared" si="197"/>
        <v>0.21309299753086414</v>
      </c>
      <c r="AE138" s="44">
        <f t="shared" si="215"/>
        <v>0.21309299753086414</v>
      </c>
      <c r="AF138" s="42">
        <f t="shared" si="198"/>
        <v>1.3973333333333333</v>
      </c>
      <c r="AG138" s="44">
        <f t="shared" si="199"/>
        <v>1.3973333333333333</v>
      </c>
      <c r="AH138" s="42">
        <f t="shared" si="200"/>
        <v>0</v>
      </c>
      <c r="AI138">
        <f t="shared" si="201"/>
        <v>2.8511876488567127</v>
      </c>
      <c r="AJ138" s="44">
        <f t="shared" si="216"/>
        <v>2.8511876488567127</v>
      </c>
      <c r="AK138" s="42">
        <f t="shared" si="202"/>
        <v>69.86666666666666</v>
      </c>
      <c r="AL138">
        <f t="shared" si="203"/>
        <v>160</v>
      </c>
      <c r="AM138" s="44">
        <f t="shared" si="217"/>
        <v>0.43666666666666665</v>
      </c>
      <c r="AN138" s="42">
        <f t="shared" si="218"/>
        <v>2</v>
      </c>
      <c r="AO138">
        <f t="shared" si="219"/>
        <v>0.6000000000000002</v>
      </c>
      <c r="AP138">
        <f t="shared" si="220"/>
        <v>0.72777777777777752</v>
      </c>
      <c r="AQ138">
        <f t="shared" si="221"/>
        <v>0.19200000000000006</v>
      </c>
      <c r="AR138">
        <f t="shared" si="236"/>
        <v>0.8237777777777775</v>
      </c>
      <c r="AS138" s="44">
        <f t="shared" si="237"/>
        <v>0.56536669188792521</v>
      </c>
      <c r="AT138" s="42"/>
      <c r="AU138">
        <f t="shared" si="222"/>
        <v>2.2881333333333331E-3</v>
      </c>
      <c r="AV138" s="44">
        <f t="shared" si="238"/>
        <v>2.2881333333333331E-3</v>
      </c>
      <c r="AW138" s="42">
        <f t="shared" si="223"/>
        <v>4</v>
      </c>
      <c r="AX138">
        <f t="shared" si="224"/>
        <v>0.13099999999999998</v>
      </c>
      <c r="AY138" s="44">
        <f t="shared" si="239"/>
        <v>4.1310000000000002</v>
      </c>
      <c r="AZ138" s="42">
        <f t="shared" si="204"/>
        <v>0</v>
      </c>
      <c r="BA138">
        <f t="shared" si="205"/>
        <v>0</v>
      </c>
      <c r="BB138">
        <f t="shared" si="240"/>
        <v>0</v>
      </c>
      <c r="BC138" s="44">
        <f t="shared" si="225"/>
        <v>0</v>
      </c>
      <c r="BD138" s="42">
        <v>0</v>
      </c>
      <c r="BE138">
        <f t="shared" si="226"/>
        <v>0</v>
      </c>
      <c r="BF138" s="44">
        <f t="shared" si="241"/>
        <v>0</v>
      </c>
      <c r="BG138" s="42">
        <f t="shared" si="227"/>
        <v>0</v>
      </c>
      <c r="BH138">
        <f t="shared" si="228"/>
        <v>0</v>
      </c>
      <c r="BI138" s="44">
        <f t="shared" si="229"/>
        <v>0</v>
      </c>
      <c r="BK138" s="42">
        <f t="shared" si="206"/>
        <v>0</v>
      </c>
      <c r="BL138">
        <f t="shared" si="207"/>
        <v>0</v>
      </c>
      <c r="BM138">
        <f t="shared" si="208"/>
        <v>0</v>
      </c>
      <c r="BN138" s="44">
        <f t="shared" si="188"/>
        <v>0</v>
      </c>
      <c r="BO138" s="42">
        <v>0</v>
      </c>
      <c r="BP138">
        <f t="shared" si="230"/>
        <v>0</v>
      </c>
      <c r="BQ138" s="44">
        <f t="shared" si="242"/>
        <v>0</v>
      </c>
      <c r="BR138" s="42">
        <f t="shared" si="231"/>
        <v>0</v>
      </c>
      <c r="BS138">
        <f t="shared" si="232"/>
        <v>0</v>
      </c>
      <c r="BT138" s="44">
        <f t="shared" si="243"/>
        <v>0</v>
      </c>
      <c r="BU138" s="42">
        <f t="shared" si="209"/>
        <v>0.1278557985185185</v>
      </c>
      <c r="BV138">
        <f t="shared" si="210"/>
        <v>0.23625000000000002</v>
      </c>
      <c r="BW138" s="44">
        <f t="shared" si="211"/>
        <v>1.0800000000000001E-2</v>
      </c>
      <c r="BX138">
        <f t="shared" si="233"/>
        <v>1.6104263308641975</v>
      </c>
      <c r="BY138">
        <f t="shared" si="234"/>
        <v>10.367141244906097</v>
      </c>
      <c r="BZ138">
        <f t="shared" si="235"/>
        <v>87.07883682109177</v>
      </c>
    </row>
    <row r="139" spans="17:78" x14ac:dyDescent="0.3">
      <c r="Q139">
        <v>132</v>
      </c>
      <c r="R139" s="42">
        <f t="shared" si="189"/>
        <v>70.400000000000006</v>
      </c>
      <c r="S139">
        <f t="shared" si="190"/>
        <v>24</v>
      </c>
      <c r="T139" s="44">
        <f t="shared" si="191"/>
        <v>2.9333333333333336</v>
      </c>
      <c r="U139" s="42">
        <f t="shared" si="192"/>
        <v>2</v>
      </c>
      <c r="V139">
        <f t="shared" si="193"/>
        <v>0.4</v>
      </c>
      <c r="W139">
        <f t="shared" si="194"/>
        <v>0.6</v>
      </c>
      <c r="X139">
        <f t="shared" si="212"/>
        <v>0</v>
      </c>
      <c r="Y139" s="42">
        <f t="shared" si="213"/>
        <v>7.333333333333333</v>
      </c>
      <c r="Z139">
        <f t="shared" si="195"/>
        <v>1.9200000000000004</v>
      </c>
      <c r="AA139">
        <f t="shared" si="214"/>
        <v>8.293333333333333</v>
      </c>
      <c r="AB139" s="44">
        <f t="shared" si="196"/>
        <v>4.6512354392259176</v>
      </c>
      <c r="AC139" s="42">
        <v>0</v>
      </c>
      <c r="AD139">
        <f t="shared" si="197"/>
        <v>0.21633991111111114</v>
      </c>
      <c r="AE139" s="44">
        <f t="shared" si="215"/>
        <v>0.21633991111111114</v>
      </c>
      <c r="AF139" s="42">
        <f t="shared" si="198"/>
        <v>1.4080000000000001</v>
      </c>
      <c r="AG139" s="44">
        <f t="shared" si="199"/>
        <v>1.4080000000000001</v>
      </c>
      <c r="AH139" s="42">
        <f t="shared" si="200"/>
        <v>0</v>
      </c>
      <c r="AI139">
        <f t="shared" si="201"/>
        <v>2.8729524400693598</v>
      </c>
      <c r="AJ139" s="44">
        <f t="shared" si="216"/>
        <v>2.8729524400693598</v>
      </c>
      <c r="AK139" s="42">
        <f t="shared" si="202"/>
        <v>70.400000000000006</v>
      </c>
      <c r="AL139">
        <f t="shared" si="203"/>
        <v>160</v>
      </c>
      <c r="AM139" s="44">
        <f t="shared" si="217"/>
        <v>0.44000000000000006</v>
      </c>
      <c r="AN139" s="42">
        <f t="shared" si="218"/>
        <v>2</v>
      </c>
      <c r="AO139">
        <f t="shared" si="219"/>
        <v>0.60000000000000009</v>
      </c>
      <c r="AP139">
        <f t="shared" si="220"/>
        <v>0.73333333333333328</v>
      </c>
      <c r="AQ139">
        <f t="shared" si="221"/>
        <v>0.19200000000000003</v>
      </c>
      <c r="AR139">
        <f t="shared" si="236"/>
        <v>0.82933333333333326</v>
      </c>
      <c r="AS139" s="44">
        <f t="shared" si="237"/>
        <v>0.56965767498267461</v>
      </c>
      <c r="AT139" s="42"/>
      <c r="AU139">
        <f t="shared" si="222"/>
        <v>2.3232000000000005E-3</v>
      </c>
      <c r="AV139" s="44">
        <f t="shared" si="238"/>
        <v>2.3232000000000005E-3</v>
      </c>
      <c r="AW139" s="42">
        <f t="shared" si="223"/>
        <v>4</v>
      </c>
      <c r="AX139">
        <f t="shared" si="224"/>
        <v>0.13200000000000001</v>
      </c>
      <c r="AY139" s="44">
        <f t="shared" si="239"/>
        <v>4.1319999999999997</v>
      </c>
      <c r="AZ139" s="42">
        <f t="shared" si="204"/>
        <v>0</v>
      </c>
      <c r="BA139">
        <f t="shared" si="205"/>
        <v>0</v>
      </c>
      <c r="BB139">
        <f t="shared" si="240"/>
        <v>0</v>
      </c>
      <c r="BC139" s="44">
        <f t="shared" si="225"/>
        <v>0</v>
      </c>
      <c r="BD139" s="42">
        <v>0</v>
      </c>
      <c r="BE139">
        <f t="shared" si="226"/>
        <v>0</v>
      </c>
      <c r="BF139" s="44">
        <f t="shared" si="241"/>
        <v>0</v>
      </c>
      <c r="BG139" s="42">
        <f t="shared" si="227"/>
        <v>0</v>
      </c>
      <c r="BH139">
        <f t="shared" si="228"/>
        <v>0</v>
      </c>
      <c r="BI139" s="44">
        <f t="shared" si="229"/>
        <v>0</v>
      </c>
      <c r="BK139" s="42">
        <f t="shared" si="206"/>
        <v>0</v>
      </c>
      <c r="BL139">
        <f t="shared" si="207"/>
        <v>0</v>
      </c>
      <c r="BM139">
        <f t="shared" si="208"/>
        <v>0</v>
      </c>
      <c r="BN139" s="44">
        <f t="shared" si="188"/>
        <v>0</v>
      </c>
      <c r="BO139" s="42">
        <v>0</v>
      </c>
      <c r="BP139">
        <f t="shared" si="230"/>
        <v>0</v>
      </c>
      <c r="BQ139" s="44">
        <f t="shared" si="242"/>
        <v>0</v>
      </c>
      <c r="BR139" s="42">
        <f t="shared" si="231"/>
        <v>0</v>
      </c>
      <c r="BS139">
        <f t="shared" si="232"/>
        <v>0</v>
      </c>
      <c r="BT139" s="44">
        <f t="shared" si="243"/>
        <v>0</v>
      </c>
      <c r="BU139" s="42">
        <f t="shared" si="209"/>
        <v>0.1298039466666667</v>
      </c>
      <c r="BV139">
        <f t="shared" si="210"/>
        <v>0.23625000000000002</v>
      </c>
      <c r="BW139" s="44">
        <f t="shared" si="211"/>
        <v>1.0800000000000001E-2</v>
      </c>
      <c r="BX139">
        <f t="shared" si="233"/>
        <v>1.6243399111111112</v>
      </c>
      <c r="BY139">
        <f t="shared" si="234"/>
        <v>10.416469497847137</v>
      </c>
      <c r="BZ139">
        <f t="shared" si="235"/>
        <v>87.11095700842931</v>
      </c>
    </row>
    <row r="140" spans="17:78" x14ac:dyDescent="0.3">
      <c r="Q140">
        <v>133</v>
      </c>
      <c r="R140" s="42">
        <f t="shared" si="189"/>
        <v>70.933333333333337</v>
      </c>
      <c r="S140">
        <f t="shared" si="190"/>
        <v>24</v>
      </c>
      <c r="T140" s="44">
        <f t="shared" si="191"/>
        <v>2.9555555555555557</v>
      </c>
      <c r="U140" s="42">
        <f t="shared" si="192"/>
        <v>2</v>
      </c>
      <c r="V140">
        <f t="shared" si="193"/>
        <v>0.4</v>
      </c>
      <c r="W140">
        <f t="shared" si="194"/>
        <v>0.6</v>
      </c>
      <c r="X140">
        <f t="shared" si="212"/>
        <v>0</v>
      </c>
      <c r="Y140" s="42">
        <f t="shared" si="213"/>
        <v>7.3888888888888884</v>
      </c>
      <c r="Z140">
        <f t="shared" si="195"/>
        <v>1.9200000000000004</v>
      </c>
      <c r="AA140">
        <f t="shared" si="214"/>
        <v>8.3488888888888884</v>
      </c>
      <c r="AB140" s="44">
        <f t="shared" si="196"/>
        <v>4.6862726771858112</v>
      </c>
      <c r="AC140" s="42">
        <v>0</v>
      </c>
      <c r="AD140">
        <f t="shared" si="197"/>
        <v>0.2196115160493827</v>
      </c>
      <c r="AE140" s="44">
        <f t="shared" si="215"/>
        <v>0.2196115160493827</v>
      </c>
      <c r="AF140" s="42">
        <f t="shared" si="198"/>
        <v>1.4186666666666667</v>
      </c>
      <c r="AG140" s="44">
        <f t="shared" si="199"/>
        <v>1.4186666666666667</v>
      </c>
      <c r="AH140" s="42">
        <f t="shared" si="200"/>
        <v>0</v>
      </c>
      <c r="AI140">
        <f t="shared" si="201"/>
        <v>2.8947172312820064</v>
      </c>
      <c r="AJ140" s="44">
        <f t="shared" si="216"/>
        <v>2.8947172312820064</v>
      </c>
      <c r="AK140" s="42">
        <f t="shared" si="202"/>
        <v>70.933333333333337</v>
      </c>
      <c r="AL140">
        <f t="shared" si="203"/>
        <v>160</v>
      </c>
      <c r="AM140" s="44">
        <f t="shared" si="217"/>
        <v>0.44333333333333336</v>
      </c>
      <c r="AN140" s="42">
        <f t="shared" si="218"/>
        <v>2</v>
      </c>
      <c r="AO140">
        <f t="shared" si="219"/>
        <v>0.60000000000000009</v>
      </c>
      <c r="AP140">
        <f t="shared" si="220"/>
        <v>0.73888888888888882</v>
      </c>
      <c r="AQ140">
        <f t="shared" si="221"/>
        <v>0.19200000000000003</v>
      </c>
      <c r="AR140">
        <f t="shared" si="236"/>
        <v>0.83488888888888879</v>
      </c>
      <c r="AS140" s="44">
        <f t="shared" si="237"/>
        <v>0.57394884273258528</v>
      </c>
      <c r="AT140" s="42"/>
      <c r="AU140">
        <f t="shared" si="222"/>
        <v>2.3585333333333335E-3</v>
      </c>
      <c r="AV140" s="44">
        <f t="shared" si="238"/>
        <v>2.3585333333333335E-3</v>
      </c>
      <c r="AW140" s="42">
        <f t="shared" si="223"/>
        <v>4</v>
      </c>
      <c r="AX140">
        <f t="shared" si="224"/>
        <v>0.13300000000000001</v>
      </c>
      <c r="AY140" s="44">
        <f t="shared" si="239"/>
        <v>4.133</v>
      </c>
      <c r="AZ140" s="42">
        <f t="shared" si="204"/>
        <v>0</v>
      </c>
      <c r="BA140">
        <f t="shared" si="205"/>
        <v>0</v>
      </c>
      <c r="BB140">
        <f t="shared" si="240"/>
        <v>0</v>
      </c>
      <c r="BC140" s="44">
        <f t="shared" si="225"/>
        <v>0</v>
      </c>
      <c r="BD140" s="42">
        <v>0</v>
      </c>
      <c r="BE140">
        <f t="shared" si="226"/>
        <v>0</v>
      </c>
      <c r="BF140" s="44">
        <f t="shared" si="241"/>
        <v>0</v>
      </c>
      <c r="BG140" s="42">
        <f t="shared" si="227"/>
        <v>0</v>
      </c>
      <c r="BH140">
        <f t="shared" si="228"/>
        <v>0</v>
      </c>
      <c r="BI140" s="44">
        <f t="shared" si="229"/>
        <v>0</v>
      </c>
      <c r="BK140" s="42">
        <f t="shared" si="206"/>
        <v>0</v>
      </c>
      <c r="BL140">
        <f t="shared" si="207"/>
        <v>0</v>
      </c>
      <c r="BM140">
        <f t="shared" si="208"/>
        <v>0</v>
      </c>
      <c r="BN140" s="44">
        <f t="shared" si="188"/>
        <v>0</v>
      </c>
      <c r="BO140" s="42">
        <v>0</v>
      </c>
      <c r="BP140">
        <f t="shared" si="230"/>
        <v>0</v>
      </c>
      <c r="BQ140" s="44">
        <f t="shared" si="242"/>
        <v>0</v>
      </c>
      <c r="BR140" s="42">
        <f t="shared" si="231"/>
        <v>0</v>
      </c>
      <c r="BS140">
        <f t="shared" si="232"/>
        <v>0</v>
      </c>
      <c r="BT140" s="44">
        <f t="shared" si="243"/>
        <v>0</v>
      </c>
      <c r="BU140" s="42">
        <f t="shared" si="209"/>
        <v>0.13176690962962961</v>
      </c>
      <c r="BV140">
        <f t="shared" si="210"/>
        <v>0.23625000000000002</v>
      </c>
      <c r="BW140" s="44">
        <f t="shared" si="211"/>
        <v>1.0800000000000001E-2</v>
      </c>
      <c r="BX140">
        <f t="shared" si="233"/>
        <v>1.6382781827160495</v>
      </c>
      <c r="BY140">
        <f t="shared" si="234"/>
        <v>10.465837523627686</v>
      </c>
      <c r="BZ140">
        <f t="shared" si="235"/>
        <v>87.142574778778993</v>
      </c>
    </row>
    <row r="141" spans="17:78" x14ac:dyDescent="0.3">
      <c r="Q141">
        <v>134</v>
      </c>
      <c r="R141" s="42">
        <f t="shared" si="189"/>
        <v>71.466666666666669</v>
      </c>
      <c r="S141">
        <f t="shared" si="190"/>
        <v>24</v>
      </c>
      <c r="T141" s="44">
        <f t="shared" si="191"/>
        <v>2.9777777777777779</v>
      </c>
      <c r="U141" s="42">
        <f t="shared" si="192"/>
        <v>2</v>
      </c>
      <c r="V141">
        <f t="shared" si="193"/>
        <v>0.4</v>
      </c>
      <c r="W141">
        <f t="shared" si="194"/>
        <v>0.6</v>
      </c>
      <c r="X141">
        <f t="shared" si="212"/>
        <v>0</v>
      </c>
      <c r="Y141" s="42">
        <f t="shared" si="213"/>
        <v>7.4444444444444438</v>
      </c>
      <c r="Z141">
        <f t="shared" si="195"/>
        <v>1.9200000000000004</v>
      </c>
      <c r="AA141">
        <f t="shared" si="214"/>
        <v>8.4044444444444437</v>
      </c>
      <c r="AB141" s="44">
        <f t="shared" si="196"/>
        <v>4.7213113892824206</v>
      </c>
      <c r="AC141" s="42">
        <v>0</v>
      </c>
      <c r="AD141">
        <f t="shared" si="197"/>
        <v>0.222907812345679</v>
      </c>
      <c r="AE141" s="44">
        <f t="shared" si="215"/>
        <v>0.222907812345679</v>
      </c>
      <c r="AF141" s="42">
        <f t="shared" si="198"/>
        <v>1.4293333333333333</v>
      </c>
      <c r="AG141" s="44">
        <f t="shared" si="199"/>
        <v>1.4293333333333333</v>
      </c>
      <c r="AH141" s="42">
        <f t="shared" si="200"/>
        <v>0</v>
      </c>
      <c r="AI141">
        <f t="shared" si="201"/>
        <v>2.9164820224946535</v>
      </c>
      <c r="AJ141" s="44">
        <f t="shared" si="216"/>
        <v>2.9164820224946535</v>
      </c>
      <c r="AK141" s="42">
        <f t="shared" si="202"/>
        <v>71.466666666666669</v>
      </c>
      <c r="AL141">
        <f t="shared" si="203"/>
        <v>160</v>
      </c>
      <c r="AM141" s="44">
        <f t="shared" si="217"/>
        <v>0.44666666666666666</v>
      </c>
      <c r="AN141" s="42">
        <f t="shared" si="218"/>
        <v>2</v>
      </c>
      <c r="AO141">
        <f t="shared" si="219"/>
        <v>0.6000000000000002</v>
      </c>
      <c r="AP141">
        <f t="shared" si="220"/>
        <v>0.74444444444444424</v>
      </c>
      <c r="AQ141">
        <f t="shared" si="221"/>
        <v>0.19200000000000006</v>
      </c>
      <c r="AR141">
        <f t="shared" si="236"/>
        <v>0.84044444444444433</v>
      </c>
      <c r="AS141" s="44">
        <f t="shared" si="237"/>
        <v>0.57824019102663426</v>
      </c>
      <c r="AT141" s="42"/>
      <c r="AU141">
        <f t="shared" si="222"/>
        <v>2.3941333333333333E-3</v>
      </c>
      <c r="AV141" s="44">
        <f t="shared" si="238"/>
        <v>2.3941333333333333E-3</v>
      </c>
      <c r="AW141" s="42">
        <f t="shared" si="223"/>
        <v>4</v>
      </c>
      <c r="AX141">
        <f t="shared" si="224"/>
        <v>0.13399999999999998</v>
      </c>
      <c r="AY141" s="44">
        <f t="shared" si="239"/>
        <v>4.1340000000000003</v>
      </c>
      <c r="AZ141" s="42">
        <f t="shared" si="204"/>
        <v>0</v>
      </c>
      <c r="BA141">
        <f t="shared" si="205"/>
        <v>0</v>
      </c>
      <c r="BB141">
        <f t="shared" si="240"/>
        <v>0</v>
      </c>
      <c r="BC141" s="44">
        <f t="shared" si="225"/>
        <v>0</v>
      </c>
      <c r="BD141" s="42">
        <v>0</v>
      </c>
      <c r="BE141">
        <f t="shared" si="226"/>
        <v>0</v>
      </c>
      <c r="BF141" s="44">
        <f t="shared" si="241"/>
        <v>0</v>
      </c>
      <c r="BG141" s="42">
        <f t="shared" si="227"/>
        <v>0</v>
      </c>
      <c r="BH141">
        <f t="shared" si="228"/>
        <v>0</v>
      </c>
      <c r="BI141" s="44">
        <f t="shared" si="229"/>
        <v>0</v>
      </c>
      <c r="BK141" s="42">
        <f t="shared" si="206"/>
        <v>0</v>
      </c>
      <c r="BL141">
        <f t="shared" si="207"/>
        <v>0</v>
      </c>
      <c r="BM141">
        <f t="shared" si="208"/>
        <v>0</v>
      </c>
      <c r="BN141" s="44">
        <f t="shared" si="188"/>
        <v>0</v>
      </c>
      <c r="BO141" s="42">
        <v>0</v>
      </c>
      <c r="BP141">
        <f t="shared" si="230"/>
        <v>0</v>
      </c>
      <c r="BQ141" s="44">
        <f t="shared" si="242"/>
        <v>0</v>
      </c>
      <c r="BR141" s="42">
        <f t="shared" si="231"/>
        <v>0</v>
      </c>
      <c r="BS141">
        <f t="shared" si="232"/>
        <v>0</v>
      </c>
      <c r="BT141" s="44">
        <f t="shared" si="243"/>
        <v>0</v>
      </c>
      <c r="BU141" s="42">
        <f t="shared" si="209"/>
        <v>0.13374468740740739</v>
      </c>
      <c r="BV141">
        <f t="shared" si="210"/>
        <v>0.23625000000000002</v>
      </c>
      <c r="BW141" s="44">
        <f t="shared" si="211"/>
        <v>1.0800000000000001E-2</v>
      </c>
      <c r="BX141">
        <f t="shared" si="233"/>
        <v>1.6522411456790123</v>
      </c>
      <c r="BY141">
        <f t="shared" si="234"/>
        <v>10.515245322247742</v>
      </c>
      <c r="BZ141">
        <f t="shared" si="235"/>
        <v>87.17370079918409</v>
      </c>
    </row>
    <row r="142" spans="17:78" x14ac:dyDescent="0.3">
      <c r="Q142">
        <v>135</v>
      </c>
      <c r="R142" s="42">
        <f t="shared" si="189"/>
        <v>72</v>
      </c>
      <c r="S142">
        <f t="shared" si="190"/>
        <v>24</v>
      </c>
      <c r="T142" s="44">
        <f t="shared" si="191"/>
        <v>3</v>
      </c>
      <c r="U142" s="42">
        <f t="shared" si="192"/>
        <v>2</v>
      </c>
      <c r="V142">
        <f t="shared" si="193"/>
        <v>0.4</v>
      </c>
      <c r="W142">
        <f t="shared" si="194"/>
        <v>0.6</v>
      </c>
      <c r="X142">
        <f t="shared" si="212"/>
        <v>0</v>
      </c>
      <c r="Y142" s="42">
        <f t="shared" si="213"/>
        <v>7.4999999999999991</v>
      </c>
      <c r="Z142">
        <f t="shared" si="195"/>
        <v>1.9200000000000004</v>
      </c>
      <c r="AA142">
        <f t="shared" si="214"/>
        <v>8.4599999999999991</v>
      </c>
      <c r="AB142" s="44">
        <f t="shared" si="196"/>
        <v>4.756351542937086</v>
      </c>
      <c r="AC142" s="42">
        <v>0</v>
      </c>
      <c r="AD142">
        <f t="shared" si="197"/>
        <v>0.22622879999999998</v>
      </c>
      <c r="AE142" s="44">
        <f t="shared" si="215"/>
        <v>0.22622879999999998</v>
      </c>
      <c r="AF142" s="42">
        <f t="shared" si="198"/>
        <v>1.44</v>
      </c>
      <c r="AG142" s="44">
        <f t="shared" si="199"/>
        <v>1.44</v>
      </c>
      <c r="AH142" s="42">
        <f t="shared" si="200"/>
        <v>0</v>
      </c>
      <c r="AI142">
        <f t="shared" si="201"/>
        <v>2.9382468137072997</v>
      </c>
      <c r="AJ142" s="44">
        <f t="shared" si="216"/>
        <v>2.9382468137072997</v>
      </c>
      <c r="AK142" s="42">
        <f t="shared" si="202"/>
        <v>72</v>
      </c>
      <c r="AL142">
        <f t="shared" si="203"/>
        <v>160</v>
      </c>
      <c r="AM142" s="44">
        <f t="shared" si="217"/>
        <v>0.45</v>
      </c>
      <c r="AN142" s="42">
        <f t="shared" si="218"/>
        <v>2</v>
      </c>
      <c r="AO142">
        <f t="shared" si="219"/>
        <v>0.60000000000000009</v>
      </c>
      <c r="AP142">
        <f t="shared" si="220"/>
        <v>0.74999999999999989</v>
      </c>
      <c r="AQ142">
        <f t="shared" si="221"/>
        <v>0.19200000000000003</v>
      </c>
      <c r="AR142">
        <f t="shared" si="236"/>
        <v>0.84599999999999986</v>
      </c>
      <c r="AS142" s="44">
        <f t="shared" si="237"/>
        <v>0.58253171587476671</v>
      </c>
      <c r="AT142" s="42"/>
      <c r="AU142">
        <f t="shared" si="222"/>
        <v>2.4300000000000003E-3</v>
      </c>
      <c r="AV142" s="44">
        <f t="shared" si="238"/>
        <v>2.4300000000000003E-3</v>
      </c>
      <c r="AW142" s="42">
        <f t="shared" si="223"/>
        <v>4</v>
      </c>
      <c r="AX142">
        <f t="shared" si="224"/>
        <v>0.13500000000000001</v>
      </c>
      <c r="AY142" s="44">
        <f t="shared" si="239"/>
        <v>4.1349999999999998</v>
      </c>
      <c r="AZ142" s="42">
        <f t="shared" si="204"/>
        <v>0</v>
      </c>
      <c r="BA142">
        <f t="shared" si="205"/>
        <v>0</v>
      </c>
      <c r="BB142">
        <f t="shared" si="240"/>
        <v>0</v>
      </c>
      <c r="BC142" s="44">
        <f t="shared" si="225"/>
        <v>0</v>
      </c>
      <c r="BD142" s="42">
        <v>0</v>
      </c>
      <c r="BE142">
        <f t="shared" si="226"/>
        <v>0</v>
      </c>
      <c r="BF142" s="44">
        <f t="shared" si="241"/>
        <v>0</v>
      </c>
      <c r="BG142" s="42">
        <f t="shared" si="227"/>
        <v>0</v>
      </c>
      <c r="BH142">
        <f t="shared" si="228"/>
        <v>0</v>
      </c>
      <c r="BI142" s="44">
        <f t="shared" si="229"/>
        <v>0</v>
      </c>
      <c r="BK142" s="42">
        <f t="shared" si="206"/>
        <v>0</v>
      </c>
      <c r="BL142">
        <f t="shared" si="207"/>
        <v>0</v>
      </c>
      <c r="BM142">
        <f t="shared" si="208"/>
        <v>0</v>
      </c>
      <c r="BN142" s="44">
        <f t="shared" si="188"/>
        <v>0</v>
      </c>
      <c r="BO142" s="42">
        <v>0</v>
      </c>
      <c r="BP142">
        <f t="shared" si="230"/>
        <v>0</v>
      </c>
      <c r="BQ142" s="44">
        <f t="shared" si="242"/>
        <v>0</v>
      </c>
      <c r="BR142" s="42">
        <f t="shared" si="231"/>
        <v>0</v>
      </c>
      <c r="BS142">
        <f t="shared" si="232"/>
        <v>0</v>
      </c>
      <c r="BT142" s="44">
        <f t="shared" si="243"/>
        <v>0</v>
      </c>
      <c r="BU142" s="42">
        <f t="shared" si="209"/>
        <v>0.13573727999999999</v>
      </c>
      <c r="BV142">
        <f t="shared" si="210"/>
        <v>0.23625000000000002</v>
      </c>
      <c r="BW142" s="44">
        <f t="shared" si="211"/>
        <v>1.0800000000000001E-2</v>
      </c>
      <c r="BX142">
        <f t="shared" si="233"/>
        <v>1.6662287999999998</v>
      </c>
      <c r="BY142">
        <f t="shared" si="234"/>
        <v>10.564692893707297</v>
      </c>
      <c r="BZ142">
        <f t="shared" si="235"/>
        <v>87.204345436967657</v>
      </c>
    </row>
    <row r="143" spans="17:78" x14ac:dyDescent="0.3">
      <c r="Q143">
        <v>136</v>
      </c>
      <c r="R143" s="42">
        <f t="shared" si="189"/>
        <v>72.533333333333331</v>
      </c>
      <c r="S143">
        <f t="shared" si="190"/>
        <v>24</v>
      </c>
      <c r="T143" s="44">
        <f t="shared" si="191"/>
        <v>3.0222222222222221</v>
      </c>
      <c r="U143" s="42">
        <f t="shared" si="192"/>
        <v>2</v>
      </c>
      <c r="V143">
        <f t="shared" si="193"/>
        <v>0.4</v>
      </c>
      <c r="W143">
        <f t="shared" si="194"/>
        <v>0.6</v>
      </c>
      <c r="X143">
        <f t="shared" si="212"/>
        <v>0</v>
      </c>
      <c r="Y143" s="42">
        <f t="shared" si="213"/>
        <v>7.5555555555555545</v>
      </c>
      <c r="Z143">
        <f t="shared" si="195"/>
        <v>1.9200000000000004</v>
      </c>
      <c r="AA143">
        <f t="shared" si="214"/>
        <v>8.5155555555555544</v>
      </c>
      <c r="AB143" s="44">
        <f t="shared" si="196"/>
        <v>4.791393106522837</v>
      </c>
      <c r="AC143" s="42">
        <v>0</v>
      </c>
      <c r="AD143">
        <f t="shared" si="197"/>
        <v>0.22957447901234562</v>
      </c>
      <c r="AE143" s="44">
        <f t="shared" si="215"/>
        <v>0.22957447901234562</v>
      </c>
      <c r="AF143" s="42">
        <f t="shared" si="198"/>
        <v>1.4506666666666665</v>
      </c>
      <c r="AG143" s="44">
        <f t="shared" si="199"/>
        <v>1.4506666666666665</v>
      </c>
      <c r="AH143" s="42">
        <f t="shared" si="200"/>
        <v>0</v>
      </c>
      <c r="AI143">
        <f t="shared" si="201"/>
        <v>2.9600116049199459</v>
      </c>
      <c r="AJ143" s="44">
        <f t="shared" si="216"/>
        <v>2.9600116049199459</v>
      </c>
      <c r="AK143" s="42">
        <f t="shared" si="202"/>
        <v>72.533333333333331</v>
      </c>
      <c r="AL143">
        <f t="shared" si="203"/>
        <v>160</v>
      </c>
      <c r="AM143" s="44">
        <f t="shared" si="217"/>
        <v>0.45333333333333331</v>
      </c>
      <c r="AN143" s="42">
        <f t="shared" si="218"/>
        <v>2</v>
      </c>
      <c r="AO143">
        <f t="shared" si="219"/>
        <v>0.6</v>
      </c>
      <c r="AP143">
        <f t="shared" si="220"/>
        <v>0.75555555555555554</v>
      </c>
      <c r="AQ143">
        <f t="shared" si="221"/>
        <v>0.192</v>
      </c>
      <c r="AR143">
        <f t="shared" si="236"/>
        <v>0.85155555555555551</v>
      </c>
      <c r="AS143" s="44">
        <f t="shared" si="237"/>
        <v>0.58682341340348587</v>
      </c>
      <c r="AT143" s="42"/>
      <c r="AU143">
        <f t="shared" si="222"/>
        <v>2.4661333333333333E-3</v>
      </c>
      <c r="AV143" s="44">
        <f t="shared" si="238"/>
        <v>2.4661333333333333E-3</v>
      </c>
      <c r="AW143" s="42">
        <f t="shared" si="223"/>
        <v>4</v>
      </c>
      <c r="AX143">
        <f t="shared" si="224"/>
        <v>0.13599999999999998</v>
      </c>
      <c r="AY143" s="44">
        <f t="shared" si="239"/>
        <v>4.1360000000000001</v>
      </c>
      <c r="AZ143" s="42">
        <f t="shared" si="204"/>
        <v>0</v>
      </c>
      <c r="BA143">
        <f t="shared" si="205"/>
        <v>0</v>
      </c>
      <c r="BB143">
        <f t="shared" si="240"/>
        <v>0</v>
      </c>
      <c r="BC143" s="44">
        <f t="shared" si="225"/>
        <v>0</v>
      </c>
      <c r="BD143" s="42">
        <v>0</v>
      </c>
      <c r="BE143">
        <f t="shared" si="226"/>
        <v>0</v>
      </c>
      <c r="BF143" s="44">
        <f t="shared" si="241"/>
        <v>0</v>
      </c>
      <c r="BG143" s="42">
        <f t="shared" si="227"/>
        <v>0</v>
      </c>
      <c r="BH143">
        <f t="shared" si="228"/>
        <v>0</v>
      </c>
      <c r="BI143" s="44">
        <f t="shared" si="229"/>
        <v>0</v>
      </c>
      <c r="BK143" s="42">
        <f t="shared" si="206"/>
        <v>0</v>
      </c>
      <c r="BL143">
        <f t="shared" si="207"/>
        <v>0</v>
      </c>
      <c r="BM143">
        <f t="shared" si="208"/>
        <v>0</v>
      </c>
      <c r="BN143" s="44">
        <f t="shared" si="188"/>
        <v>0</v>
      </c>
      <c r="BO143" s="42">
        <v>0</v>
      </c>
      <c r="BP143">
        <f t="shared" si="230"/>
        <v>0</v>
      </c>
      <c r="BQ143" s="44">
        <f t="shared" si="242"/>
        <v>0</v>
      </c>
      <c r="BR143" s="42">
        <f t="shared" si="231"/>
        <v>0</v>
      </c>
      <c r="BS143">
        <f t="shared" si="232"/>
        <v>0</v>
      </c>
      <c r="BT143" s="44">
        <f t="shared" si="243"/>
        <v>0</v>
      </c>
      <c r="BU143" s="42">
        <f t="shared" si="209"/>
        <v>0.13774468740740739</v>
      </c>
      <c r="BV143">
        <f t="shared" si="210"/>
        <v>0.23625000000000002</v>
      </c>
      <c r="BW143" s="44">
        <f t="shared" si="211"/>
        <v>1.0800000000000001E-2</v>
      </c>
      <c r="BX143">
        <f t="shared" si="233"/>
        <v>1.6802411456790121</v>
      </c>
      <c r="BY143">
        <f t="shared" si="234"/>
        <v>10.614180238006366</v>
      </c>
      <c r="BZ143">
        <f t="shared" si="235"/>
        <v>87.234518770186057</v>
      </c>
    </row>
    <row r="144" spans="17:78" x14ac:dyDescent="0.3">
      <c r="Q144">
        <v>137</v>
      </c>
      <c r="R144" s="42">
        <f t="shared" si="189"/>
        <v>73.066666666666663</v>
      </c>
      <c r="S144">
        <f t="shared" si="190"/>
        <v>24</v>
      </c>
      <c r="T144" s="44">
        <f t="shared" si="191"/>
        <v>3.0444444444444443</v>
      </c>
      <c r="U144" s="42">
        <f t="shared" si="192"/>
        <v>2</v>
      </c>
      <c r="V144">
        <f t="shared" si="193"/>
        <v>0.4</v>
      </c>
      <c r="W144">
        <f t="shared" si="194"/>
        <v>0.6</v>
      </c>
      <c r="X144">
        <f t="shared" si="212"/>
        <v>0</v>
      </c>
      <c r="Y144" s="42">
        <f t="shared" si="213"/>
        <v>7.6111111111111098</v>
      </c>
      <c r="Z144">
        <f t="shared" si="195"/>
        <v>1.9200000000000004</v>
      </c>
      <c r="AA144">
        <f t="shared" si="214"/>
        <v>8.5711111111111098</v>
      </c>
      <c r="AB144" s="44">
        <f t="shared" si="196"/>
        <v>4.8264360493299403</v>
      </c>
      <c r="AC144" s="42">
        <v>0</v>
      </c>
      <c r="AD144">
        <f t="shared" si="197"/>
        <v>0.23294484938271601</v>
      </c>
      <c r="AE144" s="44">
        <f t="shared" si="215"/>
        <v>0.23294484938271601</v>
      </c>
      <c r="AF144" s="42">
        <f t="shared" si="198"/>
        <v>1.4613333333333334</v>
      </c>
      <c r="AG144" s="44">
        <f t="shared" si="199"/>
        <v>1.4613333333333334</v>
      </c>
      <c r="AH144" s="42">
        <f t="shared" si="200"/>
        <v>0</v>
      </c>
      <c r="AI144">
        <f t="shared" si="201"/>
        <v>2.9817763961325934</v>
      </c>
      <c r="AJ144" s="44">
        <f t="shared" si="216"/>
        <v>2.9817763961325934</v>
      </c>
      <c r="AK144" s="42">
        <f t="shared" si="202"/>
        <v>73.066666666666663</v>
      </c>
      <c r="AL144">
        <f t="shared" si="203"/>
        <v>160</v>
      </c>
      <c r="AM144" s="44">
        <f t="shared" si="217"/>
        <v>0.45666666666666667</v>
      </c>
      <c r="AN144" s="42">
        <f t="shared" si="218"/>
        <v>2</v>
      </c>
      <c r="AO144">
        <f t="shared" si="219"/>
        <v>0.60000000000000009</v>
      </c>
      <c r="AP144">
        <f t="shared" si="220"/>
        <v>0.76111111111111096</v>
      </c>
      <c r="AQ144">
        <f t="shared" si="221"/>
        <v>0.19200000000000003</v>
      </c>
      <c r="AR144">
        <f t="shared" si="236"/>
        <v>0.85711111111111093</v>
      </c>
      <c r="AS144" s="44">
        <f t="shared" si="237"/>
        <v>0.59111527985163259</v>
      </c>
      <c r="AT144" s="42"/>
      <c r="AU144">
        <f t="shared" si="222"/>
        <v>2.5025333333333335E-3</v>
      </c>
      <c r="AV144" s="44">
        <f t="shared" si="238"/>
        <v>2.5025333333333335E-3</v>
      </c>
      <c r="AW144" s="42">
        <f t="shared" si="223"/>
        <v>4</v>
      </c>
      <c r="AX144">
        <f t="shared" si="224"/>
        <v>0.13699999999999998</v>
      </c>
      <c r="AY144" s="44">
        <f t="shared" si="239"/>
        <v>4.1369999999999996</v>
      </c>
      <c r="AZ144" s="42">
        <f t="shared" si="204"/>
        <v>0</v>
      </c>
      <c r="BA144">
        <f t="shared" si="205"/>
        <v>0</v>
      </c>
      <c r="BB144">
        <f t="shared" si="240"/>
        <v>0</v>
      </c>
      <c r="BC144" s="44">
        <f t="shared" si="225"/>
        <v>0</v>
      </c>
      <c r="BD144" s="42">
        <v>0</v>
      </c>
      <c r="BE144">
        <f t="shared" si="226"/>
        <v>0</v>
      </c>
      <c r="BF144" s="44">
        <f t="shared" si="241"/>
        <v>0</v>
      </c>
      <c r="BG144" s="42">
        <f t="shared" si="227"/>
        <v>0</v>
      </c>
      <c r="BH144">
        <f t="shared" si="228"/>
        <v>0</v>
      </c>
      <c r="BI144" s="44">
        <f t="shared" si="229"/>
        <v>0</v>
      </c>
      <c r="BK144" s="42">
        <f t="shared" si="206"/>
        <v>0</v>
      </c>
      <c r="BL144">
        <f t="shared" si="207"/>
        <v>0</v>
      </c>
      <c r="BM144">
        <f t="shared" si="208"/>
        <v>0</v>
      </c>
      <c r="BN144" s="44">
        <f t="shared" ref="BN144:BN157" si="244">IF(EN_OUT_3=1,BK144/BL144,0)</f>
        <v>0</v>
      </c>
      <c r="BO144" s="42">
        <v>0</v>
      </c>
      <c r="BP144">
        <f t="shared" si="230"/>
        <v>0</v>
      </c>
      <c r="BQ144" s="44">
        <f t="shared" si="242"/>
        <v>0</v>
      </c>
      <c r="BR144" s="42">
        <f t="shared" si="231"/>
        <v>0</v>
      </c>
      <c r="BS144">
        <f t="shared" si="232"/>
        <v>0</v>
      </c>
      <c r="BT144" s="44">
        <f t="shared" si="243"/>
        <v>0</v>
      </c>
      <c r="BU144" s="42">
        <f t="shared" si="209"/>
        <v>0.13976690962962962</v>
      </c>
      <c r="BV144">
        <f t="shared" si="210"/>
        <v>0.23625000000000002</v>
      </c>
      <c r="BW144" s="44">
        <f t="shared" si="211"/>
        <v>1.0800000000000001E-2</v>
      </c>
      <c r="BX144">
        <f t="shared" si="233"/>
        <v>1.6942781827160494</v>
      </c>
      <c r="BY144">
        <f t="shared" si="234"/>
        <v>10.663707355144942</v>
      </c>
      <c r="BZ144">
        <f t="shared" si="235"/>
        <v>87.264230597647796</v>
      </c>
    </row>
    <row r="145" spans="17:78" x14ac:dyDescent="0.3">
      <c r="Q145">
        <v>138</v>
      </c>
      <c r="R145" s="42">
        <f t="shared" si="189"/>
        <v>73.599999999999994</v>
      </c>
      <c r="S145">
        <f t="shared" si="190"/>
        <v>24</v>
      </c>
      <c r="T145" s="44">
        <f t="shared" si="191"/>
        <v>3.0666666666666664</v>
      </c>
      <c r="U145" s="42">
        <f t="shared" si="192"/>
        <v>2</v>
      </c>
      <c r="V145">
        <f t="shared" si="193"/>
        <v>0.4</v>
      </c>
      <c r="W145">
        <f t="shared" si="194"/>
        <v>0.6</v>
      </c>
      <c r="X145">
        <f t="shared" si="212"/>
        <v>0</v>
      </c>
      <c r="Y145" s="42">
        <f t="shared" si="213"/>
        <v>7.6666666666666652</v>
      </c>
      <c r="Z145">
        <f t="shared" si="195"/>
        <v>1.9200000000000004</v>
      </c>
      <c r="AA145">
        <f t="shared" si="214"/>
        <v>8.6266666666666652</v>
      </c>
      <c r="AB145" s="44">
        <f t="shared" si="196"/>
        <v>4.8614803415329266</v>
      </c>
      <c r="AC145" s="42">
        <v>0</v>
      </c>
      <c r="AD145">
        <f t="shared" si="197"/>
        <v>0.23633991111111102</v>
      </c>
      <c r="AE145" s="44">
        <f t="shared" si="215"/>
        <v>0.23633991111111102</v>
      </c>
      <c r="AF145" s="42">
        <f t="shared" si="198"/>
        <v>1.472</v>
      </c>
      <c r="AG145" s="44">
        <f t="shared" si="199"/>
        <v>1.472</v>
      </c>
      <c r="AH145" s="42">
        <f t="shared" si="200"/>
        <v>0</v>
      </c>
      <c r="AI145">
        <f t="shared" si="201"/>
        <v>3.0035411873452396</v>
      </c>
      <c r="AJ145" s="44">
        <f t="shared" si="216"/>
        <v>3.0035411873452396</v>
      </c>
      <c r="AK145" s="42">
        <f t="shared" si="202"/>
        <v>73.599999999999994</v>
      </c>
      <c r="AL145">
        <f t="shared" si="203"/>
        <v>160</v>
      </c>
      <c r="AM145" s="44">
        <f t="shared" si="217"/>
        <v>0.45999999999999996</v>
      </c>
      <c r="AN145" s="42">
        <f t="shared" si="218"/>
        <v>2</v>
      </c>
      <c r="AO145">
        <f t="shared" si="219"/>
        <v>0.60000000000000009</v>
      </c>
      <c r="AP145">
        <f t="shared" si="220"/>
        <v>0.7666666666666665</v>
      </c>
      <c r="AQ145">
        <f t="shared" si="221"/>
        <v>0.19200000000000003</v>
      </c>
      <c r="AR145">
        <f t="shared" si="236"/>
        <v>0.86266666666666647</v>
      </c>
      <c r="AS145" s="44">
        <f t="shared" si="237"/>
        <v>0.59540731156634819</v>
      </c>
      <c r="AT145" s="42"/>
      <c r="AU145">
        <f t="shared" si="222"/>
        <v>2.5391999999999997E-3</v>
      </c>
      <c r="AV145" s="44">
        <f t="shared" si="238"/>
        <v>2.5391999999999997E-3</v>
      </c>
      <c r="AW145" s="42">
        <f t="shared" si="223"/>
        <v>4</v>
      </c>
      <c r="AX145">
        <f t="shared" si="224"/>
        <v>0.13799999999999998</v>
      </c>
      <c r="AY145" s="44">
        <f t="shared" si="239"/>
        <v>4.1379999999999999</v>
      </c>
      <c r="AZ145" s="42">
        <f t="shared" si="204"/>
        <v>0</v>
      </c>
      <c r="BA145">
        <f t="shared" si="205"/>
        <v>0</v>
      </c>
      <c r="BB145">
        <f t="shared" si="240"/>
        <v>0</v>
      </c>
      <c r="BC145" s="44">
        <f t="shared" si="225"/>
        <v>0</v>
      </c>
      <c r="BD145" s="42">
        <v>0</v>
      </c>
      <c r="BE145">
        <f t="shared" si="226"/>
        <v>0</v>
      </c>
      <c r="BF145" s="44">
        <f t="shared" si="241"/>
        <v>0</v>
      </c>
      <c r="BG145" s="42">
        <f t="shared" si="227"/>
        <v>0</v>
      </c>
      <c r="BH145">
        <f t="shared" si="228"/>
        <v>0</v>
      </c>
      <c r="BI145" s="44">
        <f t="shared" si="229"/>
        <v>0</v>
      </c>
      <c r="BK145" s="42">
        <f t="shared" si="206"/>
        <v>0</v>
      </c>
      <c r="BL145">
        <f t="shared" si="207"/>
        <v>0</v>
      </c>
      <c r="BM145">
        <f t="shared" si="208"/>
        <v>0</v>
      </c>
      <c r="BN145" s="44">
        <f t="shared" si="244"/>
        <v>0</v>
      </c>
      <c r="BO145" s="42">
        <v>0</v>
      </c>
      <c r="BP145">
        <f t="shared" si="230"/>
        <v>0</v>
      </c>
      <c r="BQ145" s="44">
        <f t="shared" si="242"/>
        <v>0</v>
      </c>
      <c r="BR145" s="42">
        <f t="shared" si="231"/>
        <v>0</v>
      </c>
      <c r="BS145">
        <f t="shared" si="232"/>
        <v>0</v>
      </c>
      <c r="BT145" s="44">
        <f t="shared" si="243"/>
        <v>0</v>
      </c>
      <c r="BU145" s="42">
        <f t="shared" si="209"/>
        <v>0.1418039466666666</v>
      </c>
      <c r="BV145">
        <f t="shared" si="210"/>
        <v>0.23625000000000002</v>
      </c>
      <c r="BW145" s="44">
        <f t="shared" si="211"/>
        <v>1.0800000000000001E-2</v>
      </c>
      <c r="BX145">
        <f t="shared" si="233"/>
        <v>1.7083399111111111</v>
      </c>
      <c r="BY145">
        <f t="shared" si="234"/>
        <v>10.713274245123017</v>
      </c>
      <c r="BZ145">
        <f t="shared" si="235"/>
        <v>87.293490448518895</v>
      </c>
    </row>
    <row r="146" spans="17:78" x14ac:dyDescent="0.3">
      <c r="Q146">
        <v>139</v>
      </c>
      <c r="R146" s="42">
        <f t="shared" si="189"/>
        <v>74.133333333333326</v>
      </c>
      <c r="S146">
        <f t="shared" si="190"/>
        <v>24</v>
      </c>
      <c r="T146" s="44">
        <f t="shared" si="191"/>
        <v>3.0888888888888886</v>
      </c>
      <c r="U146" s="42">
        <f t="shared" si="192"/>
        <v>2</v>
      </c>
      <c r="V146">
        <f t="shared" si="193"/>
        <v>0.4</v>
      </c>
      <c r="W146">
        <f t="shared" si="194"/>
        <v>0.6</v>
      </c>
      <c r="X146">
        <f t="shared" si="212"/>
        <v>0</v>
      </c>
      <c r="Y146" s="42">
        <f t="shared" si="213"/>
        <v>7.7222222222222205</v>
      </c>
      <c r="Z146">
        <f t="shared" si="195"/>
        <v>1.9200000000000004</v>
      </c>
      <c r="AA146">
        <f t="shared" si="214"/>
        <v>8.6822222222222205</v>
      </c>
      <c r="AB146" s="44">
        <f t="shared" si="196"/>
        <v>4.8965259541590385</v>
      </c>
      <c r="AC146" s="42">
        <v>0</v>
      </c>
      <c r="AD146">
        <f t="shared" si="197"/>
        <v>0.23975966419753081</v>
      </c>
      <c r="AE146" s="44">
        <f t="shared" si="215"/>
        <v>0.23975966419753081</v>
      </c>
      <c r="AF146" s="42">
        <f t="shared" si="198"/>
        <v>1.4826666666666666</v>
      </c>
      <c r="AG146" s="44">
        <f t="shared" si="199"/>
        <v>1.4826666666666666</v>
      </c>
      <c r="AH146" s="42">
        <f t="shared" si="200"/>
        <v>0</v>
      </c>
      <c r="AI146">
        <f t="shared" si="201"/>
        <v>3.0253059785578857</v>
      </c>
      <c r="AJ146" s="44">
        <f t="shared" si="216"/>
        <v>3.0253059785578857</v>
      </c>
      <c r="AK146" s="42">
        <f t="shared" si="202"/>
        <v>74.133333333333326</v>
      </c>
      <c r="AL146">
        <f t="shared" si="203"/>
        <v>160</v>
      </c>
      <c r="AM146" s="44">
        <f t="shared" si="217"/>
        <v>0.46333333333333326</v>
      </c>
      <c r="AN146" s="42">
        <f t="shared" si="218"/>
        <v>2</v>
      </c>
      <c r="AO146">
        <f t="shared" si="219"/>
        <v>0.60000000000000009</v>
      </c>
      <c r="AP146">
        <f t="shared" si="220"/>
        <v>0.77222222222222203</v>
      </c>
      <c r="AQ146">
        <f t="shared" si="221"/>
        <v>0.19200000000000003</v>
      </c>
      <c r="AR146">
        <f t="shared" si="236"/>
        <v>0.86822222222222201</v>
      </c>
      <c r="AS146" s="44">
        <f t="shared" si="237"/>
        <v>0.59969950499920888</v>
      </c>
      <c r="AT146" s="42"/>
      <c r="AU146">
        <f t="shared" si="222"/>
        <v>2.5761333333333327E-3</v>
      </c>
      <c r="AV146" s="44">
        <f t="shared" si="238"/>
        <v>2.5761333333333327E-3</v>
      </c>
      <c r="AW146" s="42">
        <f t="shared" si="223"/>
        <v>4</v>
      </c>
      <c r="AX146">
        <f t="shared" si="224"/>
        <v>0.13899999999999998</v>
      </c>
      <c r="AY146" s="44">
        <f t="shared" si="239"/>
        <v>4.1390000000000002</v>
      </c>
      <c r="AZ146" s="42">
        <f t="shared" si="204"/>
        <v>0</v>
      </c>
      <c r="BA146">
        <f t="shared" si="205"/>
        <v>0</v>
      </c>
      <c r="BB146">
        <f t="shared" si="240"/>
        <v>0</v>
      </c>
      <c r="BC146" s="44">
        <f t="shared" si="225"/>
        <v>0</v>
      </c>
      <c r="BD146" s="42">
        <v>0</v>
      </c>
      <c r="BE146">
        <f t="shared" si="226"/>
        <v>0</v>
      </c>
      <c r="BF146" s="44">
        <f t="shared" si="241"/>
        <v>0</v>
      </c>
      <c r="BG146" s="42">
        <f t="shared" si="227"/>
        <v>0</v>
      </c>
      <c r="BH146">
        <f t="shared" si="228"/>
        <v>0</v>
      </c>
      <c r="BI146" s="44">
        <f t="shared" si="229"/>
        <v>0</v>
      </c>
      <c r="BK146" s="42">
        <f t="shared" si="206"/>
        <v>0</v>
      </c>
      <c r="BL146">
        <f t="shared" si="207"/>
        <v>0</v>
      </c>
      <c r="BM146">
        <f t="shared" si="208"/>
        <v>0</v>
      </c>
      <c r="BN146" s="44">
        <f t="shared" si="244"/>
        <v>0</v>
      </c>
      <c r="BO146" s="42">
        <v>0</v>
      </c>
      <c r="BP146">
        <f t="shared" si="230"/>
        <v>0</v>
      </c>
      <c r="BQ146" s="44">
        <f t="shared" si="242"/>
        <v>0</v>
      </c>
      <c r="BR146" s="42">
        <f t="shared" si="231"/>
        <v>0</v>
      </c>
      <c r="BS146">
        <f t="shared" si="232"/>
        <v>0</v>
      </c>
      <c r="BT146" s="44">
        <f t="shared" si="243"/>
        <v>0</v>
      </c>
      <c r="BU146" s="42">
        <f t="shared" si="209"/>
        <v>0.14385579851851849</v>
      </c>
      <c r="BV146">
        <f t="shared" si="210"/>
        <v>0.23625000000000002</v>
      </c>
      <c r="BW146" s="44">
        <f t="shared" si="211"/>
        <v>1.0800000000000001E-2</v>
      </c>
      <c r="BX146">
        <f t="shared" si="233"/>
        <v>1.7224263308641974</v>
      </c>
      <c r="BY146">
        <f t="shared" si="234"/>
        <v>10.7628809079406</v>
      </c>
      <c r="BZ146">
        <f t="shared" si="235"/>
        <v>87.322307591534482</v>
      </c>
    </row>
    <row r="147" spans="17:78" x14ac:dyDescent="0.3">
      <c r="Q147">
        <v>140</v>
      </c>
      <c r="R147" s="42">
        <f t="shared" si="189"/>
        <v>74.666666666666671</v>
      </c>
      <c r="S147">
        <f t="shared" si="190"/>
        <v>24</v>
      </c>
      <c r="T147" s="44">
        <f t="shared" si="191"/>
        <v>3.1111111111111112</v>
      </c>
      <c r="U147" s="42">
        <f t="shared" si="192"/>
        <v>2</v>
      </c>
      <c r="V147">
        <f t="shared" si="193"/>
        <v>0.4</v>
      </c>
      <c r="W147">
        <f t="shared" si="194"/>
        <v>0.6</v>
      </c>
      <c r="X147">
        <f t="shared" si="212"/>
        <v>0</v>
      </c>
      <c r="Y147" s="42">
        <f t="shared" si="213"/>
        <v>7.7777777777777768</v>
      </c>
      <c r="Z147">
        <f t="shared" si="195"/>
        <v>1.9200000000000004</v>
      </c>
      <c r="AA147">
        <f t="shared" si="214"/>
        <v>8.7377777777777776</v>
      </c>
      <c r="AB147" s="44">
        <f t="shared" si="196"/>
        <v>4.9315728590580035</v>
      </c>
      <c r="AC147" s="42">
        <v>0</v>
      </c>
      <c r="AD147">
        <f t="shared" si="197"/>
        <v>0.24320410864197531</v>
      </c>
      <c r="AE147" s="44">
        <f t="shared" si="215"/>
        <v>0.24320410864197531</v>
      </c>
      <c r="AF147" s="42">
        <f t="shared" si="198"/>
        <v>1.4933333333333334</v>
      </c>
      <c r="AG147" s="44">
        <f t="shared" si="199"/>
        <v>1.4933333333333334</v>
      </c>
      <c r="AH147" s="42">
        <f t="shared" si="200"/>
        <v>0</v>
      </c>
      <c r="AI147">
        <f t="shared" si="201"/>
        <v>3.0470707697705333</v>
      </c>
      <c r="AJ147" s="44">
        <f t="shared" si="216"/>
        <v>3.0470707697705333</v>
      </c>
      <c r="AK147" s="42">
        <f t="shared" si="202"/>
        <v>74.666666666666671</v>
      </c>
      <c r="AL147">
        <f t="shared" si="203"/>
        <v>160</v>
      </c>
      <c r="AM147" s="44">
        <f t="shared" si="217"/>
        <v>0.46666666666666667</v>
      </c>
      <c r="AN147" s="42">
        <f t="shared" si="218"/>
        <v>2</v>
      </c>
      <c r="AO147">
        <f t="shared" si="219"/>
        <v>0.6000000000000002</v>
      </c>
      <c r="AP147">
        <f t="shared" si="220"/>
        <v>0.77777777777777757</v>
      </c>
      <c r="AQ147">
        <f t="shared" si="221"/>
        <v>0.19200000000000006</v>
      </c>
      <c r="AR147">
        <f t="shared" si="236"/>
        <v>0.87377777777777754</v>
      </c>
      <c r="AS147" s="44">
        <f t="shared" si="237"/>
        <v>0.60399185670252442</v>
      </c>
      <c r="AT147" s="42"/>
      <c r="AU147">
        <f t="shared" si="222"/>
        <v>2.6133333333333334E-3</v>
      </c>
      <c r="AV147" s="44">
        <f t="shared" si="238"/>
        <v>2.6133333333333334E-3</v>
      </c>
      <c r="AW147" s="42">
        <f t="shared" si="223"/>
        <v>4</v>
      </c>
      <c r="AX147">
        <f t="shared" si="224"/>
        <v>0.13999999999999999</v>
      </c>
      <c r="AY147" s="44">
        <f t="shared" si="239"/>
        <v>4.1399999999999997</v>
      </c>
      <c r="AZ147" s="42">
        <f t="shared" si="204"/>
        <v>0</v>
      </c>
      <c r="BA147">
        <f t="shared" si="205"/>
        <v>0</v>
      </c>
      <c r="BB147">
        <f t="shared" si="240"/>
        <v>0</v>
      </c>
      <c r="BC147" s="44">
        <f t="shared" si="225"/>
        <v>0</v>
      </c>
      <c r="BD147" s="42">
        <v>0</v>
      </c>
      <c r="BE147">
        <f t="shared" si="226"/>
        <v>0</v>
      </c>
      <c r="BF147" s="44">
        <f t="shared" si="241"/>
        <v>0</v>
      </c>
      <c r="BG147" s="42">
        <f t="shared" si="227"/>
        <v>0</v>
      </c>
      <c r="BH147">
        <f t="shared" si="228"/>
        <v>0</v>
      </c>
      <c r="BI147" s="44">
        <f t="shared" si="229"/>
        <v>0</v>
      </c>
      <c r="BK147" s="42">
        <f t="shared" si="206"/>
        <v>0</v>
      </c>
      <c r="BL147">
        <f t="shared" si="207"/>
        <v>0</v>
      </c>
      <c r="BM147">
        <f t="shared" si="208"/>
        <v>0</v>
      </c>
      <c r="BN147" s="44">
        <f t="shared" si="244"/>
        <v>0</v>
      </c>
      <c r="BO147" s="42">
        <v>0</v>
      </c>
      <c r="BP147">
        <f t="shared" si="230"/>
        <v>0</v>
      </c>
      <c r="BQ147" s="44">
        <f t="shared" si="242"/>
        <v>0</v>
      </c>
      <c r="BR147" s="42">
        <f t="shared" si="231"/>
        <v>0</v>
      </c>
      <c r="BS147">
        <f t="shared" si="232"/>
        <v>0</v>
      </c>
      <c r="BT147" s="44">
        <f t="shared" si="243"/>
        <v>0</v>
      </c>
      <c r="BU147" s="42">
        <f t="shared" si="209"/>
        <v>0.14592246518518517</v>
      </c>
      <c r="BV147">
        <f t="shared" si="210"/>
        <v>0.23625000000000002</v>
      </c>
      <c r="BW147" s="44">
        <f t="shared" si="211"/>
        <v>1.0800000000000001E-2</v>
      </c>
      <c r="BX147">
        <f t="shared" si="233"/>
        <v>1.7365374419753088</v>
      </c>
      <c r="BY147">
        <f t="shared" si="234"/>
        <v>10.812527343597695</v>
      </c>
      <c r="BZ147">
        <f t="shared" si="235"/>
        <v>87.350691043835397</v>
      </c>
    </row>
    <row r="148" spans="17:78" x14ac:dyDescent="0.3">
      <c r="Q148">
        <v>141</v>
      </c>
      <c r="R148" s="42">
        <f t="shared" si="189"/>
        <v>75.2</v>
      </c>
      <c r="S148">
        <f t="shared" si="190"/>
        <v>24</v>
      </c>
      <c r="T148" s="44">
        <f t="shared" si="191"/>
        <v>3.1333333333333333</v>
      </c>
      <c r="U148" s="42">
        <f t="shared" si="192"/>
        <v>2</v>
      </c>
      <c r="V148">
        <f t="shared" si="193"/>
        <v>0.4</v>
      </c>
      <c r="W148">
        <f t="shared" si="194"/>
        <v>0.6</v>
      </c>
      <c r="X148">
        <f t="shared" si="212"/>
        <v>0</v>
      </c>
      <c r="Y148" s="42">
        <f t="shared" si="213"/>
        <v>7.8333333333333321</v>
      </c>
      <c r="Z148">
        <f t="shared" si="195"/>
        <v>1.9200000000000004</v>
      </c>
      <c r="AA148">
        <f t="shared" si="214"/>
        <v>8.793333333333333</v>
      </c>
      <c r="AB148" s="44">
        <f t="shared" si="196"/>
        <v>4.9666210288730959</v>
      </c>
      <c r="AC148" s="42">
        <v>0</v>
      </c>
      <c r="AD148">
        <f t="shared" si="197"/>
        <v>0.24667324444444449</v>
      </c>
      <c r="AE148" s="44">
        <f t="shared" si="215"/>
        <v>0.24667324444444449</v>
      </c>
      <c r="AF148" s="42">
        <f t="shared" si="198"/>
        <v>1.504</v>
      </c>
      <c r="AG148" s="44">
        <f t="shared" si="199"/>
        <v>1.504</v>
      </c>
      <c r="AH148" s="42">
        <f t="shared" si="200"/>
        <v>0</v>
      </c>
      <c r="AI148">
        <f t="shared" si="201"/>
        <v>3.0688355609831794</v>
      </c>
      <c r="AJ148" s="44">
        <f t="shared" si="216"/>
        <v>3.0688355609831794</v>
      </c>
      <c r="AK148" s="42">
        <f t="shared" si="202"/>
        <v>75.2</v>
      </c>
      <c r="AL148">
        <f t="shared" si="203"/>
        <v>160</v>
      </c>
      <c r="AM148" s="44">
        <f t="shared" si="217"/>
        <v>0.47000000000000003</v>
      </c>
      <c r="AN148" s="42">
        <f t="shared" si="218"/>
        <v>2</v>
      </c>
      <c r="AO148">
        <f t="shared" si="219"/>
        <v>0.60000000000000009</v>
      </c>
      <c r="AP148">
        <f t="shared" si="220"/>
        <v>0.78333333333333321</v>
      </c>
      <c r="AQ148">
        <f t="shared" si="221"/>
        <v>0.19200000000000003</v>
      </c>
      <c r="AR148">
        <f t="shared" si="236"/>
        <v>0.87933333333333319</v>
      </c>
      <c r="AS148" s="44">
        <f t="shared" si="237"/>
        <v>0.60828436332579405</v>
      </c>
      <c r="AT148" s="42"/>
      <c r="AU148">
        <f t="shared" si="222"/>
        <v>2.6508000000000005E-3</v>
      </c>
      <c r="AV148" s="44">
        <f t="shared" si="238"/>
        <v>2.6508000000000005E-3</v>
      </c>
      <c r="AW148" s="42">
        <f t="shared" si="223"/>
        <v>4</v>
      </c>
      <c r="AX148">
        <f t="shared" si="224"/>
        <v>0.14100000000000001</v>
      </c>
      <c r="AY148" s="44">
        <f t="shared" si="239"/>
        <v>4.141</v>
      </c>
      <c r="AZ148" s="42">
        <f t="shared" si="204"/>
        <v>0</v>
      </c>
      <c r="BA148">
        <f t="shared" si="205"/>
        <v>0</v>
      </c>
      <c r="BB148">
        <f t="shared" si="240"/>
        <v>0</v>
      </c>
      <c r="BC148" s="44">
        <f t="shared" si="225"/>
        <v>0</v>
      </c>
      <c r="BD148" s="42">
        <v>0</v>
      </c>
      <c r="BE148">
        <f t="shared" si="226"/>
        <v>0</v>
      </c>
      <c r="BF148" s="44">
        <f t="shared" si="241"/>
        <v>0</v>
      </c>
      <c r="BG148" s="42">
        <f t="shared" si="227"/>
        <v>0</v>
      </c>
      <c r="BH148">
        <f t="shared" si="228"/>
        <v>0</v>
      </c>
      <c r="BI148" s="44">
        <f t="shared" si="229"/>
        <v>0</v>
      </c>
      <c r="BK148" s="42">
        <f t="shared" si="206"/>
        <v>0</v>
      </c>
      <c r="BL148">
        <f t="shared" si="207"/>
        <v>0</v>
      </c>
      <c r="BM148">
        <f t="shared" si="208"/>
        <v>0</v>
      </c>
      <c r="BN148" s="44">
        <f t="shared" si="244"/>
        <v>0</v>
      </c>
      <c r="BO148" s="42">
        <v>0</v>
      </c>
      <c r="BP148">
        <f t="shared" si="230"/>
        <v>0</v>
      </c>
      <c r="BQ148" s="44">
        <f t="shared" si="242"/>
        <v>0</v>
      </c>
      <c r="BR148" s="42">
        <f t="shared" si="231"/>
        <v>0</v>
      </c>
      <c r="BS148">
        <f t="shared" si="232"/>
        <v>0</v>
      </c>
      <c r="BT148" s="44">
        <f t="shared" si="243"/>
        <v>0</v>
      </c>
      <c r="BU148" s="42">
        <f t="shared" si="209"/>
        <v>0.14800394666666669</v>
      </c>
      <c r="BV148">
        <f t="shared" si="210"/>
        <v>0.23625000000000002</v>
      </c>
      <c r="BW148" s="44">
        <f t="shared" si="211"/>
        <v>1.0800000000000001E-2</v>
      </c>
      <c r="BX148">
        <f t="shared" si="233"/>
        <v>1.7506732444444446</v>
      </c>
      <c r="BY148">
        <f t="shared" si="234"/>
        <v>10.862213552094289</v>
      </c>
      <c r="BZ148">
        <f t="shared" si="235"/>
        <v>87.378649579447213</v>
      </c>
    </row>
    <row r="149" spans="17:78" x14ac:dyDescent="0.3">
      <c r="Q149">
        <v>142</v>
      </c>
      <c r="R149" s="42">
        <f t="shared" si="189"/>
        <v>75.733333333333334</v>
      </c>
      <c r="S149">
        <f t="shared" si="190"/>
        <v>24</v>
      </c>
      <c r="T149" s="44">
        <f t="shared" si="191"/>
        <v>3.1555555555555554</v>
      </c>
      <c r="U149" s="42">
        <f t="shared" si="192"/>
        <v>2</v>
      </c>
      <c r="V149">
        <f t="shared" si="193"/>
        <v>0.4</v>
      </c>
      <c r="W149">
        <f t="shared" si="194"/>
        <v>0.6</v>
      </c>
      <c r="X149">
        <f t="shared" si="212"/>
        <v>0</v>
      </c>
      <c r="Y149" s="42">
        <f t="shared" si="213"/>
        <v>7.8888888888888875</v>
      </c>
      <c r="Z149">
        <f t="shared" si="195"/>
        <v>1.9200000000000004</v>
      </c>
      <c r="AA149">
        <f t="shared" si="214"/>
        <v>8.8488888888888884</v>
      </c>
      <c r="AB149" s="44">
        <f t="shared" si="196"/>
        <v>5.0016704370134013</v>
      </c>
      <c r="AC149" s="42">
        <v>0</v>
      </c>
      <c r="AD149">
        <f t="shared" si="197"/>
        <v>0.25016707160493828</v>
      </c>
      <c r="AE149" s="44">
        <f t="shared" si="215"/>
        <v>0.25016707160493828</v>
      </c>
      <c r="AF149" s="42">
        <f t="shared" si="198"/>
        <v>1.5146666666666668</v>
      </c>
      <c r="AG149" s="44">
        <f t="shared" si="199"/>
        <v>1.5146666666666668</v>
      </c>
      <c r="AH149" s="42">
        <f t="shared" si="200"/>
        <v>0</v>
      </c>
      <c r="AI149">
        <f t="shared" si="201"/>
        <v>3.0906003521958261</v>
      </c>
      <c r="AJ149" s="44">
        <f t="shared" si="216"/>
        <v>3.0906003521958261</v>
      </c>
      <c r="AK149" s="42">
        <f t="shared" si="202"/>
        <v>75.733333333333334</v>
      </c>
      <c r="AL149">
        <f t="shared" si="203"/>
        <v>160</v>
      </c>
      <c r="AM149" s="44">
        <f t="shared" si="217"/>
        <v>0.47333333333333333</v>
      </c>
      <c r="AN149" s="42">
        <f t="shared" si="218"/>
        <v>2</v>
      </c>
      <c r="AO149">
        <f t="shared" si="219"/>
        <v>0.60000000000000009</v>
      </c>
      <c r="AP149">
        <f t="shared" si="220"/>
        <v>0.78888888888888875</v>
      </c>
      <c r="AQ149">
        <f t="shared" si="221"/>
        <v>0.19200000000000003</v>
      </c>
      <c r="AR149">
        <f t="shared" si="236"/>
        <v>0.88488888888888872</v>
      </c>
      <c r="AS149" s="44">
        <f t="shared" si="237"/>
        <v>0.61257702161230898</v>
      </c>
      <c r="AT149" s="42"/>
      <c r="AU149">
        <f t="shared" si="222"/>
        <v>2.6885333333333335E-3</v>
      </c>
      <c r="AV149" s="44">
        <f t="shared" si="238"/>
        <v>2.6885333333333335E-3</v>
      </c>
      <c r="AW149" s="42">
        <f t="shared" si="223"/>
        <v>4</v>
      </c>
      <c r="AX149">
        <f t="shared" si="224"/>
        <v>0.14199999999999999</v>
      </c>
      <c r="AY149" s="44">
        <f t="shared" si="239"/>
        <v>4.1420000000000003</v>
      </c>
      <c r="AZ149" s="42">
        <f t="shared" si="204"/>
        <v>0</v>
      </c>
      <c r="BA149">
        <f t="shared" si="205"/>
        <v>0</v>
      </c>
      <c r="BB149">
        <f t="shared" si="240"/>
        <v>0</v>
      </c>
      <c r="BC149" s="44">
        <f t="shared" si="225"/>
        <v>0</v>
      </c>
      <c r="BD149" s="42">
        <v>0</v>
      </c>
      <c r="BE149">
        <f t="shared" si="226"/>
        <v>0</v>
      </c>
      <c r="BF149" s="44">
        <f t="shared" si="241"/>
        <v>0</v>
      </c>
      <c r="BG149" s="42">
        <f t="shared" si="227"/>
        <v>0</v>
      </c>
      <c r="BH149">
        <f t="shared" si="228"/>
        <v>0</v>
      </c>
      <c r="BI149" s="44">
        <f t="shared" si="229"/>
        <v>0</v>
      </c>
      <c r="BK149" s="42">
        <f t="shared" si="206"/>
        <v>0</v>
      </c>
      <c r="BL149">
        <f t="shared" si="207"/>
        <v>0</v>
      </c>
      <c r="BM149">
        <f t="shared" si="208"/>
        <v>0</v>
      </c>
      <c r="BN149" s="44">
        <f t="shared" si="244"/>
        <v>0</v>
      </c>
      <c r="BO149" s="42">
        <v>0</v>
      </c>
      <c r="BP149">
        <f t="shared" si="230"/>
        <v>0</v>
      </c>
      <c r="BQ149" s="44">
        <f t="shared" si="242"/>
        <v>0</v>
      </c>
      <c r="BR149" s="42">
        <f t="shared" si="231"/>
        <v>0</v>
      </c>
      <c r="BS149">
        <f t="shared" si="232"/>
        <v>0</v>
      </c>
      <c r="BT149" s="44">
        <f t="shared" si="243"/>
        <v>0</v>
      </c>
      <c r="BU149" s="42">
        <f t="shared" si="209"/>
        <v>0.15010024296296298</v>
      </c>
      <c r="BV149">
        <f t="shared" si="210"/>
        <v>0.23625000000000002</v>
      </c>
      <c r="BW149" s="44">
        <f t="shared" si="211"/>
        <v>1.0800000000000001E-2</v>
      </c>
      <c r="BX149">
        <f t="shared" si="233"/>
        <v>1.7648337382716051</v>
      </c>
      <c r="BY149">
        <f t="shared" si="234"/>
        <v>10.911939533430393</v>
      </c>
      <c r="BZ149">
        <f t="shared" si="235"/>
        <v>87.406191737418936</v>
      </c>
    </row>
    <row r="150" spans="17:78" x14ac:dyDescent="0.3">
      <c r="Q150">
        <v>143</v>
      </c>
      <c r="R150" s="42">
        <f t="shared" si="189"/>
        <v>76.266666666666666</v>
      </c>
      <c r="S150">
        <f t="shared" si="190"/>
        <v>24</v>
      </c>
      <c r="T150" s="44">
        <f t="shared" si="191"/>
        <v>3.1777777777777776</v>
      </c>
      <c r="U150" s="42">
        <f t="shared" si="192"/>
        <v>2</v>
      </c>
      <c r="V150">
        <f t="shared" si="193"/>
        <v>0.4</v>
      </c>
      <c r="W150">
        <f t="shared" si="194"/>
        <v>0.6</v>
      </c>
      <c r="X150">
        <f t="shared" si="212"/>
        <v>0</v>
      </c>
      <c r="Y150" s="42">
        <f t="shared" si="213"/>
        <v>7.9444444444444429</v>
      </c>
      <c r="Z150">
        <f t="shared" si="195"/>
        <v>1.9200000000000004</v>
      </c>
      <c r="AA150">
        <f t="shared" si="214"/>
        <v>8.9044444444444437</v>
      </c>
      <c r="AB150" s="44">
        <f t="shared" si="196"/>
        <v>5.0367210576272408</v>
      </c>
      <c r="AC150" s="42">
        <v>0</v>
      </c>
      <c r="AD150">
        <f t="shared" si="197"/>
        <v>0.25368559012345671</v>
      </c>
      <c r="AE150" s="44">
        <f t="shared" si="215"/>
        <v>0.25368559012345671</v>
      </c>
      <c r="AF150" s="42">
        <f t="shared" si="198"/>
        <v>1.5253333333333334</v>
      </c>
      <c r="AG150" s="44">
        <f t="shared" si="199"/>
        <v>1.5253333333333334</v>
      </c>
      <c r="AH150" s="42">
        <f t="shared" si="200"/>
        <v>0</v>
      </c>
      <c r="AI150">
        <f t="shared" si="201"/>
        <v>3.1123651434084731</v>
      </c>
      <c r="AJ150" s="44">
        <f t="shared" si="216"/>
        <v>3.1123651434084731</v>
      </c>
      <c r="AK150" s="42">
        <f t="shared" si="202"/>
        <v>76.266666666666666</v>
      </c>
      <c r="AL150">
        <f t="shared" si="203"/>
        <v>160</v>
      </c>
      <c r="AM150" s="44">
        <f t="shared" si="217"/>
        <v>0.47666666666666668</v>
      </c>
      <c r="AN150" s="42">
        <f t="shared" si="218"/>
        <v>2</v>
      </c>
      <c r="AO150">
        <f t="shared" si="219"/>
        <v>0.60000000000000009</v>
      </c>
      <c r="AP150">
        <f t="shared" si="220"/>
        <v>0.7944444444444444</v>
      </c>
      <c r="AQ150">
        <f t="shared" si="221"/>
        <v>0.19200000000000003</v>
      </c>
      <c r="AR150">
        <f t="shared" si="236"/>
        <v>0.89044444444444437</v>
      </c>
      <c r="AS150" s="44">
        <f t="shared" si="237"/>
        <v>0.61686982839589843</v>
      </c>
      <c r="AT150" s="42"/>
      <c r="AU150">
        <f t="shared" si="222"/>
        <v>2.7265333333333333E-3</v>
      </c>
      <c r="AV150" s="44">
        <f t="shared" si="238"/>
        <v>2.7265333333333333E-3</v>
      </c>
      <c r="AW150" s="42">
        <f t="shared" si="223"/>
        <v>4</v>
      </c>
      <c r="AX150">
        <f t="shared" si="224"/>
        <v>0.14299999999999999</v>
      </c>
      <c r="AY150" s="44">
        <f t="shared" si="239"/>
        <v>4.1429999999999998</v>
      </c>
      <c r="AZ150" s="42">
        <f t="shared" si="204"/>
        <v>0</v>
      </c>
      <c r="BA150">
        <f t="shared" si="205"/>
        <v>0</v>
      </c>
      <c r="BB150">
        <f t="shared" si="240"/>
        <v>0</v>
      </c>
      <c r="BC150" s="44">
        <f t="shared" si="225"/>
        <v>0</v>
      </c>
      <c r="BD150" s="42">
        <v>0</v>
      </c>
      <c r="BE150">
        <f t="shared" si="226"/>
        <v>0</v>
      </c>
      <c r="BF150" s="44">
        <f t="shared" si="241"/>
        <v>0</v>
      </c>
      <c r="BG150" s="42">
        <f t="shared" si="227"/>
        <v>0</v>
      </c>
      <c r="BH150">
        <f t="shared" si="228"/>
        <v>0</v>
      </c>
      <c r="BI150" s="44">
        <f t="shared" si="229"/>
        <v>0</v>
      </c>
      <c r="BK150" s="42">
        <f t="shared" si="206"/>
        <v>0</v>
      </c>
      <c r="BL150">
        <f t="shared" si="207"/>
        <v>0</v>
      </c>
      <c r="BM150">
        <f t="shared" si="208"/>
        <v>0</v>
      </c>
      <c r="BN150" s="44">
        <f t="shared" si="244"/>
        <v>0</v>
      </c>
      <c r="BO150" s="42">
        <v>0</v>
      </c>
      <c r="BP150">
        <f t="shared" si="230"/>
        <v>0</v>
      </c>
      <c r="BQ150" s="44">
        <f t="shared" si="242"/>
        <v>0</v>
      </c>
      <c r="BR150" s="42">
        <f t="shared" si="231"/>
        <v>0</v>
      </c>
      <c r="BS150">
        <f t="shared" si="232"/>
        <v>0</v>
      </c>
      <c r="BT150" s="44">
        <f t="shared" si="243"/>
        <v>0</v>
      </c>
      <c r="BU150" s="42">
        <f t="shared" si="209"/>
        <v>0.15221135407407402</v>
      </c>
      <c r="BV150">
        <f t="shared" si="210"/>
        <v>0.23625000000000002</v>
      </c>
      <c r="BW150" s="44">
        <f t="shared" si="211"/>
        <v>1.0800000000000001E-2</v>
      </c>
      <c r="BX150">
        <f t="shared" si="233"/>
        <v>1.7790189234567901</v>
      </c>
      <c r="BY150">
        <f t="shared" si="234"/>
        <v>10.961705287606005</v>
      </c>
      <c r="BZ150">
        <f t="shared" si="235"/>
        <v>87.433325829636701</v>
      </c>
    </row>
    <row r="151" spans="17:78" x14ac:dyDescent="0.3">
      <c r="Q151">
        <v>144</v>
      </c>
      <c r="R151" s="42">
        <f t="shared" si="189"/>
        <v>76.8</v>
      </c>
      <c r="S151">
        <f t="shared" si="190"/>
        <v>24</v>
      </c>
      <c r="T151" s="44">
        <f t="shared" si="191"/>
        <v>3.1999999999999997</v>
      </c>
      <c r="U151" s="42">
        <f t="shared" si="192"/>
        <v>2</v>
      </c>
      <c r="V151">
        <f t="shared" si="193"/>
        <v>0.4</v>
      </c>
      <c r="W151">
        <f t="shared" si="194"/>
        <v>0.6</v>
      </c>
      <c r="X151">
        <f t="shared" si="212"/>
        <v>0</v>
      </c>
      <c r="Y151" s="42">
        <f t="shared" si="213"/>
        <v>7.9999999999999982</v>
      </c>
      <c r="Z151">
        <f t="shared" si="195"/>
        <v>1.9200000000000004</v>
      </c>
      <c r="AA151">
        <f t="shared" si="214"/>
        <v>8.9599999999999991</v>
      </c>
      <c r="AB151" s="44">
        <f t="shared" si="196"/>
        <v>5.0717728655766914</v>
      </c>
      <c r="AC151" s="42">
        <v>0</v>
      </c>
      <c r="AD151">
        <f t="shared" si="197"/>
        <v>0.25722880000000004</v>
      </c>
      <c r="AE151" s="44">
        <f t="shared" si="215"/>
        <v>0.25722880000000004</v>
      </c>
      <c r="AF151" s="42">
        <f t="shared" si="198"/>
        <v>1.536</v>
      </c>
      <c r="AG151" s="44">
        <f t="shared" si="199"/>
        <v>1.536</v>
      </c>
      <c r="AH151" s="42">
        <f t="shared" si="200"/>
        <v>0</v>
      </c>
      <c r="AI151">
        <f t="shared" si="201"/>
        <v>3.1341299346211193</v>
      </c>
      <c r="AJ151" s="44">
        <f t="shared" si="216"/>
        <v>3.1341299346211193</v>
      </c>
      <c r="AK151" s="42">
        <f t="shared" si="202"/>
        <v>76.8</v>
      </c>
      <c r="AL151">
        <f t="shared" si="203"/>
        <v>160</v>
      </c>
      <c r="AM151" s="44">
        <f t="shared" si="217"/>
        <v>0.48</v>
      </c>
      <c r="AN151" s="42">
        <f t="shared" si="218"/>
        <v>2</v>
      </c>
      <c r="AO151">
        <f t="shared" si="219"/>
        <v>0.60000000000000009</v>
      </c>
      <c r="AP151">
        <f t="shared" si="220"/>
        <v>0.79999999999999982</v>
      </c>
      <c r="AQ151">
        <f t="shared" si="221"/>
        <v>0.19200000000000003</v>
      </c>
      <c r="AR151">
        <f t="shared" si="236"/>
        <v>0.8959999999999998</v>
      </c>
      <c r="AS151" s="44">
        <f t="shared" si="237"/>
        <v>0.62116278059780738</v>
      </c>
      <c r="AT151" s="42"/>
      <c r="AU151">
        <f t="shared" si="222"/>
        <v>2.7648E-3</v>
      </c>
      <c r="AV151" s="44">
        <f t="shared" si="238"/>
        <v>2.7648E-3</v>
      </c>
      <c r="AW151" s="42">
        <f t="shared" si="223"/>
        <v>4</v>
      </c>
      <c r="AX151">
        <f t="shared" si="224"/>
        <v>0.14399999999999999</v>
      </c>
      <c r="AY151" s="44">
        <f t="shared" si="239"/>
        <v>4.1440000000000001</v>
      </c>
      <c r="AZ151" s="42">
        <f t="shared" si="204"/>
        <v>0</v>
      </c>
      <c r="BA151">
        <f t="shared" si="205"/>
        <v>0</v>
      </c>
      <c r="BB151">
        <f t="shared" si="240"/>
        <v>0</v>
      </c>
      <c r="BC151" s="44">
        <f t="shared" si="225"/>
        <v>0</v>
      </c>
      <c r="BD151" s="42">
        <v>0</v>
      </c>
      <c r="BE151">
        <f t="shared" si="226"/>
        <v>0</v>
      </c>
      <c r="BF151" s="44">
        <f t="shared" si="241"/>
        <v>0</v>
      </c>
      <c r="BG151" s="42">
        <f t="shared" si="227"/>
        <v>0</v>
      </c>
      <c r="BH151">
        <f t="shared" si="228"/>
        <v>0</v>
      </c>
      <c r="BI151" s="44">
        <f t="shared" si="229"/>
        <v>0</v>
      </c>
      <c r="BK151" s="42">
        <f t="shared" si="206"/>
        <v>0</v>
      </c>
      <c r="BL151">
        <f t="shared" si="207"/>
        <v>0</v>
      </c>
      <c r="BM151">
        <f t="shared" si="208"/>
        <v>0</v>
      </c>
      <c r="BN151" s="44">
        <f t="shared" si="244"/>
        <v>0</v>
      </c>
      <c r="BO151" s="42">
        <v>0</v>
      </c>
      <c r="BP151">
        <f t="shared" si="230"/>
        <v>0</v>
      </c>
      <c r="BQ151" s="44">
        <f t="shared" si="242"/>
        <v>0</v>
      </c>
      <c r="BR151" s="42">
        <f t="shared" si="231"/>
        <v>0</v>
      </c>
      <c r="BS151">
        <f t="shared" si="232"/>
        <v>0</v>
      </c>
      <c r="BT151" s="44">
        <f t="shared" si="243"/>
        <v>0</v>
      </c>
      <c r="BU151" s="42">
        <f t="shared" si="209"/>
        <v>0.15433728000000002</v>
      </c>
      <c r="BV151">
        <f t="shared" si="210"/>
        <v>0.23625000000000002</v>
      </c>
      <c r="BW151" s="44">
        <f t="shared" si="211"/>
        <v>1.0800000000000001E-2</v>
      </c>
      <c r="BX151">
        <f t="shared" si="233"/>
        <v>1.7932288000000001</v>
      </c>
      <c r="BY151">
        <f t="shared" si="234"/>
        <v>11.011510814621118</v>
      </c>
      <c r="BZ151">
        <f t="shared" si="235"/>
        <v>87.460059948327824</v>
      </c>
    </row>
    <row r="152" spans="17:78" x14ac:dyDescent="0.3">
      <c r="Q152">
        <v>145</v>
      </c>
      <c r="R152" s="42">
        <f t="shared" si="189"/>
        <v>77.333333333333329</v>
      </c>
      <c r="S152">
        <f t="shared" si="190"/>
        <v>24</v>
      </c>
      <c r="T152" s="44">
        <f t="shared" si="191"/>
        <v>3.2222222222222219</v>
      </c>
      <c r="U152" s="42">
        <f t="shared" si="192"/>
        <v>2</v>
      </c>
      <c r="V152">
        <f t="shared" si="193"/>
        <v>0.4</v>
      </c>
      <c r="W152">
        <f t="shared" si="194"/>
        <v>0.6</v>
      </c>
      <c r="X152">
        <f t="shared" si="212"/>
        <v>0</v>
      </c>
      <c r="Y152" s="42">
        <f t="shared" si="213"/>
        <v>8.0555555555555536</v>
      </c>
      <c r="Z152">
        <f t="shared" si="195"/>
        <v>1.9200000000000004</v>
      </c>
      <c r="AA152">
        <f t="shared" si="214"/>
        <v>9.0155555555555544</v>
      </c>
      <c r="AB152" s="44">
        <f t="shared" si="196"/>
        <v>5.106825836413142</v>
      </c>
      <c r="AC152" s="42">
        <v>0</v>
      </c>
      <c r="AD152">
        <f t="shared" si="197"/>
        <v>0.26079670123456788</v>
      </c>
      <c r="AE152" s="44">
        <f t="shared" si="215"/>
        <v>0.26079670123456788</v>
      </c>
      <c r="AF152" s="42">
        <f t="shared" si="198"/>
        <v>1.5466666666666666</v>
      </c>
      <c r="AG152" s="44">
        <f t="shared" si="199"/>
        <v>1.5466666666666666</v>
      </c>
      <c r="AH152" s="42">
        <f t="shared" si="200"/>
        <v>0</v>
      </c>
      <c r="AI152">
        <f t="shared" si="201"/>
        <v>3.155894725833766</v>
      </c>
      <c r="AJ152" s="44">
        <f t="shared" si="216"/>
        <v>3.155894725833766</v>
      </c>
      <c r="AK152" s="42">
        <f t="shared" si="202"/>
        <v>77.333333333333329</v>
      </c>
      <c r="AL152">
        <f t="shared" si="203"/>
        <v>160</v>
      </c>
      <c r="AM152" s="44">
        <f t="shared" si="217"/>
        <v>0.48333333333333328</v>
      </c>
      <c r="AN152" s="42">
        <f t="shared" si="218"/>
        <v>2</v>
      </c>
      <c r="AO152">
        <f t="shared" si="219"/>
        <v>0.6</v>
      </c>
      <c r="AP152">
        <f t="shared" si="220"/>
        <v>0.80555555555555547</v>
      </c>
      <c r="AQ152">
        <f t="shared" si="221"/>
        <v>0.192</v>
      </c>
      <c r="AR152">
        <f t="shared" si="236"/>
        <v>0.90155555555555544</v>
      </c>
      <c r="AS152" s="44">
        <f t="shared" si="237"/>
        <v>0.62545587522370572</v>
      </c>
      <c r="AT152" s="42"/>
      <c r="AU152">
        <f t="shared" si="222"/>
        <v>2.8033333333333326E-3</v>
      </c>
      <c r="AV152" s="44">
        <f t="shared" si="238"/>
        <v>2.8033333333333326E-3</v>
      </c>
      <c r="AW152" s="42">
        <f t="shared" si="223"/>
        <v>4</v>
      </c>
      <c r="AX152">
        <f t="shared" si="224"/>
        <v>0.14499999999999999</v>
      </c>
      <c r="AY152" s="44">
        <f t="shared" si="239"/>
        <v>4.1449999999999996</v>
      </c>
      <c r="AZ152" s="42">
        <f t="shared" si="204"/>
        <v>0</v>
      </c>
      <c r="BA152">
        <f t="shared" si="205"/>
        <v>0</v>
      </c>
      <c r="BB152">
        <f t="shared" si="240"/>
        <v>0</v>
      </c>
      <c r="BC152" s="44">
        <f t="shared" si="225"/>
        <v>0</v>
      </c>
      <c r="BD152" s="42">
        <v>0</v>
      </c>
      <c r="BE152">
        <f t="shared" si="226"/>
        <v>0</v>
      </c>
      <c r="BF152" s="44">
        <f t="shared" si="241"/>
        <v>0</v>
      </c>
      <c r="BG152" s="42">
        <f t="shared" si="227"/>
        <v>0</v>
      </c>
      <c r="BH152">
        <f t="shared" si="228"/>
        <v>0</v>
      </c>
      <c r="BI152" s="44">
        <f t="shared" si="229"/>
        <v>0</v>
      </c>
      <c r="BK152" s="42">
        <f t="shared" si="206"/>
        <v>0</v>
      </c>
      <c r="BL152">
        <f t="shared" si="207"/>
        <v>0</v>
      </c>
      <c r="BM152">
        <f t="shared" si="208"/>
        <v>0</v>
      </c>
      <c r="BN152" s="44">
        <f t="shared" si="244"/>
        <v>0</v>
      </c>
      <c r="BO152" s="42">
        <v>0</v>
      </c>
      <c r="BP152">
        <f t="shared" si="230"/>
        <v>0</v>
      </c>
      <c r="BQ152" s="44">
        <f t="shared" si="242"/>
        <v>0</v>
      </c>
      <c r="BR152" s="42">
        <f t="shared" si="231"/>
        <v>0</v>
      </c>
      <c r="BS152">
        <f t="shared" si="232"/>
        <v>0</v>
      </c>
      <c r="BT152" s="44">
        <f t="shared" si="243"/>
        <v>0</v>
      </c>
      <c r="BU152" s="42">
        <f t="shared" si="209"/>
        <v>0.15647802074074071</v>
      </c>
      <c r="BV152">
        <f t="shared" si="210"/>
        <v>0.23625000000000002</v>
      </c>
      <c r="BW152" s="44">
        <f t="shared" si="211"/>
        <v>1.0800000000000001E-2</v>
      </c>
      <c r="BX152">
        <f t="shared" si="233"/>
        <v>1.8074633679012346</v>
      </c>
      <c r="BY152">
        <f t="shared" si="234"/>
        <v>11.061356114475741</v>
      </c>
      <c r="BZ152">
        <f t="shared" si="235"/>
        <v>87.486401973269324</v>
      </c>
    </row>
    <row r="153" spans="17:78" x14ac:dyDescent="0.3">
      <c r="Q153">
        <v>146</v>
      </c>
      <c r="R153" s="42">
        <f t="shared" si="189"/>
        <v>77.86666666666666</v>
      </c>
      <c r="S153">
        <f t="shared" si="190"/>
        <v>24</v>
      </c>
      <c r="T153" s="44">
        <f t="shared" si="191"/>
        <v>3.244444444444444</v>
      </c>
      <c r="U153" s="42">
        <f t="shared" si="192"/>
        <v>2</v>
      </c>
      <c r="V153">
        <f t="shared" si="193"/>
        <v>0.4</v>
      </c>
      <c r="W153">
        <f t="shared" si="194"/>
        <v>0.6</v>
      </c>
      <c r="X153">
        <f t="shared" si="212"/>
        <v>0</v>
      </c>
      <c r="Y153" s="42">
        <f t="shared" si="213"/>
        <v>8.1111111111111089</v>
      </c>
      <c r="Z153">
        <f t="shared" si="195"/>
        <v>1.9200000000000004</v>
      </c>
      <c r="AA153">
        <f t="shared" si="214"/>
        <v>9.0711111111111098</v>
      </c>
      <c r="AB153" s="44">
        <f t="shared" si="196"/>
        <v>5.1418799463538667</v>
      </c>
      <c r="AC153" s="42">
        <v>0</v>
      </c>
      <c r="AD153">
        <f t="shared" si="197"/>
        <v>0.26438929382716042</v>
      </c>
      <c r="AE153" s="44">
        <f t="shared" si="215"/>
        <v>0.26438929382716042</v>
      </c>
      <c r="AF153" s="42">
        <f t="shared" si="198"/>
        <v>1.5573333333333332</v>
      </c>
      <c r="AG153" s="44">
        <f t="shared" si="199"/>
        <v>1.5573333333333332</v>
      </c>
      <c r="AH153" s="42">
        <f t="shared" si="200"/>
        <v>0</v>
      </c>
      <c r="AI153">
        <f t="shared" si="201"/>
        <v>3.1776595170464126</v>
      </c>
      <c r="AJ153" s="44">
        <f t="shared" si="216"/>
        <v>3.1776595170464126</v>
      </c>
      <c r="AK153" s="42">
        <f t="shared" si="202"/>
        <v>77.86666666666666</v>
      </c>
      <c r="AL153">
        <f t="shared" si="203"/>
        <v>160</v>
      </c>
      <c r="AM153" s="44">
        <f t="shared" si="217"/>
        <v>0.48666666666666664</v>
      </c>
      <c r="AN153" s="42">
        <f t="shared" si="218"/>
        <v>2</v>
      </c>
      <c r="AO153">
        <f t="shared" si="219"/>
        <v>0.60000000000000009</v>
      </c>
      <c r="AP153">
        <f t="shared" si="220"/>
        <v>0.81111111111111089</v>
      </c>
      <c r="AQ153">
        <f t="shared" si="221"/>
        <v>0.19200000000000003</v>
      </c>
      <c r="AR153">
        <f t="shared" si="236"/>
        <v>0.90711111111111087</v>
      </c>
      <c r="AS153" s="44">
        <f t="shared" si="237"/>
        <v>0.62974910936081563</v>
      </c>
      <c r="AT153" s="42"/>
      <c r="AU153">
        <f t="shared" si="222"/>
        <v>2.8421333333333329E-3</v>
      </c>
      <c r="AV153" s="44">
        <f t="shared" si="238"/>
        <v>2.8421333333333329E-3</v>
      </c>
      <c r="AW153" s="42">
        <f t="shared" si="223"/>
        <v>4</v>
      </c>
      <c r="AX153">
        <f t="shared" si="224"/>
        <v>0.14599999999999999</v>
      </c>
      <c r="AY153" s="44">
        <f t="shared" si="239"/>
        <v>4.1459999999999999</v>
      </c>
      <c r="AZ153" s="42">
        <f t="shared" si="204"/>
        <v>0</v>
      </c>
      <c r="BA153">
        <f t="shared" si="205"/>
        <v>0</v>
      </c>
      <c r="BB153">
        <f t="shared" si="240"/>
        <v>0</v>
      </c>
      <c r="BC153" s="44">
        <f t="shared" si="225"/>
        <v>0</v>
      </c>
      <c r="BD153" s="42">
        <v>0</v>
      </c>
      <c r="BE153">
        <f t="shared" si="226"/>
        <v>0</v>
      </c>
      <c r="BF153" s="44">
        <f t="shared" si="241"/>
        <v>0</v>
      </c>
      <c r="BG153" s="42">
        <f t="shared" si="227"/>
        <v>0</v>
      </c>
      <c r="BH153">
        <f t="shared" si="228"/>
        <v>0</v>
      </c>
      <c r="BI153" s="44">
        <f t="shared" si="229"/>
        <v>0</v>
      </c>
      <c r="BK153" s="42">
        <f t="shared" si="206"/>
        <v>0</v>
      </c>
      <c r="BL153">
        <f t="shared" si="207"/>
        <v>0</v>
      </c>
      <c r="BM153">
        <f t="shared" si="208"/>
        <v>0</v>
      </c>
      <c r="BN153" s="44">
        <f t="shared" si="244"/>
        <v>0</v>
      </c>
      <c r="BO153" s="42">
        <v>0</v>
      </c>
      <c r="BP153">
        <f t="shared" si="230"/>
        <v>0</v>
      </c>
      <c r="BQ153" s="44">
        <f t="shared" si="242"/>
        <v>0</v>
      </c>
      <c r="BR153" s="42">
        <f t="shared" si="231"/>
        <v>0</v>
      </c>
      <c r="BS153">
        <f t="shared" si="232"/>
        <v>0</v>
      </c>
      <c r="BT153" s="44">
        <f t="shared" si="243"/>
        <v>0</v>
      </c>
      <c r="BU153" s="42">
        <f t="shared" si="209"/>
        <v>0.15863357629629626</v>
      </c>
      <c r="BV153">
        <f t="shared" si="210"/>
        <v>0.23625000000000002</v>
      </c>
      <c r="BW153" s="44">
        <f t="shared" si="211"/>
        <v>1.0800000000000001E-2</v>
      </c>
      <c r="BX153">
        <f t="shared" si="233"/>
        <v>1.8217226271604936</v>
      </c>
      <c r="BY153">
        <f t="shared" si="234"/>
        <v>11.11124118716987</v>
      </c>
      <c r="BZ153">
        <f t="shared" si="235"/>
        <v>87.512359578714481</v>
      </c>
    </row>
    <row r="154" spans="17:78" x14ac:dyDescent="0.3">
      <c r="Q154">
        <v>147</v>
      </c>
      <c r="R154" s="42">
        <f t="shared" si="189"/>
        <v>78.400000000000006</v>
      </c>
      <c r="S154">
        <f t="shared" si="190"/>
        <v>24</v>
      </c>
      <c r="T154" s="44">
        <f t="shared" si="191"/>
        <v>3.2666666666666671</v>
      </c>
      <c r="U154" s="42">
        <f t="shared" si="192"/>
        <v>2</v>
      </c>
      <c r="V154">
        <f t="shared" si="193"/>
        <v>0.4</v>
      </c>
      <c r="W154">
        <f t="shared" si="194"/>
        <v>0.6</v>
      </c>
      <c r="X154">
        <f t="shared" si="212"/>
        <v>0</v>
      </c>
      <c r="Y154" s="42">
        <f t="shared" si="213"/>
        <v>8.1666666666666661</v>
      </c>
      <c r="Z154">
        <f t="shared" si="195"/>
        <v>1.9200000000000004</v>
      </c>
      <c r="AA154">
        <f t="shared" si="214"/>
        <v>9.1266666666666669</v>
      </c>
      <c r="AB154" s="44">
        <f t="shared" si="196"/>
        <v>5.1769351722595278</v>
      </c>
      <c r="AC154" s="42">
        <v>0</v>
      </c>
      <c r="AD154">
        <f t="shared" si="197"/>
        <v>0.26800657777777787</v>
      </c>
      <c r="AE154" s="44">
        <f t="shared" si="215"/>
        <v>0.26800657777777787</v>
      </c>
      <c r="AF154" s="42">
        <f t="shared" si="198"/>
        <v>1.5680000000000001</v>
      </c>
      <c r="AG154" s="44">
        <f t="shared" si="199"/>
        <v>1.5680000000000001</v>
      </c>
      <c r="AH154" s="42">
        <f t="shared" si="200"/>
        <v>0</v>
      </c>
      <c r="AI154">
        <f t="shared" si="201"/>
        <v>3.1994243082590597</v>
      </c>
      <c r="AJ154" s="44">
        <f t="shared" si="216"/>
        <v>3.1994243082590597</v>
      </c>
      <c r="AK154" s="42">
        <f t="shared" si="202"/>
        <v>78.400000000000006</v>
      </c>
      <c r="AL154">
        <f t="shared" si="203"/>
        <v>160</v>
      </c>
      <c r="AM154" s="44">
        <f t="shared" si="217"/>
        <v>0.49000000000000005</v>
      </c>
      <c r="AN154" s="42">
        <f t="shared" si="218"/>
        <v>2</v>
      </c>
      <c r="AO154">
        <f t="shared" si="219"/>
        <v>0.60000000000000009</v>
      </c>
      <c r="AP154">
        <f t="shared" si="220"/>
        <v>0.81666666666666665</v>
      </c>
      <c r="AQ154">
        <f t="shared" si="221"/>
        <v>0.19200000000000003</v>
      </c>
      <c r="AR154">
        <f t="shared" si="236"/>
        <v>0.91266666666666663</v>
      </c>
      <c r="AS154" s="44">
        <f t="shared" si="237"/>
        <v>0.63404248017515885</v>
      </c>
      <c r="AT154" s="42"/>
      <c r="AU154">
        <f t="shared" si="222"/>
        <v>2.8812000000000004E-3</v>
      </c>
      <c r="AV154" s="44">
        <f t="shared" si="238"/>
        <v>2.8812000000000004E-3</v>
      </c>
      <c r="AW154" s="42">
        <f t="shared" si="223"/>
        <v>4</v>
      </c>
      <c r="AX154">
        <f t="shared" si="224"/>
        <v>0.14700000000000002</v>
      </c>
      <c r="AY154" s="44">
        <f t="shared" si="239"/>
        <v>4.1470000000000002</v>
      </c>
      <c r="AZ154" s="42">
        <f t="shared" si="204"/>
        <v>0</v>
      </c>
      <c r="BA154">
        <f t="shared" si="205"/>
        <v>0</v>
      </c>
      <c r="BB154">
        <f t="shared" si="240"/>
        <v>0</v>
      </c>
      <c r="BC154" s="44">
        <f t="shared" si="225"/>
        <v>0</v>
      </c>
      <c r="BD154" s="42">
        <v>0</v>
      </c>
      <c r="BE154">
        <f t="shared" si="226"/>
        <v>0</v>
      </c>
      <c r="BF154" s="44">
        <f t="shared" si="241"/>
        <v>0</v>
      </c>
      <c r="BG154" s="42">
        <f t="shared" si="227"/>
        <v>0</v>
      </c>
      <c r="BH154">
        <f t="shared" si="228"/>
        <v>0</v>
      </c>
      <c r="BI154" s="44">
        <f t="shared" si="229"/>
        <v>0</v>
      </c>
      <c r="BK154" s="42">
        <f t="shared" si="206"/>
        <v>0</v>
      </c>
      <c r="BL154">
        <f t="shared" si="207"/>
        <v>0</v>
      </c>
      <c r="BM154">
        <f t="shared" si="208"/>
        <v>0</v>
      </c>
      <c r="BN154" s="44">
        <f t="shared" si="244"/>
        <v>0</v>
      </c>
      <c r="BO154" s="42">
        <v>0</v>
      </c>
      <c r="BP154">
        <f t="shared" si="230"/>
        <v>0</v>
      </c>
      <c r="BQ154" s="44">
        <f t="shared" si="242"/>
        <v>0</v>
      </c>
      <c r="BR154" s="42">
        <f t="shared" si="231"/>
        <v>0</v>
      </c>
      <c r="BS154">
        <f t="shared" si="232"/>
        <v>0</v>
      </c>
      <c r="BT154" s="44">
        <f t="shared" si="243"/>
        <v>0</v>
      </c>
      <c r="BU154" s="42">
        <f t="shared" si="209"/>
        <v>0.16080394666666672</v>
      </c>
      <c r="BV154">
        <f t="shared" si="210"/>
        <v>0.23625000000000002</v>
      </c>
      <c r="BW154" s="44">
        <f t="shared" si="211"/>
        <v>1.0800000000000001E-2</v>
      </c>
      <c r="BX154">
        <f t="shared" si="233"/>
        <v>1.8360065777777779</v>
      </c>
      <c r="BY154">
        <f t="shared" si="234"/>
        <v>11.161166032703504</v>
      </c>
      <c r="BZ154">
        <f t="shared" si="235"/>
        <v>87.537940240050048</v>
      </c>
    </row>
    <row r="155" spans="17:78" x14ac:dyDescent="0.3">
      <c r="Q155">
        <v>148</v>
      </c>
      <c r="R155" s="42">
        <f t="shared" si="189"/>
        <v>78.933333333333337</v>
      </c>
      <c r="S155">
        <f t="shared" si="190"/>
        <v>24</v>
      </c>
      <c r="T155" s="44">
        <f t="shared" si="191"/>
        <v>3.2888888888888892</v>
      </c>
      <c r="U155" s="42">
        <f t="shared" si="192"/>
        <v>2</v>
      </c>
      <c r="V155">
        <f t="shared" si="193"/>
        <v>0.4</v>
      </c>
      <c r="W155">
        <f t="shared" si="194"/>
        <v>0.6</v>
      </c>
      <c r="X155">
        <f t="shared" si="212"/>
        <v>0</v>
      </c>
      <c r="Y155" s="42">
        <f t="shared" si="213"/>
        <v>8.2222222222222214</v>
      </c>
      <c r="Z155">
        <f t="shared" si="195"/>
        <v>1.9200000000000004</v>
      </c>
      <c r="AA155">
        <f t="shared" si="214"/>
        <v>9.1822222222222223</v>
      </c>
      <c r="AB155" s="44">
        <f t="shared" si="196"/>
        <v>5.2119914916125847</v>
      </c>
      <c r="AC155" s="42">
        <v>0</v>
      </c>
      <c r="AD155">
        <f t="shared" si="197"/>
        <v>0.27164855308641978</v>
      </c>
      <c r="AE155" s="44">
        <f t="shared" si="215"/>
        <v>0.27164855308641978</v>
      </c>
      <c r="AF155" s="42">
        <f t="shared" si="198"/>
        <v>1.5786666666666669</v>
      </c>
      <c r="AG155" s="44">
        <f t="shared" si="199"/>
        <v>1.5786666666666669</v>
      </c>
      <c r="AH155" s="42">
        <f t="shared" si="200"/>
        <v>0</v>
      </c>
      <c r="AI155">
        <f t="shared" si="201"/>
        <v>3.2211890994717063</v>
      </c>
      <c r="AJ155" s="44">
        <f t="shared" si="216"/>
        <v>3.2211890994717063</v>
      </c>
      <c r="AK155" s="42">
        <f t="shared" si="202"/>
        <v>78.933333333333337</v>
      </c>
      <c r="AL155">
        <f t="shared" si="203"/>
        <v>160</v>
      </c>
      <c r="AM155" s="44">
        <f t="shared" si="217"/>
        <v>0.49333333333333335</v>
      </c>
      <c r="AN155" s="42">
        <f t="shared" si="218"/>
        <v>2</v>
      </c>
      <c r="AO155">
        <f t="shared" si="219"/>
        <v>0.60000000000000009</v>
      </c>
      <c r="AP155">
        <f t="shared" si="220"/>
        <v>0.82222222222222219</v>
      </c>
      <c r="AQ155">
        <f t="shared" si="221"/>
        <v>0.19200000000000003</v>
      </c>
      <c r="AR155">
        <f t="shared" si="236"/>
        <v>0.91822222222222216</v>
      </c>
      <c r="AS155" s="44">
        <f t="shared" si="237"/>
        <v>0.63833598490891108</v>
      </c>
      <c r="AT155" s="42"/>
      <c r="AU155">
        <f t="shared" si="222"/>
        <v>2.9205333333333339E-3</v>
      </c>
      <c r="AV155" s="44">
        <f t="shared" si="238"/>
        <v>2.9205333333333339E-3</v>
      </c>
      <c r="AW155" s="42">
        <f t="shared" si="223"/>
        <v>4</v>
      </c>
      <c r="AX155">
        <f t="shared" si="224"/>
        <v>0.14799999999999999</v>
      </c>
      <c r="AY155" s="44">
        <f t="shared" si="239"/>
        <v>4.1479999999999997</v>
      </c>
      <c r="AZ155" s="42">
        <f t="shared" si="204"/>
        <v>0</v>
      </c>
      <c r="BA155">
        <f t="shared" si="205"/>
        <v>0</v>
      </c>
      <c r="BB155">
        <f t="shared" si="240"/>
        <v>0</v>
      </c>
      <c r="BC155" s="44">
        <f t="shared" si="225"/>
        <v>0</v>
      </c>
      <c r="BD155" s="42">
        <v>0</v>
      </c>
      <c r="BE155">
        <f t="shared" si="226"/>
        <v>0</v>
      </c>
      <c r="BF155" s="44">
        <f t="shared" si="241"/>
        <v>0</v>
      </c>
      <c r="BG155" s="42">
        <f t="shared" si="227"/>
        <v>0</v>
      </c>
      <c r="BH155">
        <f t="shared" si="228"/>
        <v>0</v>
      </c>
      <c r="BI155" s="44">
        <f t="shared" si="229"/>
        <v>0</v>
      </c>
      <c r="BK155" s="42">
        <f t="shared" si="206"/>
        <v>0</v>
      </c>
      <c r="BL155">
        <f t="shared" si="207"/>
        <v>0</v>
      </c>
      <c r="BM155">
        <f t="shared" si="208"/>
        <v>0</v>
      </c>
      <c r="BN155" s="44">
        <f t="shared" si="244"/>
        <v>0</v>
      </c>
      <c r="BO155" s="42">
        <v>0</v>
      </c>
      <c r="BP155">
        <f t="shared" si="230"/>
        <v>0</v>
      </c>
      <c r="BQ155" s="44">
        <f t="shared" si="242"/>
        <v>0</v>
      </c>
      <c r="BR155" s="42">
        <f t="shared" si="231"/>
        <v>0</v>
      </c>
      <c r="BS155">
        <f t="shared" si="232"/>
        <v>0</v>
      </c>
      <c r="BT155" s="44">
        <f t="shared" si="243"/>
        <v>0</v>
      </c>
      <c r="BU155" s="42">
        <f t="shared" si="209"/>
        <v>0.16298913185185185</v>
      </c>
      <c r="BV155">
        <f t="shared" si="210"/>
        <v>0.23625000000000002</v>
      </c>
      <c r="BW155" s="44">
        <f t="shared" si="211"/>
        <v>1.0800000000000001E-2</v>
      </c>
      <c r="BX155">
        <f t="shared" si="233"/>
        <v>1.8503152197530865</v>
      </c>
      <c r="BY155">
        <f t="shared" si="234"/>
        <v>11.211130651076646</v>
      </c>
      <c r="BZ155">
        <f t="shared" si="235"/>
        <v>87.563151240196461</v>
      </c>
    </row>
    <row r="156" spans="17:78" x14ac:dyDescent="0.3">
      <c r="Q156">
        <v>149</v>
      </c>
      <c r="R156" s="42">
        <f t="shared" si="189"/>
        <v>79.466666666666669</v>
      </c>
      <c r="S156">
        <f t="shared" si="190"/>
        <v>24</v>
      </c>
      <c r="T156" s="44">
        <f t="shared" si="191"/>
        <v>3.3111111111111113</v>
      </c>
      <c r="U156" s="42">
        <f t="shared" si="192"/>
        <v>2</v>
      </c>
      <c r="V156">
        <f t="shared" si="193"/>
        <v>0.4</v>
      </c>
      <c r="W156">
        <f t="shared" si="194"/>
        <v>0.6</v>
      </c>
      <c r="X156">
        <f t="shared" si="212"/>
        <v>0</v>
      </c>
      <c r="Y156" s="42">
        <f t="shared" si="213"/>
        <v>8.2777777777777768</v>
      </c>
      <c r="Z156">
        <f t="shared" si="195"/>
        <v>1.9200000000000004</v>
      </c>
      <c r="AA156">
        <f t="shared" si="214"/>
        <v>9.2377777777777776</v>
      </c>
      <c r="AB156" s="44">
        <f t="shared" si="196"/>
        <v>5.2470488824965829</v>
      </c>
      <c r="AC156" s="42">
        <v>0</v>
      </c>
      <c r="AD156">
        <f t="shared" si="197"/>
        <v>0.27531521975308637</v>
      </c>
      <c r="AE156" s="44">
        <f t="shared" si="215"/>
        <v>0.27531521975308637</v>
      </c>
      <c r="AF156" s="42">
        <f t="shared" si="198"/>
        <v>1.5893333333333335</v>
      </c>
      <c r="AG156" s="44">
        <f t="shared" si="199"/>
        <v>1.5893333333333335</v>
      </c>
      <c r="AH156" s="42">
        <f t="shared" si="200"/>
        <v>0</v>
      </c>
      <c r="AI156">
        <f t="shared" si="201"/>
        <v>3.2429538906843534</v>
      </c>
      <c r="AJ156" s="44">
        <f t="shared" si="216"/>
        <v>3.2429538906843534</v>
      </c>
      <c r="AK156" s="42">
        <f t="shared" si="202"/>
        <v>79.466666666666669</v>
      </c>
      <c r="AL156">
        <f t="shared" si="203"/>
        <v>160</v>
      </c>
      <c r="AM156" s="44">
        <f t="shared" si="217"/>
        <v>0.4966666666666667</v>
      </c>
      <c r="AN156" s="42">
        <f t="shared" si="218"/>
        <v>2</v>
      </c>
      <c r="AO156">
        <f t="shared" si="219"/>
        <v>0.6000000000000002</v>
      </c>
      <c r="AP156">
        <f t="shared" si="220"/>
        <v>0.82777777777777761</v>
      </c>
      <c r="AQ156">
        <f t="shared" si="221"/>
        <v>0.19200000000000006</v>
      </c>
      <c r="AR156">
        <f t="shared" si="236"/>
        <v>0.92377777777777759</v>
      </c>
      <c r="AS156" s="44">
        <f t="shared" si="237"/>
        <v>0.64262962087786579</v>
      </c>
      <c r="AT156" s="42"/>
      <c r="AU156">
        <f t="shared" si="222"/>
        <v>2.9601333333333338E-3</v>
      </c>
      <c r="AV156" s="44">
        <f t="shared" si="238"/>
        <v>2.9601333333333338E-3</v>
      </c>
      <c r="AW156" s="42">
        <f t="shared" si="223"/>
        <v>4</v>
      </c>
      <c r="AX156">
        <f t="shared" si="224"/>
        <v>0.14899999999999999</v>
      </c>
      <c r="AY156" s="44">
        <f t="shared" si="239"/>
        <v>4.149</v>
      </c>
      <c r="AZ156" s="42">
        <f t="shared" si="204"/>
        <v>0</v>
      </c>
      <c r="BA156">
        <f t="shared" si="205"/>
        <v>0</v>
      </c>
      <c r="BB156">
        <f t="shared" si="240"/>
        <v>0</v>
      </c>
      <c r="BC156" s="44">
        <f t="shared" si="225"/>
        <v>0</v>
      </c>
      <c r="BD156" s="42">
        <v>0</v>
      </c>
      <c r="BE156">
        <f t="shared" si="226"/>
        <v>0</v>
      </c>
      <c r="BF156" s="44">
        <f t="shared" si="241"/>
        <v>0</v>
      </c>
      <c r="BG156" s="42">
        <f t="shared" si="227"/>
        <v>0</v>
      </c>
      <c r="BH156">
        <f t="shared" si="228"/>
        <v>0</v>
      </c>
      <c r="BI156" s="44">
        <f t="shared" si="229"/>
        <v>0</v>
      </c>
      <c r="BK156" s="42">
        <f t="shared" si="206"/>
        <v>0</v>
      </c>
      <c r="BL156">
        <f t="shared" si="207"/>
        <v>0</v>
      </c>
      <c r="BM156">
        <f t="shared" si="208"/>
        <v>0</v>
      </c>
      <c r="BN156" s="44">
        <f t="shared" si="244"/>
        <v>0</v>
      </c>
      <c r="BO156" s="42">
        <v>0</v>
      </c>
      <c r="BP156">
        <f t="shared" si="230"/>
        <v>0</v>
      </c>
      <c r="BQ156" s="44">
        <f t="shared" si="242"/>
        <v>0</v>
      </c>
      <c r="BR156" s="42">
        <f t="shared" si="231"/>
        <v>0</v>
      </c>
      <c r="BS156">
        <f t="shared" si="232"/>
        <v>0</v>
      </c>
      <c r="BT156" s="44">
        <f t="shared" si="243"/>
        <v>0</v>
      </c>
      <c r="BU156" s="42">
        <f t="shared" si="209"/>
        <v>0.16518913185185183</v>
      </c>
      <c r="BV156">
        <f t="shared" si="210"/>
        <v>0.23625000000000002</v>
      </c>
      <c r="BW156" s="44">
        <f t="shared" si="211"/>
        <v>1.0800000000000001E-2</v>
      </c>
      <c r="BX156">
        <f t="shared" si="233"/>
        <v>1.8646485530864199</v>
      </c>
      <c r="BY156">
        <f t="shared" si="234"/>
        <v>11.261135042289293</v>
      </c>
      <c r="BZ156">
        <f t="shared" si="235"/>
        <v>87.587999675762362</v>
      </c>
    </row>
    <row r="157" spans="17:78" ht="15" thickBot="1" x14ac:dyDescent="0.35">
      <c r="Q157">
        <v>150</v>
      </c>
      <c r="R157" s="45">
        <f t="shared" si="189"/>
        <v>80</v>
      </c>
      <c r="S157" s="40">
        <f t="shared" si="190"/>
        <v>24</v>
      </c>
      <c r="T157" s="46">
        <f t="shared" si="191"/>
        <v>3.3333333333333335</v>
      </c>
      <c r="U157" s="45">
        <f t="shared" si="192"/>
        <v>2</v>
      </c>
      <c r="V157" s="40">
        <f t="shared" si="193"/>
        <v>0.4</v>
      </c>
      <c r="W157" s="40">
        <f t="shared" si="194"/>
        <v>0.6</v>
      </c>
      <c r="X157" s="40">
        <f t="shared" si="212"/>
        <v>0</v>
      </c>
      <c r="Y157" s="45">
        <f t="shared" si="213"/>
        <v>8.3333333333333321</v>
      </c>
      <c r="Z157" s="40">
        <f t="shared" si="195"/>
        <v>1.9200000000000004</v>
      </c>
      <c r="AA157" s="40">
        <f>Y157+(Z157/2)</f>
        <v>9.293333333333333</v>
      </c>
      <c r="AB157" s="46">
        <f t="shared" si="196"/>
        <v>5.282107323576243</v>
      </c>
      <c r="AC157" s="45">
        <v>0</v>
      </c>
      <c r="AD157" s="40">
        <f t="shared" si="197"/>
        <v>0.27900657777777782</v>
      </c>
      <c r="AE157" s="46">
        <f t="shared" si="215"/>
        <v>0.27900657777777782</v>
      </c>
      <c r="AF157" s="42">
        <f t="shared" si="198"/>
        <v>1.6</v>
      </c>
      <c r="AG157" s="46">
        <f t="shared" si="199"/>
        <v>1.6</v>
      </c>
      <c r="AH157" s="45">
        <f t="shared" si="200"/>
        <v>0</v>
      </c>
      <c r="AI157">
        <f t="shared" si="201"/>
        <v>3.2647186818969995</v>
      </c>
      <c r="AJ157" s="46">
        <f t="shared" si="216"/>
        <v>3.2647186818969995</v>
      </c>
      <c r="AK157" s="45">
        <f t="shared" si="202"/>
        <v>80</v>
      </c>
      <c r="AL157" s="40">
        <f t="shared" si="203"/>
        <v>160</v>
      </c>
      <c r="AM157" s="46">
        <f t="shared" si="217"/>
        <v>0.5</v>
      </c>
      <c r="AN157" s="45">
        <f t="shared" si="218"/>
        <v>2</v>
      </c>
      <c r="AO157" s="40">
        <f t="shared" si="219"/>
        <v>0.60000000000000009</v>
      </c>
      <c r="AP157" s="40">
        <f t="shared" si="220"/>
        <v>0.83333333333333315</v>
      </c>
      <c r="AQ157" s="40">
        <f t="shared" si="221"/>
        <v>0.19200000000000003</v>
      </c>
      <c r="AR157" s="40">
        <f t="shared" si="236"/>
        <v>0.92933333333333312</v>
      </c>
      <c r="AS157" s="46">
        <f t="shared" si="237"/>
        <v>0.64692338546899542</v>
      </c>
      <c r="AT157" s="42"/>
      <c r="AU157">
        <f t="shared" si="222"/>
        <v>3.0000000000000001E-3</v>
      </c>
      <c r="AV157" s="44">
        <f t="shared" si="238"/>
        <v>3.0000000000000001E-3</v>
      </c>
      <c r="AW157" s="42">
        <f t="shared" si="223"/>
        <v>4</v>
      </c>
      <c r="AX157">
        <f t="shared" si="224"/>
        <v>0.15</v>
      </c>
      <c r="AY157" s="44">
        <f t="shared" si="239"/>
        <v>4.1500000000000004</v>
      </c>
      <c r="AZ157" s="45">
        <f t="shared" si="204"/>
        <v>0</v>
      </c>
      <c r="BA157" s="40">
        <f t="shared" si="205"/>
        <v>0</v>
      </c>
      <c r="BB157">
        <f t="shared" si="240"/>
        <v>0</v>
      </c>
      <c r="BC157" s="44">
        <f t="shared" si="225"/>
        <v>0</v>
      </c>
      <c r="BD157" s="42">
        <v>0</v>
      </c>
      <c r="BE157">
        <f t="shared" si="226"/>
        <v>0</v>
      </c>
      <c r="BF157" s="44">
        <f t="shared" si="241"/>
        <v>0</v>
      </c>
      <c r="BG157" s="42">
        <f t="shared" si="227"/>
        <v>0</v>
      </c>
      <c r="BH157">
        <f t="shared" si="228"/>
        <v>0</v>
      </c>
      <c r="BI157" s="46">
        <f t="shared" si="229"/>
        <v>0</v>
      </c>
      <c r="BJ157" s="40"/>
      <c r="BK157" s="45">
        <f t="shared" si="206"/>
        <v>0</v>
      </c>
      <c r="BL157" s="40">
        <f t="shared" si="207"/>
        <v>0</v>
      </c>
      <c r="BM157" s="40">
        <f t="shared" si="208"/>
        <v>0</v>
      </c>
      <c r="BN157" s="44">
        <f t="shared" si="244"/>
        <v>0</v>
      </c>
      <c r="BO157" s="42">
        <v>0</v>
      </c>
      <c r="BP157">
        <f t="shared" si="230"/>
        <v>0</v>
      </c>
      <c r="BQ157" s="44">
        <f t="shared" si="242"/>
        <v>0</v>
      </c>
      <c r="BR157" s="42">
        <f t="shared" si="231"/>
        <v>0</v>
      </c>
      <c r="BS157">
        <f t="shared" si="232"/>
        <v>0</v>
      </c>
      <c r="BT157" s="44">
        <f t="shared" si="243"/>
        <v>0</v>
      </c>
      <c r="BU157" s="42">
        <f t="shared" si="209"/>
        <v>0.16740394666666669</v>
      </c>
      <c r="BV157">
        <f t="shared" si="210"/>
        <v>0.23625000000000002</v>
      </c>
      <c r="BW157" s="44">
        <f t="shared" si="211"/>
        <v>1.0800000000000001E-2</v>
      </c>
      <c r="BX157">
        <f t="shared" si="233"/>
        <v>1.879006577777778</v>
      </c>
      <c r="BY157">
        <f t="shared" si="234"/>
        <v>11.311179206341444</v>
      </c>
      <c r="BZ157">
        <f t="shared" si="235"/>
        <v>87.612492462964596</v>
      </c>
    </row>
  </sheetData>
  <mergeCells count="19">
    <mergeCell ref="A1:M1"/>
    <mergeCell ref="AH5:AJ5"/>
    <mergeCell ref="U4:AE4"/>
    <mergeCell ref="AK4:AY4"/>
    <mergeCell ref="AK5:AM5"/>
    <mergeCell ref="AN5:AS5"/>
    <mergeCell ref="AT5:AV5"/>
    <mergeCell ref="AW5:AY5"/>
    <mergeCell ref="BK4:BT4"/>
    <mergeCell ref="AF5:AG5"/>
    <mergeCell ref="R4:T5"/>
    <mergeCell ref="BK5:BN5"/>
    <mergeCell ref="BU5:BW5"/>
    <mergeCell ref="BD5:BF5"/>
    <mergeCell ref="AZ5:BC5"/>
    <mergeCell ref="BG5:BI5"/>
    <mergeCell ref="AZ4:BI4"/>
    <mergeCell ref="BO5:BQ5"/>
    <mergeCell ref="BR5:BT5"/>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61"/>
  <sheetViews>
    <sheetView topLeftCell="A34" zoomScaleNormal="100" workbookViewId="0">
      <selection activeCell="B59" sqref="B59"/>
    </sheetView>
  </sheetViews>
  <sheetFormatPr baseColWidth="10" defaultColWidth="8.88671875" defaultRowHeight="14.4" x14ac:dyDescent="0.3"/>
  <cols>
    <col min="1" max="1" width="26.6640625" customWidth="1"/>
    <col min="2" max="2" width="25.5546875" customWidth="1"/>
    <col min="3" max="3" width="10.109375" customWidth="1"/>
  </cols>
  <sheetData>
    <row r="1" spans="1:9" ht="28.2" x14ac:dyDescent="0.5">
      <c r="A1" s="225" t="s">
        <v>71</v>
      </c>
      <c r="B1" s="225"/>
      <c r="C1" s="225"/>
      <c r="D1" s="225"/>
      <c r="E1" s="225"/>
      <c r="F1" s="225"/>
      <c r="G1" s="225"/>
      <c r="H1" s="225"/>
      <c r="I1" s="225"/>
    </row>
    <row r="2" spans="1:9" x14ac:dyDescent="0.3">
      <c r="A2" s="5"/>
      <c r="B2" s="5" t="s">
        <v>17</v>
      </c>
      <c r="C2" s="6"/>
      <c r="D2" s="4"/>
      <c r="E2" s="5"/>
      <c r="F2" s="5"/>
      <c r="G2" s="5"/>
      <c r="H2" s="5"/>
      <c r="I2" s="5"/>
    </row>
    <row r="3" spans="1:9" x14ac:dyDescent="0.3">
      <c r="A3" s="5"/>
      <c r="B3" s="5" t="s">
        <v>18</v>
      </c>
      <c r="C3" s="9"/>
      <c r="D3" s="4"/>
      <c r="E3" s="5"/>
      <c r="F3" s="5"/>
      <c r="G3" s="5"/>
      <c r="H3" s="5"/>
      <c r="I3" s="5"/>
    </row>
    <row r="4" spans="1:9" x14ac:dyDescent="0.3">
      <c r="A4" s="5"/>
      <c r="B4" s="5" t="s">
        <v>19</v>
      </c>
      <c r="C4" s="7"/>
      <c r="D4" s="4"/>
      <c r="E4" s="5"/>
      <c r="F4" s="5"/>
      <c r="G4" s="5"/>
      <c r="H4" s="5"/>
      <c r="I4" s="5"/>
    </row>
    <row r="5" spans="1:9" x14ac:dyDescent="0.3">
      <c r="A5" s="8" t="s">
        <v>20</v>
      </c>
      <c r="B5" s="8" t="s">
        <v>21</v>
      </c>
      <c r="C5" s="8" t="s">
        <v>22</v>
      </c>
      <c r="D5" s="4"/>
      <c r="E5" s="226" t="s">
        <v>23</v>
      </c>
      <c r="F5" s="226"/>
      <c r="G5" s="226"/>
      <c r="H5" s="226"/>
      <c r="I5" s="8"/>
    </row>
    <row r="6" spans="1:9" x14ac:dyDescent="0.3">
      <c r="A6" s="8"/>
      <c r="B6" s="8"/>
      <c r="C6" s="8"/>
      <c r="D6" s="4"/>
      <c r="E6" s="5"/>
      <c r="F6" s="5"/>
      <c r="G6" s="5"/>
      <c r="H6" s="5"/>
      <c r="I6" s="8"/>
    </row>
    <row r="7" spans="1:9" x14ac:dyDescent="0.3">
      <c r="A7" s="8" t="s">
        <v>446</v>
      </c>
      <c r="B7" s="8"/>
      <c r="C7" s="8"/>
      <c r="D7" s="4"/>
      <c r="E7" s="5"/>
      <c r="F7" s="5"/>
      <c r="G7" s="5"/>
      <c r="H7" s="5"/>
      <c r="I7" s="8"/>
    </row>
    <row r="8" spans="1:9" x14ac:dyDescent="0.3">
      <c r="A8" s="145" t="s">
        <v>447</v>
      </c>
      <c r="B8" s="146">
        <v>0</v>
      </c>
      <c r="C8" s="145" t="s">
        <v>11</v>
      </c>
      <c r="D8" s="145" t="s">
        <v>448</v>
      </c>
      <c r="E8" s="5"/>
      <c r="F8" s="5"/>
      <c r="G8" s="5"/>
      <c r="H8" s="5"/>
      <c r="I8" s="8"/>
    </row>
    <row r="9" spans="1:9" x14ac:dyDescent="0.3">
      <c r="A9" s="8" t="s">
        <v>51</v>
      </c>
      <c r="B9" s="8"/>
      <c r="C9" s="8"/>
      <c r="D9" s="4"/>
      <c r="E9" s="5"/>
      <c r="F9" s="5"/>
      <c r="G9" s="5"/>
      <c r="H9" s="5"/>
      <c r="I9" s="8"/>
    </row>
    <row r="10" spans="1:9" x14ac:dyDescent="0.3">
      <c r="A10" s="8"/>
      <c r="B10" s="8"/>
      <c r="C10" s="8"/>
      <c r="D10" s="4"/>
      <c r="E10" s="5"/>
      <c r="F10" s="5"/>
      <c r="G10" s="5"/>
      <c r="H10" s="5"/>
      <c r="I10" s="8"/>
    </row>
    <row r="11" spans="1:9" x14ac:dyDescent="0.3">
      <c r="A11" t="s">
        <v>40</v>
      </c>
      <c r="B11" s="12">
        <v>0.8</v>
      </c>
      <c r="D11" t="s">
        <v>43</v>
      </c>
    </row>
    <row r="12" spans="1:9" x14ac:dyDescent="0.3">
      <c r="A12" t="s">
        <v>44</v>
      </c>
      <c r="B12" s="13">
        <f>(1-B11)/(2.2*10^6)</f>
        <v>9.0909090909090888E-8</v>
      </c>
      <c r="C12" t="s">
        <v>47</v>
      </c>
      <c r="D12" t="s">
        <v>50</v>
      </c>
    </row>
    <row r="13" spans="1:9" x14ac:dyDescent="0.3">
      <c r="A13" t="s">
        <v>41</v>
      </c>
      <c r="B13" s="12">
        <v>0.85</v>
      </c>
      <c r="D13" t="s">
        <v>43</v>
      </c>
    </row>
    <row r="14" spans="1:9" x14ac:dyDescent="0.3">
      <c r="A14" t="s">
        <v>45</v>
      </c>
      <c r="B14" s="13">
        <f>(1-B13)/(2.2*10^6)</f>
        <v>6.8181818181818186E-8</v>
      </c>
      <c r="C14" t="s">
        <v>47</v>
      </c>
      <c r="D14" t="s">
        <v>49</v>
      </c>
    </row>
    <row r="15" spans="1:9" x14ac:dyDescent="0.3">
      <c r="A15" t="s">
        <v>42</v>
      </c>
      <c r="B15" s="12">
        <v>0.9</v>
      </c>
      <c r="D15" t="s">
        <v>43</v>
      </c>
    </row>
    <row r="16" spans="1:9" x14ac:dyDescent="0.3">
      <c r="A16" t="s">
        <v>46</v>
      </c>
      <c r="B16" s="13">
        <f>(1-B15)/(2.2*10^6)</f>
        <v>4.5454545454545444E-8</v>
      </c>
      <c r="C16" t="s">
        <v>47</v>
      </c>
      <c r="D16" t="s">
        <v>48</v>
      </c>
    </row>
    <row r="18" spans="1:4" x14ac:dyDescent="0.3">
      <c r="A18" t="s">
        <v>52</v>
      </c>
      <c r="B18" s="12">
        <v>0.9</v>
      </c>
      <c r="D18" t="s">
        <v>57</v>
      </c>
    </row>
    <row r="19" spans="1:4" x14ac:dyDescent="0.3">
      <c r="A19" t="s">
        <v>53</v>
      </c>
      <c r="B19" s="12">
        <v>0.93</v>
      </c>
      <c r="D19" t="s">
        <v>55</v>
      </c>
    </row>
    <row r="20" spans="1:4" x14ac:dyDescent="0.3">
      <c r="A20" t="s">
        <v>54</v>
      </c>
      <c r="B20" s="12">
        <v>0.96</v>
      </c>
      <c r="D20" t="s">
        <v>58</v>
      </c>
    </row>
    <row r="21" spans="1:4" x14ac:dyDescent="0.3">
      <c r="B21">
        <f>IF(((1-D_limit_nom)/Constants!B14)&lt;Fsw,2,1)</f>
        <v>1</v>
      </c>
      <c r="D21" t="s">
        <v>64</v>
      </c>
    </row>
    <row r="22" spans="1:4" x14ac:dyDescent="0.3">
      <c r="A22" t="s">
        <v>69</v>
      </c>
      <c r="B22" s="1">
        <f>CHOOSE(B21,D_limit_nom,(1-Constants!B14*Fsw))</f>
        <v>0.93</v>
      </c>
      <c r="D22" t="s">
        <v>70</v>
      </c>
    </row>
    <row r="24" spans="1:4" x14ac:dyDescent="0.3">
      <c r="A24" t="s">
        <v>72</v>
      </c>
      <c r="B24" s="12">
        <f>50*10^-9</f>
        <v>5.0000000000000004E-8</v>
      </c>
      <c r="C24" t="s">
        <v>47</v>
      </c>
      <c r="D24" t="s">
        <v>73</v>
      </c>
    </row>
    <row r="25" spans="1:4" x14ac:dyDescent="0.3">
      <c r="B25" s="12"/>
    </row>
    <row r="26" spans="1:4" ht="15.6" x14ac:dyDescent="0.3">
      <c r="A26" s="28" t="s">
        <v>135</v>
      </c>
    </row>
    <row r="27" spans="1:4" x14ac:dyDescent="0.3">
      <c r="A27" t="s">
        <v>109</v>
      </c>
      <c r="B27" s="12">
        <f>30*10^-6</f>
        <v>2.9999999999999997E-5</v>
      </c>
      <c r="C27" t="s">
        <v>12</v>
      </c>
      <c r="D27" t="s">
        <v>110</v>
      </c>
    </row>
    <row r="28" spans="1:4" x14ac:dyDescent="0.3">
      <c r="A28" t="s">
        <v>111</v>
      </c>
      <c r="B28" s="12">
        <v>1333</v>
      </c>
      <c r="C28" s="2" t="s">
        <v>35</v>
      </c>
      <c r="D28" t="s">
        <v>112</v>
      </c>
    </row>
    <row r="29" spans="1:4" x14ac:dyDescent="0.3">
      <c r="A29" t="s">
        <v>115</v>
      </c>
      <c r="B29" s="12">
        <f>0.1</f>
        <v>0.1</v>
      </c>
      <c r="C29" s="2" t="s">
        <v>11</v>
      </c>
      <c r="D29" t="s">
        <v>116</v>
      </c>
    </row>
    <row r="31" spans="1:4" x14ac:dyDescent="0.3">
      <c r="A31" t="s">
        <v>190</v>
      </c>
      <c r="B31" s="12">
        <v>0.14199999999999999</v>
      </c>
      <c r="C31" t="s">
        <v>144</v>
      </c>
      <c r="D31" t="s">
        <v>192</v>
      </c>
    </row>
    <row r="32" spans="1:4" x14ac:dyDescent="0.3">
      <c r="A32" t="s">
        <v>194</v>
      </c>
      <c r="B32" s="12">
        <v>1</v>
      </c>
      <c r="C32" t="s">
        <v>144</v>
      </c>
      <c r="D32" t="s">
        <v>195</v>
      </c>
    </row>
    <row r="34" spans="1:4" x14ac:dyDescent="0.3">
      <c r="A34" s="32" t="s">
        <v>215</v>
      </c>
    </row>
    <row r="35" spans="1:4" x14ac:dyDescent="0.3">
      <c r="A35" t="s">
        <v>234</v>
      </c>
      <c r="B35">
        <v>1</v>
      </c>
      <c r="C35" t="s">
        <v>11</v>
      </c>
      <c r="D35" t="s">
        <v>235</v>
      </c>
    </row>
    <row r="36" spans="1:4" x14ac:dyDescent="0.3">
      <c r="A36" t="s">
        <v>219</v>
      </c>
      <c r="B36">
        <f>(2*10^-3)/1</f>
        <v>2E-3</v>
      </c>
      <c r="C36" t="s">
        <v>221</v>
      </c>
      <c r="D36" t="s">
        <v>220</v>
      </c>
    </row>
    <row r="37" spans="1:4" x14ac:dyDescent="0.3">
      <c r="A37" t="s">
        <v>540</v>
      </c>
      <c r="B37">
        <v>2.5</v>
      </c>
      <c r="C37" t="s">
        <v>11</v>
      </c>
      <c r="D37" t="s">
        <v>541</v>
      </c>
    </row>
    <row r="38" spans="1:4" x14ac:dyDescent="0.3">
      <c r="A38" t="s">
        <v>542</v>
      </c>
      <c r="B38">
        <f>1.6*10^-3</f>
        <v>1.6000000000000001E-3</v>
      </c>
      <c r="C38" t="s">
        <v>12</v>
      </c>
      <c r="D38" t="s">
        <v>543</v>
      </c>
    </row>
    <row r="44" spans="1:4" x14ac:dyDescent="0.3">
      <c r="A44" s="32" t="s">
        <v>286</v>
      </c>
    </row>
    <row r="45" spans="1:4" x14ac:dyDescent="0.3">
      <c r="A45" t="s">
        <v>287</v>
      </c>
      <c r="B45">
        <f>10*10^-6</f>
        <v>9.9999999999999991E-6</v>
      </c>
      <c r="C45" t="s">
        <v>12</v>
      </c>
      <c r="D45" t="s">
        <v>288</v>
      </c>
    </row>
    <row r="47" spans="1:4" x14ac:dyDescent="0.3">
      <c r="A47" s="32" t="s">
        <v>308</v>
      </c>
    </row>
    <row r="48" spans="1:4" x14ac:dyDescent="0.3">
      <c r="A48" t="s">
        <v>309</v>
      </c>
      <c r="B48">
        <v>1.5</v>
      </c>
      <c r="C48" t="s">
        <v>11</v>
      </c>
      <c r="D48" t="s">
        <v>312</v>
      </c>
    </row>
    <row r="49" spans="1:4" x14ac:dyDescent="0.3">
      <c r="A49" t="s">
        <v>310</v>
      </c>
      <c r="B49">
        <v>1.45</v>
      </c>
      <c r="C49" t="s">
        <v>11</v>
      </c>
      <c r="D49" t="s">
        <v>311</v>
      </c>
    </row>
    <row r="50" spans="1:4" x14ac:dyDescent="0.3">
      <c r="A50" t="s">
        <v>315</v>
      </c>
      <c r="B50">
        <f>5*10^-6</f>
        <v>4.9999999999999996E-6</v>
      </c>
      <c r="C50" t="s">
        <v>12</v>
      </c>
      <c r="D50" t="s">
        <v>316</v>
      </c>
    </row>
    <row r="52" spans="1:4" x14ac:dyDescent="0.3">
      <c r="A52" s="32" t="s">
        <v>361</v>
      </c>
    </row>
    <row r="53" spans="1:4" x14ac:dyDescent="0.3">
      <c r="A53" t="s">
        <v>362</v>
      </c>
      <c r="B53">
        <v>6.75</v>
      </c>
      <c r="C53" t="s">
        <v>11</v>
      </c>
      <c r="D53" t="s">
        <v>363</v>
      </c>
    </row>
    <row r="55" spans="1:4" x14ac:dyDescent="0.3">
      <c r="A55" s="32" t="s">
        <v>375</v>
      </c>
    </row>
    <row r="56" spans="1:4" x14ac:dyDescent="0.3">
      <c r="A56" t="s">
        <v>376</v>
      </c>
      <c r="B56">
        <f>450*(10^-6)</f>
        <v>4.4999999999999999E-4</v>
      </c>
      <c r="C56" t="s">
        <v>12</v>
      </c>
      <c r="D56" t="s">
        <v>377</v>
      </c>
    </row>
    <row r="58" spans="1:4" x14ac:dyDescent="0.3">
      <c r="A58" t="s">
        <v>407</v>
      </c>
    </row>
    <row r="59" spans="1:4" x14ac:dyDescent="0.3">
      <c r="A59" t="s">
        <v>408</v>
      </c>
      <c r="B59">
        <v>1.5</v>
      </c>
      <c r="C59" t="s">
        <v>11</v>
      </c>
      <c r="D59" t="s">
        <v>409</v>
      </c>
    </row>
    <row r="60" spans="1:4" x14ac:dyDescent="0.3">
      <c r="A60" t="s">
        <v>411</v>
      </c>
      <c r="B60">
        <v>45</v>
      </c>
      <c r="C60" t="s">
        <v>11</v>
      </c>
      <c r="D60" t="s">
        <v>410</v>
      </c>
    </row>
    <row r="61" spans="1:4" x14ac:dyDescent="0.3">
      <c r="A61" t="s">
        <v>707</v>
      </c>
      <c r="B61">
        <v>60</v>
      </c>
      <c r="C61" t="s">
        <v>11</v>
      </c>
      <c r="D61" t="s">
        <v>708</v>
      </c>
    </row>
  </sheetData>
  <mergeCells count="2">
    <mergeCell ref="A1:I1"/>
    <mergeCell ref="E5:H5"/>
  </mergeCells>
  <conditionalFormatting sqref="H14">
    <cfRule type="cellIs" priority="1" operator="lessThan">
      <formula>100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9"/>
  <sheetViews>
    <sheetView topLeftCell="B4" zoomScale="70" zoomScaleNormal="70" workbookViewId="0">
      <selection activeCell="C14" sqref="C14"/>
    </sheetView>
  </sheetViews>
  <sheetFormatPr baseColWidth="10" defaultColWidth="9.33203125" defaultRowHeight="14.4" x14ac:dyDescent="0.3"/>
  <cols>
    <col min="3" max="3" width="145.88671875" style="169" customWidth="1"/>
  </cols>
  <sheetData>
    <row r="2" spans="2:2" x14ac:dyDescent="0.3">
      <c r="B2" t="str">
        <f>CHOOSE(Variable_Management!B13,"Eff_OUT_1","Eff_OUT_2","Eff_OUT_3")</f>
        <v>Eff_OUT_1</v>
      </c>
    </row>
    <row r="3" spans="2:2" ht="379.65" customHeight="1" x14ac:dyDescent="0.3"/>
    <row r="6" spans="2:2" ht="379.65" customHeight="1" x14ac:dyDescent="0.3"/>
    <row r="9" spans="2:2" ht="379.95" customHeight="1" x14ac:dyDescent="0.3"/>
  </sheetData>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5"/>
  <sheetViews>
    <sheetView workbookViewId="0">
      <selection activeCell="F15" sqref="F15"/>
    </sheetView>
  </sheetViews>
  <sheetFormatPr baseColWidth="10" defaultColWidth="8.88671875" defaultRowHeight="14.4" x14ac:dyDescent="0.3"/>
  <sheetData>
    <row r="1" spans="1:12" x14ac:dyDescent="0.3">
      <c r="I1" t="s">
        <v>514</v>
      </c>
    </row>
    <row r="2" spans="1:12" ht="18" x14ac:dyDescent="0.35">
      <c r="A2" t="s">
        <v>387</v>
      </c>
      <c r="F2" t="s">
        <v>432</v>
      </c>
      <c r="I2" s="189" t="s">
        <v>515</v>
      </c>
      <c r="L2" t="s">
        <v>635</v>
      </c>
    </row>
    <row r="3" spans="1:12" ht="18" x14ac:dyDescent="0.35">
      <c r="B3">
        <f>VIN_min</f>
        <v>9</v>
      </c>
      <c r="F3" t="s">
        <v>432</v>
      </c>
      <c r="G3">
        <v>1</v>
      </c>
      <c r="I3" s="189" t="s">
        <v>516</v>
      </c>
      <c r="L3" t="s">
        <v>636</v>
      </c>
    </row>
    <row r="4" spans="1:12" x14ac:dyDescent="0.3">
      <c r="B4">
        <f>VIN_nom</f>
        <v>24</v>
      </c>
      <c r="D4">
        <v>2.5</v>
      </c>
      <c r="G4">
        <v>0</v>
      </c>
      <c r="L4" t="s">
        <v>637</v>
      </c>
    </row>
    <row r="5" spans="1:12" x14ac:dyDescent="0.3">
      <c r="B5">
        <f>VIN_max</f>
        <v>30</v>
      </c>
    </row>
  </sheetData>
  <dataValidations count="3">
    <dataValidation type="list" allowBlank="1" showInputMessage="1" showErrorMessage="1" sqref="D4" xr:uid="{00000000-0002-0000-0700-000000000000}">
      <formula1>$B$3:$B$5</formula1>
    </dataValidation>
    <dataValidation type="decimal" allowBlank="1" showInputMessage="1" showErrorMessage="1" sqref="F4" xr:uid="{00000000-0002-0000-0700-000001000000}">
      <formula1>B3</formula1>
      <formula2>B5</formula2>
    </dataValidation>
    <dataValidation type="list" showDropDown="1" showInputMessage="1" showErrorMessage="1" sqref="I15" xr:uid="{00000000-0002-0000-0700-000002000000}">
      <formula1>$B$3:$B$5</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202</vt:i4>
      </vt:variant>
    </vt:vector>
  </HeadingPairs>
  <TitlesOfParts>
    <vt:vector size="213" baseType="lpstr">
      <vt:lpstr>Design Converter</vt:lpstr>
      <vt:lpstr>Licenses</vt:lpstr>
      <vt:lpstr>Variable_Management</vt:lpstr>
      <vt:lpstr>CCM_Loop_Modeling_Isolated</vt:lpstr>
      <vt:lpstr>CCM_Loop_Modeling_non_isolated</vt:lpstr>
      <vt:lpstr>Eff_vs_IOUT</vt:lpstr>
      <vt:lpstr>Constants</vt:lpstr>
      <vt:lpstr>Plot_Management_Eff</vt:lpstr>
      <vt:lpstr>Lists</vt:lpstr>
      <vt:lpstr>Plot Management_Loop</vt:lpstr>
      <vt:lpstr>Plot Management_Sch</vt:lpstr>
      <vt:lpstr>Acs</vt:lpstr>
      <vt:lpstr>CCM_Loop_Modeling_Isolated!Adc</vt:lpstr>
      <vt:lpstr>Adc</vt:lpstr>
      <vt:lpstr>Adc_ea</vt:lpstr>
      <vt:lpstr>CCM_Loop_Modeling_Isolated!Adc_ea_iso</vt:lpstr>
      <vt:lpstr>ADC_VINmin</vt:lpstr>
      <vt:lpstr>CCOMP</vt:lpstr>
      <vt:lpstr>CComp_calc</vt:lpstr>
      <vt:lpstr>Ccomp_iso</vt:lpstr>
      <vt:lpstr>Ccomp_iso_calc</vt:lpstr>
      <vt:lpstr>CD3_</vt:lpstr>
      <vt:lpstr>CHF</vt:lpstr>
      <vt:lpstr>Comp_calc</vt:lpstr>
      <vt:lpstr>Copto</vt:lpstr>
      <vt:lpstr>Cout_total</vt:lpstr>
      <vt:lpstr>Cout1</vt:lpstr>
      <vt:lpstr>Cout1_min</vt:lpstr>
      <vt:lpstr>Cout2</vt:lpstr>
      <vt:lpstr>Cout2_min</vt:lpstr>
      <vt:lpstr>Cout3</vt:lpstr>
      <vt:lpstr>Cout3_min</vt:lpstr>
      <vt:lpstr>D_limit_max</vt:lpstr>
      <vt:lpstr>D_limit_min</vt:lpstr>
      <vt:lpstr>D_limit_nom</vt:lpstr>
      <vt:lpstr>CCM_Loop_Modeling_Isolated!Dc_var_ccm</vt:lpstr>
      <vt:lpstr>Dc_var_ccm</vt:lpstr>
      <vt:lpstr>Dc_VIN_max</vt:lpstr>
      <vt:lpstr>Dc_VIN_min</vt:lpstr>
      <vt:lpstr>Dc_VIN_nom</vt:lpstr>
      <vt:lpstr>Dmax_limit</vt:lpstr>
      <vt:lpstr>EFF_est</vt:lpstr>
      <vt:lpstr>Eff_OUT_1</vt:lpstr>
      <vt:lpstr>Eff_OUT_2</vt:lpstr>
      <vt:lpstr>Eff_OUT_3</vt:lpstr>
      <vt:lpstr>Eff_vs_IOUT</vt:lpstr>
      <vt:lpstr>EN_OUT_2</vt:lpstr>
      <vt:lpstr>EN_OUT_3</vt:lpstr>
      <vt:lpstr>FB_type</vt:lpstr>
      <vt:lpstr>fcross</vt:lpstr>
      <vt:lpstr>fcross_est</vt:lpstr>
      <vt:lpstr>fcross_iso</vt:lpstr>
      <vt:lpstr>fcross_iso_est</vt:lpstr>
      <vt:lpstr>fopto</vt:lpstr>
      <vt:lpstr>fp_ea_est</vt:lpstr>
      <vt:lpstr>Fsw</vt:lpstr>
      <vt:lpstr>fz_ea_est</vt:lpstr>
      <vt:lpstr>fz_rhp</vt:lpstr>
      <vt:lpstr>Gcomp</vt:lpstr>
      <vt:lpstr>Gea_mid_calc</vt:lpstr>
      <vt:lpstr>gfs</vt:lpstr>
      <vt:lpstr>gm_ea</vt:lpstr>
      <vt:lpstr>CCM_Loop_Modeling_Isolated!Gplant_fc_dB</vt:lpstr>
      <vt:lpstr>Gplant_fc_dB</vt:lpstr>
      <vt:lpstr>Icomp_sink_max</vt:lpstr>
      <vt:lpstr>IL_avg_VIN_max</vt:lpstr>
      <vt:lpstr>IL_avg_VIN_min</vt:lpstr>
      <vt:lpstr>IL_avg_VIN_nom</vt:lpstr>
      <vt:lpstr>IL_pk</vt:lpstr>
      <vt:lpstr>IL_pk_max</vt:lpstr>
      <vt:lpstr>ILp_VINmax</vt:lpstr>
      <vt:lpstr>ILp_VINmin</vt:lpstr>
      <vt:lpstr>ILp_VINnom</vt:lpstr>
      <vt:lpstr>ILrip</vt:lpstr>
      <vt:lpstr>ILrip_VINmax</vt:lpstr>
      <vt:lpstr>ILrip_VINmin</vt:lpstr>
      <vt:lpstr>ILrip_VINnom</vt:lpstr>
      <vt:lpstr>IOUT1</vt:lpstr>
      <vt:lpstr>IOUT2</vt:lpstr>
      <vt:lpstr>IOUT3</vt:lpstr>
      <vt:lpstr>Ipk_margin</vt:lpstr>
      <vt:lpstr>Ipk_selected</vt:lpstr>
      <vt:lpstr>IQ</vt:lpstr>
      <vt:lpstr>IRMS_COUT</vt:lpstr>
      <vt:lpstr>Isl</vt:lpstr>
      <vt:lpstr>Iss</vt:lpstr>
      <vt:lpstr>kopto_max</vt:lpstr>
      <vt:lpstr>kopto_min</vt:lpstr>
      <vt:lpstr>Kslope</vt:lpstr>
      <vt:lpstr>Lm</vt:lpstr>
      <vt:lpstr>LOOP_ISO</vt:lpstr>
      <vt:lpstr>LOOP_nISO</vt:lpstr>
      <vt:lpstr>CCM_Loop_Modeling_Isolated!mc</vt:lpstr>
      <vt:lpstr>mc</vt:lpstr>
      <vt:lpstr>Np</vt:lpstr>
      <vt:lpstr>NS1_</vt:lpstr>
      <vt:lpstr>NS2_</vt:lpstr>
      <vt:lpstr>NS3_</vt:lpstr>
      <vt:lpstr>POUT_Total</vt:lpstr>
      <vt:lpstr>CCM_Loop_Modeling_Isolated!Pout_var</vt:lpstr>
      <vt:lpstr>Pout_var</vt:lpstr>
      <vt:lpstr>POUT1</vt:lpstr>
      <vt:lpstr>POUT2</vt:lpstr>
      <vt:lpstr>POUT3</vt:lpstr>
      <vt:lpstr>CCM_Loop_Modeling_Isolated!Q</vt:lpstr>
      <vt:lpstr>Q</vt:lpstr>
      <vt:lpstr>Q_VINmin</vt:lpstr>
      <vt:lpstr>Qg_tot</vt:lpstr>
      <vt:lpstr>Qgd</vt:lpstr>
      <vt:lpstr>Qgs</vt:lpstr>
      <vt:lpstr>QRR1_</vt:lpstr>
      <vt:lpstr>QRR2_</vt:lpstr>
      <vt:lpstr>QRR3_</vt:lpstr>
      <vt:lpstr>R_cs</vt:lpstr>
      <vt:lpstr>R_sl</vt:lpstr>
      <vt:lpstr>RCOMP</vt:lpstr>
      <vt:lpstr>Rcomp_calc</vt:lpstr>
      <vt:lpstr>Rcomp_iso</vt:lpstr>
      <vt:lpstr>Rcs_max</vt:lpstr>
      <vt:lpstr>Rcs_w_sl</vt:lpstr>
      <vt:lpstr>Rcs_wo_sl</vt:lpstr>
      <vt:lpstr>Rdcr</vt:lpstr>
      <vt:lpstr>Rdcr1</vt:lpstr>
      <vt:lpstr>Rdcr2</vt:lpstr>
      <vt:lpstr>Rdcr3</vt:lpstr>
      <vt:lpstr>RDS_on</vt:lpstr>
      <vt:lpstr>Resr_total</vt:lpstr>
      <vt:lpstr>Resr1</vt:lpstr>
      <vt:lpstr>Resr2</vt:lpstr>
      <vt:lpstr>Resr2_Trans</vt:lpstr>
      <vt:lpstr>Resr3</vt:lpstr>
      <vt:lpstr>Resr3_Trans</vt:lpstr>
      <vt:lpstr>RFBB</vt:lpstr>
      <vt:lpstr>RFBB_calc</vt:lpstr>
      <vt:lpstr>RFBB_iso</vt:lpstr>
      <vt:lpstr>RFBB_iso_calc</vt:lpstr>
      <vt:lpstr>RFBT</vt:lpstr>
      <vt:lpstr>RFBT_iso</vt:lpstr>
      <vt:lpstr>Rgate</vt:lpstr>
      <vt:lpstr>RLED</vt:lpstr>
      <vt:lpstr>ROUT1</vt:lpstr>
      <vt:lpstr>ROUT2</vt:lpstr>
      <vt:lpstr>ROUT3</vt:lpstr>
      <vt:lpstr>Rpullup</vt:lpstr>
      <vt:lpstr>Rpullup_min</vt:lpstr>
      <vt:lpstr>Rsl_int</vt:lpstr>
      <vt:lpstr>RT</vt:lpstr>
      <vt:lpstr>Ruvlo_bottom_calc</vt:lpstr>
      <vt:lpstr>Ruvlo_top</vt:lpstr>
      <vt:lpstr>Ruvlo_top_calc</vt:lpstr>
      <vt:lpstr>sch_ISO_1</vt:lpstr>
      <vt:lpstr>sch_ISO_2</vt:lpstr>
      <vt:lpstr>sch_ISO_3</vt:lpstr>
      <vt:lpstr>sch_nISO_1</vt:lpstr>
      <vt:lpstr>sch_nISO_2</vt:lpstr>
      <vt:lpstr>sch_nISO_3</vt:lpstr>
      <vt:lpstr>Se_VINmin</vt:lpstr>
      <vt:lpstr>Sn_VINmin</vt:lpstr>
      <vt:lpstr>tf_sw</vt:lpstr>
      <vt:lpstr>tr_sw</vt:lpstr>
      <vt:lpstr>tss</vt:lpstr>
      <vt:lpstr>UV_fall</vt:lpstr>
      <vt:lpstr>UV_I_hyst</vt:lpstr>
      <vt:lpstr>UV_rise</vt:lpstr>
      <vt:lpstr>Vcc</vt:lpstr>
      <vt:lpstr>VCE_sat</vt:lpstr>
      <vt:lpstr>Vcl</vt:lpstr>
      <vt:lpstr>Vcomp_max</vt:lpstr>
      <vt:lpstr>VD</vt:lpstr>
      <vt:lpstr>Vd_opto</vt:lpstr>
      <vt:lpstr>VD1_</vt:lpstr>
      <vt:lpstr>VD2_</vt:lpstr>
      <vt:lpstr>VD3_</vt:lpstr>
      <vt:lpstr>VIN_max</vt:lpstr>
      <vt:lpstr>VIN_min</vt:lpstr>
      <vt:lpstr>VIN_nom</vt:lpstr>
      <vt:lpstr>VIN_op_max</vt:lpstr>
      <vt:lpstr>VIN_op_max_56</vt:lpstr>
      <vt:lpstr>VIN_op_min</vt:lpstr>
      <vt:lpstr>VIN_var</vt:lpstr>
      <vt:lpstr>VOUT1</vt:lpstr>
      <vt:lpstr>Vout1_rip_sel</vt:lpstr>
      <vt:lpstr>VOUT2</vt:lpstr>
      <vt:lpstr>Vout2_rip_sel</vt:lpstr>
      <vt:lpstr>VOUT3</vt:lpstr>
      <vt:lpstr>Vout3_rip_sel</vt:lpstr>
      <vt:lpstr>Vpullup</vt:lpstr>
      <vt:lpstr>Vref</vt:lpstr>
      <vt:lpstr>Vref_iso</vt:lpstr>
      <vt:lpstr>Vth</vt:lpstr>
      <vt:lpstr>Vuvlo_off</vt:lpstr>
      <vt:lpstr>Vuvlo_on</vt:lpstr>
      <vt:lpstr>CCM_Loop_Modeling_Isolated!wp_lf</vt:lpstr>
      <vt:lpstr>wp_lf</vt:lpstr>
      <vt:lpstr>wp_lf_VINmin</vt:lpstr>
      <vt:lpstr>wp0_ea</vt:lpstr>
      <vt:lpstr>wp1_ea</vt:lpstr>
      <vt:lpstr>CCM_Loop_Modeling_Isolated!wpA_ea_iso</vt:lpstr>
      <vt:lpstr>CCM_Loop_Modeling_Isolated!wpB_ea_iso</vt:lpstr>
      <vt:lpstr>wpC_ea_iso</vt:lpstr>
      <vt:lpstr>CCM_Loop_Modeling_Isolated!wsl</vt:lpstr>
      <vt:lpstr>wsl</vt:lpstr>
      <vt:lpstr>wsl_VINmin</vt:lpstr>
      <vt:lpstr>wz_ea</vt:lpstr>
      <vt:lpstr>CCM_Loop_Modeling_Isolated!wz_esr</vt:lpstr>
      <vt:lpstr>wz_esr</vt:lpstr>
      <vt:lpstr>wz_esr_VINmin</vt:lpstr>
      <vt:lpstr>CCM_Loop_Modeling_Isolated!wz_rhp</vt:lpstr>
      <vt:lpstr>wz_rhp</vt:lpstr>
      <vt:lpstr>wz_RHP_VINmin</vt:lpstr>
      <vt:lpstr>wz1_ea_iso</vt:lpstr>
      <vt:lpstr>CCM_Loop_Modeling_Isolated!wz2_ea_iso</vt:lpstr>
      <vt:lpstr>'Design Converter'!Zone_d_impression</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BMC-BCS</dc:creator>
  <cp:lastModifiedBy>Tual, Jerome</cp:lastModifiedBy>
  <cp:lastPrinted>2018-08-09T07:13:51Z</cp:lastPrinted>
  <dcterms:created xsi:type="dcterms:W3CDTF">2018-06-26T09:13:29Z</dcterms:created>
  <dcterms:modified xsi:type="dcterms:W3CDTF">2024-06-12T09:37:30Z</dcterms:modified>
</cp:coreProperties>
</file>