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I 공유자료\"/>
    </mc:Choice>
  </mc:AlternateContent>
  <workbookProtection workbookPassword="ECDD" lockStructure="1"/>
  <bookViews>
    <workbookView xWindow="420" yWindow="-15" windowWidth="13275" windowHeight="9720" tabRatio="806" activeTab="2"/>
  </bookViews>
  <sheets>
    <sheet name="Instructions" sheetId="2" r:id="rId1"/>
    <sheet name="Functional Schematic" sheetId="7" r:id="rId2"/>
    <sheet name="Design Information" sheetId="1" r:id="rId3"/>
    <sheet name="Figure of T1 Current" sheetId="8" r:id="rId4"/>
    <sheet name="TABSET Valley Switching" sheetId="9" r:id="rId5"/>
    <sheet name="TCDSET Valley Switching" sheetId="10" r:id="rId6"/>
    <sheet name="Voltage Loop" sheetId="6" state="hidden" r:id="rId7"/>
    <sheet name="Standard R and C Look Up Table" sheetId="3" state="hidden" r:id="rId8"/>
  </sheets>
  <externalReferences>
    <externalReference r:id="rId9"/>
  </externalReferences>
  <definedNames>
    <definedName name="_imp2">'Design Information'!$C$40</definedName>
    <definedName name="_ims2">'Design Information'!$C$32</definedName>
    <definedName name="_ipp1">'Design Information'!$C$112</definedName>
    <definedName name="_st1">'Design Information'!#REF!</definedName>
    <definedName name="_st10">'Standard R and C Look Up Table'!#REF!</definedName>
    <definedName name="_st11">'Standard R and C Look Up Table'!#REF!</definedName>
    <definedName name="_st12">'Standard R and C Look Up Table'!#REF!</definedName>
    <definedName name="_st13">'Standard R and C Look Up Table'!#REF!</definedName>
    <definedName name="_st14">'Standard R and C Look Up Table'!#REF!</definedName>
    <definedName name="_st15">'Standard R and C Look Up Table'!#REF!</definedName>
    <definedName name="_st16">'Standard R and C Look Up Table'!#REF!</definedName>
    <definedName name="_st17">'Standard R and C Look Up Table'!#REF!</definedName>
    <definedName name="_st18">'Standard R and C Look Up Table'!#REF!</definedName>
    <definedName name="_st2">'Design Information'!#REF!</definedName>
    <definedName name="_st3">'Standard R and C Look Up Table'!#REF!</definedName>
    <definedName name="_st4">'Standard R and C Look Up Table'!#REF!</definedName>
    <definedName name="_st5">'Standard R and C Look Up Table'!#REF!</definedName>
    <definedName name="_st6">'Standard R and C Look Up Table'!#REF!</definedName>
    <definedName name="_st7">'Standard R and C Look Up Table'!#REF!</definedName>
    <definedName name="_st8">'Standard R and C Look Up Table'!#REF!</definedName>
    <definedName name="_st9">'Standard R and C Look Up Table'!#REF!</definedName>
    <definedName name="_std2">'Design Information'!#REF!</definedName>
    <definedName name="_ta1">'Design Information'!$C$25</definedName>
    <definedName name="_ta11">'Design Information'!$C$25</definedName>
    <definedName name="_ta2">'Design Information'!$C$111</definedName>
    <definedName name="_taa1">'Design Information'!$C$26</definedName>
    <definedName name="_va1">'Design Information'!$C$120</definedName>
    <definedName name="C_enter">'Standard R and C Look Up Table'!$K$2</definedName>
    <definedName name="C_f1">'Standard R and C Look Up Table'!$K$17</definedName>
    <definedName name="C_f2">'Standard R and C Look Up Table'!$K$24</definedName>
    <definedName name="c_s1">'Standard R and C Look Up Table'!$J$6</definedName>
    <definedName name="C_s2">'Standard R and C Look Up Table'!$J$19</definedName>
    <definedName name="Center">'Standard R and C Look Up Table'!$K$2</definedName>
    <definedName name="constant">'Design Information'!$C$132</definedName>
    <definedName name="cossqaavg">'Design Information'!$C$56</definedName>
    <definedName name="cossqaspec">'Design Information'!$C$53</definedName>
    <definedName name="cossqeavg">'Design Information'!$C$90</definedName>
    <definedName name="cout">'Design Information'!$C$80</definedName>
    <definedName name="Cp">'Design Information'!$C$151</definedName>
    <definedName name="CPC">'[1]Design Information'!$C$87</definedName>
    <definedName name="Cstandard">'Standard R and C Look Up Table'!$K$3</definedName>
    <definedName name="Cz">'Design Information'!$C$146</definedName>
    <definedName name="CZC">'[1]Design Information'!$C$85</definedName>
    <definedName name="d2a">'Design Information'!$C$135</definedName>
    <definedName name="dclamp">'Design Information'!$C$102</definedName>
    <definedName name="dcrlout">'Design Information'!$C$69</definedName>
    <definedName name="dcrp">'Design Information'!$C$45</definedName>
    <definedName name="dcrs">'Design Information'!$C$46</definedName>
    <definedName name="dilmag">'Design Information'!$C$37</definedName>
    <definedName name="dilout">'Design Information'!$C$28</definedName>
    <definedName name="dmax">'Design Information'!$C$24</definedName>
    <definedName name="dtyp">'Design Information'!$C$27</definedName>
    <definedName name="E12_f">'Standard R and C Look Up Table'!$F$21</definedName>
    <definedName name="E12_s">'Standard R and C Look Up Table'!$E$10</definedName>
    <definedName name="E24_f">'Standard R and C Look Up Table'!$F$46</definedName>
    <definedName name="E24_s">'Standard R and C Look Up Table'!$E$23</definedName>
    <definedName name="E48_f">'Standard R and C Look Up Table'!$F$95</definedName>
    <definedName name="E48_s">'Standard R and C Look Up Table'!$E$48</definedName>
    <definedName name="E6_f">'Standard R and C Look Up Table'!$F$8</definedName>
    <definedName name="E6_s">'Standard R and C Look Up Table'!$E$3</definedName>
    <definedName name="E96_f">'Standard R and C Look Up Table'!$H$98</definedName>
    <definedName name="E96_s">'Standard R and C Look Up Table'!$G$3</definedName>
    <definedName name="Eff">'Design Information'!$B$17</definedName>
    <definedName name="esrcout">'Design Information'!$C$81</definedName>
    <definedName name="fc">'Design Information'!$C$130</definedName>
    <definedName name="fpp">'Design Information'!$C$129</definedName>
    <definedName name="fs">'Design Information'!$C$18</definedName>
    <definedName name="iloutrms">'Design Information'!$C$67</definedName>
    <definedName name="imp">'Design Information'!$C$39</definedName>
    <definedName name="ims">'Design Information'!$C$31</definedName>
    <definedName name="ipp">'Design Information'!$C$38</definedName>
    <definedName name="iprms">'Design Information'!$C$43</definedName>
    <definedName name="iprms1">'Design Information'!$C$41</definedName>
    <definedName name="iprms2">'Design Information'!$C$42</definedName>
    <definedName name="ips">'Design Information'!$C$30</definedName>
    <definedName name="isrms">'Design Information'!$C$36</definedName>
    <definedName name="isrms1">'Design Information'!$C$33</definedName>
    <definedName name="isrms2">'Design Information'!$C$34</definedName>
    <definedName name="isrms3">'Design Information'!$C$35</definedName>
    <definedName name="LAVG">'[1]Design Information'!$C$29</definedName>
    <definedName name="llk">'Design Information'!$C$47</definedName>
    <definedName name="lmag">'Design Information'!$C$29</definedName>
    <definedName name="lmag1">'Design Information'!$C$29</definedName>
    <definedName name="lmag2">'Design Information'!$C$44</definedName>
    <definedName name="lout">'Design Information'!$C$68</definedName>
    <definedName name="ls">'Design Information'!$C$61</definedName>
    <definedName name="n1divd1">'Design Information'!$C$134</definedName>
    <definedName name="NCT">'[1]Design Information'!$C$40</definedName>
    <definedName name="pbudget">'Design Information'!$C$22</definedName>
    <definedName name="pout">'Design Information'!$D$16</definedName>
    <definedName name="QAg">'Design Information'!$C$54</definedName>
    <definedName name="qeg">'Design Information'!$C$86</definedName>
    <definedName name="rdsonqa">'Design Information'!$C$52</definedName>
    <definedName name="rdsonqe">'Design Information'!$C$87</definedName>
    <definedName name="rf">'Design Information'!$C$141</definedName>
    <definedName name="RII">'Design Information'!$C$128</definedName>
    <definedName name="rload">'Design Information'!$C$131</definedName>
    <definedName name="RS">'Design Information'!$C$115</definedName>
    <definedName name="RZC">'[1]Design Information'!$C$83</definedName>
    <definedName name="sta">'Standard R and C Look Up Table'!$L$6</definedName>
    <definedName name="stb">'Standard R and C Look Up Table'!$L$19</definedName>
    <definedName name="std">'Design Information'!#REF!</definedName>
    <definedName name="tabset">'Design Information'!$C$182</definedName>
    <definedName name="tafset">'Design Information'!$C$200</definedName>
    <definedName name="tcdset">'Design Information'!$C$194</definedName>
    <definedName name="tdelay">'Design Information'!$C$100</definedName>
    <definedName name="temp">#REF!</definedName>
    <definedName name="thu">'Design Information'!$C$73</definedName>
    <definedName name="tr">'Design Information'!$C$95</definedName>
    <definedName name="vadel">'Design Information'!$C$188</definedName>
    <definedName name="vdsqe">'Design Information'!$C$85</definedName>
    <definedName name="vg">'Design Information'!$C$51</definedName>
    <definedName name="vin">'Design Information'!$C$13</definedName>
    <definedName name="vinerror">'Design Information'!#REF!</definedName>
    <definedName name="VINMAX">'Design Information'!$D$13</definedName>
    <definedName name="VINMIAX">'Design Information'!$D$13</definedName>
    <definedName name="VINMIN">'Design Information'!$B$13</definedName>
    <definedName name="VOUT">'Design Information'!$C$14</definedName>
    <definedName name="voutmin">'Design Information'!$B$14</definedName>
    <definedName name="vrdson">'Design Information'!$C$23</definedName>
    <definedName name="Vslope1">'Design Information'!$C$221</definedName>
    <definedName name="Vslope2">'Design Information'!$C$222</definedName>
    <definedName name="VTRAN">'Design Information'!$D$15</definedName>
  </definedNames>
  <calcPr calcId="152511"/>
</workbook>
</file>

<file path=xl/calcChain.xml><?xml version="1.0" encoding="utf-8"?>
<calcChain xmlns="http://schemas.openxmlformats.org/spreadsheetml/2006/main">
  <c r="C27" i="1" l="1"/>
  <c r="C220" i="1" s="1"/>
  <c r="C28" i="1"/>
  <c r="C30" i="1" s="1"/>
  <c r="C221" i="1"/>
  <c r="C25" i="1"/>
  <c r="C89" i="6" s="1"/>
  <c r="C206" i="1"/>
  <c r="C207" i="1" s="1"/>
  <c r="C208" i="1" s="1"/>
  <c r="C202" i="1"/>
  <c r="C203" i="1" s="1"/>
  <c r="C204" i="1" s="1"/>
  <c r="C184" i="1"/>
  <c r="C185" i="1" s="1"/>
  <c r="C186" i="1" s="1"/>
  <c r="C56" i="1"/>
  <c r="C99" i="1"/>
  <c r="C100" i="1" s="1"/>
  <c r="C188" i="1"/>
  <c r="C195" i="1"/>
  <c r="C196" i="1"/>
  <c r="F18" i="1"/>
  <c r="F13" i="1"/>
  <c r="C22" i="1"/>
  <c r="C81" i="1"/>
  <c r="C85" i="1"/>
  <c r="C90" i="1"/>
  <c r="C95" i="1"/>
  <c r="F17" i="1"/>
  <c r="E121" i="1"/>
  <c r="E120" i="1"/>
  <c r="C199" i="1"/>
  <c r="F14" i="1"/>
  <c r="C101" i="1"/>
  <c r="E104" i="1"/>
  <c r="C4" i="3"/>
  <c r="C216" i="1"/>
  <c r="C131" i="1"/>
  <c r="C80" i="1"/>
  <c r="D36" i="6" s="1"/>
  <c r="C129" i="1"/>
  <c r="C97" i="6"/>
  <c r="I3" i="6"/>
  <c r="J3" i="6"/>
  <c r="E2" i="6"/>
  <c r="I2" i="6"/>
  <c r="J2" i="6"/>
  <c r="R2" i="6"/>
  <c r="C130" i="1"/>
  <c r="A2" i="6"/>
  <c r="A3" i="6"/>
  <c r="A4" i="6"/>
  <c r="C7" i="3"/>
  <c r="C217" i="1"/>
  <c r="C212" i="1"/>
  <c r="C213" i="1"/>
  <c r="C175" i="1"/>
  <c r="C178" i="1" s="1"/>
  <c r="C177" i="1"/>
  <c r="C176" i="1" s="1"/>
  <c r="L6" i="3"/>
  <c r="K3" i="3" s="1"/>
  <c r="L19" i="3"/>
  <c r="C5" i="3"/>
  <c r="C8" i="3"/>
  <c r="C126" i="1"/>
  <c r="C127" i="1" s="1"/>
  <c r="C122" i="1"/>
  <c r="C123" i="1" s="1"/>
  <c r="C118" i="1"/>
  <c r="C6" i="3"/>
  <c r="C73" i="1"/>
  <c r="C75" i="1" s="1"/>
  <c r="C74" i="1"/>
  <c r="B4" i="6"/>
  <c r="J4" i="6" s="1"/>
  <c r="A5" i="6"/>
  <c r="B5" i="6"/>
  <c r="A6" i="6"/>
  <c r="E4" i="6"/>
  <c r="I4" i="6"/>
  <c r="B6" i="6"/>
  <c r="E6" i="6"/>
  <c r="A7" i="6"/>
  <c r="B7" i="6"/>
  <c r="A8" i="6"/>
  <c r="B8" i="6"/>
  <c r="J6" i="6"/>
  <c r="I6" i="6"/>
  <c r="A9" i="6"/>
  <c r="B9" i="6"/>
  <c r="A10" i="6"/>
  <c r="B10" i="6"/>
  <c r="A11" i="6"/>
  <c r="B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B12" i="6"/>
  <c r="E12" i="6"/>
  <c r="J11" i="6"/>
  <c r="I11" i="6"/>
  <c r="B13" i="6"/>
  <c r="J12" i="6"/>
  <c r="I12" i="6"/>
  <c r="B14" i="6"/>
  <c r="J13" i="6"/>
  <c r="I13" i="6"/>
  <c r="B15" i="6"/>
  <c r="J14" i="6"/>
  <c r="B16" i="6"/>
  <c r="I16" i="6" s="1"/>
  <c r="J15" i="6"/>
  <c r="I15" i="6"/>
  <c r="B17" i="6"/>
  <c r="J16" i="6"/>
  <c r="B18" i="6"/>
  <c r="J17" i="6"/>
  <c r="I17" i="6"/>
  <c r="B19" i="6"/>
  <c r="J18" i="6"/>
  <c r="B20" i="6"/>
  <c r="I20" i="6" s="1"/>
  <c r="J19" i="6"/>
  <c r="I19" i="6"/>
  <c r="B21" i="6"/>
  <c r="J20" i="6"/>
  <c r="B22" i="6"/>
  <c r="J21" i="6"/>
  <c r="I21" i="6"/>
  <c r="B23" i="6"/>
  <c r="J22" i="6"/>
  <c r="B24" i="6"/>
  <c r="I24" i="6" s="1"/>
  <c r="J23" i="6"/>
  <c r="I23" i="6"/>
  <c r="B25" i="6"/>
  <c r="J24" i="6"/>
  <c r="B26" i="6"/>
  <c r="A27" i="6"/>
  <c r="E25" i="6"/>
  <c r="J25" i="6"/>
  <c r="R25" i="6"/>
  <c r="I25" i="6"/>
  <c r="K25" i="6" s="1"/>
  <c r="B27" i="6"/>
  <c r="A28" i="6"/>
  <c r="B28" i="6"/>
  <c r="A29" i="6"/>
  <c r="J27" i="6"/>
  <c r="I27" i="6"/>
  <c r="B29" i="6"/>
  <c r="A30" i="6"/>
  <c r="I28" i="6"/>
  <c r="B30" i="6"/>
  <c r="E30" i="6"/>
  <c r="A31" i="6"/>
  <c r="J29" i="6"/>
  <c r="B31" i="6"/>
  <c r="A32" i="6"/>
  <c r="J30" i="6"/>
  <c r="I30" i="6"/>
  <c r="B32" i="6"/>
  <c r="E32" i="6"/>
  <c r="A33" i="6"/>
  <c r="J31" i="6"/>
  <c r="B33" i="6"/>
  <c r="A34" i="6"/>
  <c r="J32" i="6"/>
  <c r="I32" i="6"/>
  <c r="B34" i="6"/>
  <c r="E34" i="6"/>
  <c r="A35" i="6"/>
  <c r="J33" i="6"/>
  <c r="B35" i="6"/>
  <c r="J35" i="6" s="1"/>
  <c r="A36" i="6"/>
  <c r="I34" i="6"/>
  <c r="B36" i="6"/>
  <c r="A37" i="6"/>
  <c r="I35" i="6"/>
  <c r="B37" i="6"/>
  <c r="A38" i="6"/>
  <c r="B38" i="6"/>
  <c r="A39" i="6"/>
  <c r="A40" i="6"/>
  <c r="A41" i="6"/>
  <c r="A42" i="6"/>
  <c r="A43" i="6"/>
  <c r="A44" i="6"/>
  <c r="A45" i="6"/>
  <c r="A46" i="6"/>
  <c r="A47" i="6"/>
  <c r="B47" i="6"/>
  <c r="J37" i="6"/>
  <c r="I37" i="6"/>
  <c r="B39" i="6"/>
  <c r="E38" i="6"/>
  <c r="B40" i="6"/>
  <c r="J39" i="6"/>
  <c r="I39" i="6"/>
  <c r="B41" i="6"/>
  <c r="J40" i="6"/>
  <c r="B42" i="6"/>
  <c r="I42" i="6" s="1"/>
  <c r="J41" i="6"/>
  <c r="I41" i="6"/>
  <c r="B43" i="6"/>
  <c r="J42" i="6"/>
  <c r="B44" i="6"/>
  <c r="J43" i="6"/>
  <c r="I43" i="6"/>
  <c r="B45" i="6"/>
  <c r="J44" i="6"/>
  <c r="B46" i="6"/>
  <c r="J45" i="6"/>
  <c r="I45" i="6"/>
  <c r="R45" i="6"/>
  <c r="A48" i="6"/>
  <c r="B48" i="6"/>
  <c r="E46" i="6"/>
  <c r="A49" i="6"/>
  <c r="B49" i="6"/>
  <c r="A50" i="6"/>
  <c r="B50" i="6"/>
  <c r="E48" i="6"/>
  <c r="E50" i="6"/>
  <c r="J50" i="6"/>
  <c r="I50" i="6"/>
  <c r="J48" i="6"/>
  <c r="I48" i="6"/>
  <c r="E42" i="6"/>
  <c r="E37" i="6"/>
  <c r="A51" i="6"/>
  <c r="E45" i="6"/>
  <c r="E41" i="6"/>
  <c r="J36" i="6"/>
  <c r="I36" i="6"/>
  <c r="E35" i="6"/>
  <c r="E21" i="6"/>
  <c r="E17" i="6"/>
  <c r="E13" i="6"/>
  <c r="J10" i="6"/>
  <c r="I10" i="6"/>
  <c r="E9" i="6"/>
  <c r="I5" i="6"/>
  <c r="J34" i="6"/>
  <c r="E24" i="6"/>
  <c r="E20" i="6"/>
  <c r="E16" i="6"/>
  <c r="E11" i="6"/>
  <c r="C135" i="1"/>
  <c r="B51" i="6"/>
  <c r="A52" i="6"/>
  <c r="J51" i="6"/>
  <c r="I51" i="6"/>
  <c r="B52" i="6"/>
  <c r="A53" i="6"/>
  <c r="B53" i="6"/>
  <c r="A54" i="6"/>
  <c r="J52" i="6"/>
  <c r="B54" i="6"/>
  <c r="A55" i="6"/>
  <c r="I53" i="6"/>
  <c r="B55" i="6"/>
  <c r="A56" i="6"/>
  <c r="J54" i="6"/>
  <c r="I54" i="6"/>
  <c r="E54" i="6"/>
  <c r="B56" i="6"/>
  <c r="A57" i="6"/>
  <c r="B57" i="6"/>
  <c r="A58" i="6"/>
  <c r="J56" i="6"/>
  <c r="I56" i="6"/>
  <c r="E56" i="6"/>
  <c r="B58" i="6"/>
  <c r="A59" i="6"/>
  <c r="B59" i="6"/>
  <c r="A60" i="6"/>
  <c r="J58" i="6"/>
  <c r="I58" i="6"/>
  <c r="E58" i="6"/>
  <c r="B60" i="6"/>
  <c r="A61" i="6"/>
  <c r="B61" i="6"/>
  <c r="A62" i="6"/>
  <c r="J60" i="6"/>
  <c r="B62" i="6"/>
  <c r="A63" i="6"/>
  <c r="B63" i="6"/>
  <c r="A64" i="6"/>
  <c r="J62" i="6"/>
  <c r="I62" i="6"/>
  <c r="E62" i="6"/>
  <c r="D62" i="6"/>
  <c r="F62" i="6" s="1"/>
  <c r="I63" i="6"/>
  <c r="B64" i="6"/>
  <c r="A65" i="6"/>
  <c r="B65" i="6"/>
  <c r="A66" i="6"/>
  <c r="J64" i="6"/>
  <c r="B66" i="6"/>
  <c r="A67" i="6"/>
  <c r="E65" i="6"/>
  <c r="B67" i="6"/>
  <c r="A68" i="6"/>
  <c r="J66" i="6"/>
  <c r="I66" i="6"/>
  <c r="J67" i="6"/>
  <c r="I67" i="6"/>
  <c r="E67" i="6"/>
  <c r="B68" i="6"/>
  <c r="A69" i="6"/>
  <c r="J68" i="6"/>
  <c r="I68" i="6"/>
  <c r="B69" i="6"/>
  <c r="A70" i="6"/>
  <c r="B70" i="6"/>
  <c r="A71" i="6"/>
  <c r="J69" i="6"/>
  <c r="B71" i="6"/>
  <c r="A72" i="6"/>
  <c r="J71" i="6"/>
  <c r="I71" i="6"/>
  <c r="E71" i="6"/>
  <c r="B72" i="6"/>
  <c r="A73" i="6"/>
  <c r="J72" i="6"/>
  <c r="I72" i="6"/>
  <c r="B73" i="6"/>
  <c r="A74" i="6"/>
  <c r="A75" i="6"/>
  <c r="B74" i="6"/>
  <c r="E73" i="6"/>
  <c r="I73" i="6"/>
  <c r="E74" i="6"/>
  <c r="J74" i="6"/>
  <c r="I74" i="6"/>
  <c r="A76" i="6"/>
  <c r="B75" i="6"/>
  <c r="E75" i="6"/>
  <c r="J75" i="6"/>
  <c r="I75" i="6"/>
  <c r="A77" i="6"/>
  <c r="B76" i="6"/>
  <c r="J76" i="6"/>
  <c r="A78" i="6"/>
  <c r="B77" i="6"/>
  <c r="E77" i="6"/>
  <c r="J77" i="6"/>
  <c r="I77" i="6"/>
  <c r="A79" i="6"/>
  <c r="B78" i="6"/>
  <c r="J78" i="6"/>
  <c r="A80" i="6"/>
  <c r="B79" i="6"/>
  <c r="E79" i="6"/>
  <c r="J79" i="6"/>
  <c r="I79" i="6"/>
  <c r="A81" i="6"/>
  <c r="B80" i="6"/>
  <c r="J80" i="6"/>
  <c r="A82" i="6"/>
  <c r="B81" i="6"/>
  <c r="E81" i="6"/>
  <c r="D81" i="6"/>
  <c r="F81" i="6" s="1"/>
  <c r="J81" i="6"/>
  <c r="I81" i="6"/>
  <c r="A83" i="6"/>
  <c r="B82" i="6"/>
  <c r="I82" i="6"/>
  <c r="A84" i="6"/>
  <c r="B83" i="6"/>
  <c r="E83" i="6"/>
  <c r="J83" i="6"/>
  <c r="I83" i="6"/>
  <c r="A85" i="6"/>
  <c r="B84" i="6"/>
  <c r="J84" i="6"/>
  <c r="R84" i="6"/>
  <c r="A86" i="6"/>
  <c r="B85" i="6"/>
  <c r="B86" i="6"/>
  <c r="A87" i="6"/>
  <c r="I85" i="6"/>
  <c r="B87" i="6"/>
  <c r="A88" i="6"/>
  <c r="J86" i="6"/>
  <c r="I86" i="6"/>
  <c r="E86" i="6"/>
  <c r="B88" i="6"/>
  <c r="A89" i="6"/>
  <c r="I87" i="6"/>
  <c r="J88" i="6"/>
  <c r="I88" i="6"/>
  <c r="E88" i="6"/>
  <c r="B89" i="6"/>
  <c r="A90" i="6"/>
  <c r="B90" i="6"/>
  <c r="A91" i="6"/>
  <c r="E89" i="6"/>
  <c r="J89" i="6"/>
  <c r="I89" i="6"/>
  <c r="A92" i="6"/>
  <c r="B91" i="6"/>
  <c r="E90" i="6"/>
  <c r="J90" i="6"/>
  <c r="I90" i="6"/>
  <c r="A93" i="6"/>
  <c r="B92" i="6"/>
  <c r="J92" i="6" s="1"/>
  <c r="I91" i="6"/>
  <c r="J91" i="6"/>
  <c r="E91" i="6"/>
  <c r="B93" i="6"/>
  <c r="A94" i="6"/>
  <c r="E92" i="6"/>
  <c r="I92" i="6"/>
  <c r="A95" i="6"/>
  <c r="B94" i="6"/>
  <c r="I94" i="6" s="1"/>
  <c r="J93" i="6"/>
  <c r="J94" i="6"/>
  <c r="B95" i="6"/>
  <c r="A96" i="6"/>
  <c r="A97" i="6"/>
  <c r="B96" i="6"/>
  <c r="I96" i="6" s="1"/>
  <c r="E95" i="6"/>
  <c r="J95" i="6"/>
  <c r="I95" i="6"/>
  <c r="E96" i="6"/>
  <c r="J96" i="6"/>
  <c r="A98" i="6"/>
  <c r="B97" i="6"/>
  <c r="A99" i="6"/>
  <c r="B98" i="6"/>
  <c r="J98" i="6"/>
  <c r="I98" i="6"/>
  <c r="E98" i="6"/>
  <c r="D98" i="6"/>
  <c r="F98" i="6" s="1"/>
  <c r="B99" i="6"/>
  <c r="A100" i="6"/>
  <c r="B100" i="6"/>
  <c r="A101" i="6"/>
  <c r="B101" i="6"/>
  <c r="E99" i="6"/>
  <c r="J99" i="6"/>
  <c r="I99" i="6"/>
  <c r="E101" i="6"/>
  <c r="I101" i="6"/>
  <c r="J101" i="6"/>
  <c r="R101" i="6"/>
  <c r="J100" i="6"/>
  <c r="I100" i="6"/>
  <c r="E100" i="6"/>
  <c r="C31" i="1"/>
  <c r="C189" i="1"/>
  <c r="C190" i="1" s="1"/>
  <c r="K24" i="6"/>
  <c r="D88" i="6"/>
  <c r="F88" i="6" s="1"/>
  <c r="D86" i="6"/>
  <c r="F86" i="6" s="1"/>
  <c r="D85" i="6"/>
  <c r="D77" i="6"/>
  <c r="F77" i="6" s="1"/>
  <c r="D60" i="6"/>
  <c r="D59" i="6"/>
  <c r="D58" i="6"/>
  <c r="F58" i="6" s="1"/>
  <c r="D8" i="6"/>
  <c r="D16" i="6"/>
  <c r="F16" i="6" s="1"/>
  <c r="D18" i="6"/>
  <c r="D24" i="6"/>
  <c r="F24" i="6" s="1"/>
  <c r="D28" i="6"/>
  <c r="D10" i="6"/>
  <c r="D15" i="6"/>
  <c r="D17" i="6"/>
  <c r="F17" i="6" s="1"/>
  <c r="D23" i="6"/>
  <c r="D35" i="6"/>
  <c r="F35" i="6" s="1"/>
  <c r="D39" i="6"/>
  <c r="D37" i="6"/>
  <c r="F37" i="6" s="1"/>
  <c r="D3" i="6"/>
  <c r="D90" i="6"/>
  <c r="F90" i="6" s="1"/>
  <c r="D83" i="6"/>
  <c r="F83" i="6" s="1"/>
  <c r="D79" i="6"/>
  <c r="F79" i="6" s="1"/>
  <c r="D75" i="6"/>
  <c r="F75" i="6" s="1"/>
  <c r="D71" i="6"/>
  <c r="F71" i="6" s="1"/>
  <c r="D66" i="6"/>
  <c r="D56" i="6"/>
  <c r="F56" i="6" s="1"/>
  <c r="D6" i="6"/>
  <c r="F6" i="6" s="1"/>
  <c r="D30" i="6"/>
  <c r="F30" i="6" s="1"/>
  <c r="D5" i="6"/>
  <c r="D50" i="6"/>
  <c r="F50" i="6" s="1"/>
  <c r="D49" i="6"/>
  <c r="D46" i="6"/>
  <c r="F46" i="6" s="1"/>
  <c r="D25" i="6"/>
  <c r="F25" i="6" s="1"/>
  <c r="C134" i="1"/>
  <c r="C136" i="1" s="1"/>
  <c r="D2" i="6"/>
  <c r="F2" i="6" s="1"/>
  <c r="C133" i="1"/>
  <c r="D4" i="6"/>
  <c r="F4" i="6" s="1"/>
  <c r="D7" i="6"/>
  <c r="D26" i="6"/>
  <c r="D27" i="6"/>
  <c r="D34" i="6"/>
  <c r="F34" i="6" s="1"/>
  <c r="D47" i="6"/>
  <c r="D48" i="6"/>
  <c r="F48" i="6" s="1"/>
  <c r="D42" i="6"/>
  <c r="F42" i="6" s="1"/>
  <c r="D40" i="6"/>
  <c r="D45" i="6"/>
  <c r="F45" i="6" s="1"/>
  <c r="D43" i="6"/>
  <c r="D41" i="6"/>
  <c r="F41" i="6" s="1"/>
  <c r="D21" i="6"/>
  <c r="F21" i="6" s="1"/>
  <c r="D19" i="6"/>
  <c r="D13" i="6"/>
  <c r="F13" i="6" s="1"/>
  <c r="D9" i="6"/>
  <c r="F9" i="6" s="1"/>
  <c r="D33" i="6"/>
  <c r="D31" i="6"/>
  <c r="D29" i="6"/>
  <c r="D22" i="6"/>
  <c r="D20" i="6"/>
  <c r="F20" i="6" s="1"/>
  <c r="D14" i="6"/>
  <c r="D11" i="6"/>
  <c r="F11" i="6" s="1"/>
  <c r="D12" i="6"/>
  <c r="F12" i="6" s="1"/>
  <c r="D52" i="6"/>
  <c r="D54" i="6"/>
  <c r="F54" i="6" s="1"/>
  <c r="D55" i="6"/>
  <c r="D57" i="6"/>
  <c r="D61" i="6"/>
  <c r="D64" i="6"/>
  <c r="D67" i="6"/>
  <c r="F67" i="6" s="1"/>
  <c r="D68" i="6"/>
  <c r="D69" i="6"/>
  <c r="D70" i="6"/>
  <c r="D72" i="6"/>
  <c r="D74" i="6"/>
  <c r="F74" i="6" s="1"/>
  <c r="D76" i="6"/>
  <c r="D78" i="6"/>
  <c r="D80" i="6"/>
  <c r="D82" i="6"/>
  <c r="D84" i="6"/>
  <c r="D87" i="6"/>
  <c r="D89" i="6"/>
  <c r="F89" i="6" s="1"/>
  <c r="D91" i="6"/>
  <c r="F91" i="6" s="1"/>
  <c r="D92" i="6"/>
  <c r="F92" i="6" s="1"/>
  <c r="D93" i="6"/>
  <c r="D94" i="6"/>
  <c r="D95" i="6"/>
  <c r="F95" i="6" s="1"/>
  <c r="D96" i="6"/>
  <c r="F96" i="6" s="1"/>
  <c r="D97" i="6"/>
  <c r="D99" i="6"/>
  <c r="F99" i="6" s="1"/>
  <c r="D101" i="6"/>
  <c r="F101" i="6" s="1"/>
  <c r="D100" i="6"/>
  <c r="F100" i="6" s="1"/>
  <c r="D27" i="1"/>
  <c r="K16" i="6" l="1"/>
  <c r="K79" i="6"/>
  <c r="K77" i="6"/>
  <c r="K75" i="6"/>
  <c r="K74" i="6"/>
  <c r="K72" i="6"/>
  <c r="K71" i="6"/>
  <c r="K68" i="6"/>
  <c r="K67" i="6"/>
  <c r="K51" i="6"/>
  <c r="K10" i="6"/>
  <c r="K36" i="6"/>
  <c r="K43" i="6"/>
  <c r="K39" i="6"/>
  <c r="K48" i="6"/>
  <c r="K50" i="6"/>
  <c r="K45" i="6"/>
  <c r="K41" i="6"/>
  <c r="K37" i="6"/>
  <c r="C62" i="6"/>
  <c r="G62" i="6" s="1"/>
  <c r="H62" i="6" s="1"/>
  <c r="C95" i="6"/>
  <c r="C19" i="6"/>
  <c r="C30" i="6"/>
  <c r="C132" i="1"/>
  <c r="C66" i="1"/>
  <c r="E68" i="1" s="1"/>
  <c r="C35" i="6"/>
  <c r="G35" i="6" s="1"/>
  <c r="H35" i="6" s="1"/>
  <c r="C94" i="6"/>
  <c r="C63" i="6"/>
  <c r="C44" i="6"/>
  <c r="C51" i="6"/>
  <c r="C72" i="6"/>
  <c r="C32" i="6"/>
  <c r="C11" i="6"/>
  <c r="G11" i="6" s="1"/>
  <c r="C27" i="6"/>
  <c r="C47" i="6"/>
  <c r="C78" i="6"/>
  <c r="C14" i="6"/>
  <c r="C46" i="6"/>
  <c r="G46" i="6" s="1"/>
  <c r="H46" i="6" s="1"/>
  <c r="C79" i="6"/>
  <c r="G79" i="6" s="1"/>
  <c r="H79" i="6" s="1"/>
  <c r="C77" i="6"/>
  <c r="G77" i="6" s="1"/>
  <c r="H77" i="6" s="1"/>
  <c r="C12" i="6"/>
  <c r="C84" i="6"/>
  <c r="C93" i="6"/>
  <c r="C9" i="6"/>
  <c r="C65" i="6"/>
  <c r="C15" i="6"/>
  <c r="C23" i="6"/>
  <c r="C31" i="6"/>
  <c r="C41" i="6"/>
  <c r="C53" i="6"/>
  <c r="C70" i="6"/>
  <c r="C86" i="6"/>
  <c r="G86" i="6" s="1"/>
  <c r="H86" i="6" s="1"/>
  <c r="C6" i="6"/>
  <c r="C22" i="6"/>
  <c r="C38" i="6"/>
  <c r="C54" i="6"/>
  <c r="G54" i="6" s="1"/>
  <c r="H54" i="6" s="1"/>
  <c r="C71" i="6"/>
  <c r="C87" i="6"/>
  <c r="C101" i="6"/>
  <c r="G101" i="6" s="1"/>
  <c r="H101" i="6" s="1"/>
  <c r="C61" i="6"/>
  <c r="C28" i="6"/>
  <c r="C2" i="6"/>
  <c r="G2" i="6" s="1"/>
  <c r="H2" i="6" s="1"/>
  <c r="C100" i="6"/>
  <c r="G100" i="6" s="1"/>
  <c r="H100" i="6" s="1"/>
  <c r="C68" i="6"/>
  <c r="C7" i="6"/>
  <c r="C67" i="1"/>
  <c r="C70" i="1" s="1"/>
  <c r="C35" i="1"/>
  <c r="C55" i="6"/>
  <c r="C88" i="6"/>
  <c r="C16" i="6"/>
  <c r="G16" i="6" s="1"/>
  <c r="C48" i="6"/>
  <c r="C81" i="6"/>
  <c r="G81" i="6" s="1"/>
  <c r="C13" i="6"/>
  <c r="G13" i="6" s="1"/>
  <c r="H13" i="6" s="1"/>
  <c r="C17" i="6"/>
  <c r="G17" i="6" s="1"/>
  <c r="C21" i="6"/>
  <c r="G21" i="6" s="1"/>
  <c r="C25" i="6"/>
  <c r="C29" i="6"/>
  <c r="C33" i="6"/>
  <c r="C37" i="6"/>
  <c r="G37" i="6" s="1"/>
  <c r="H37" i="6" s="1"/>
  <c r="C45" i="6"/>
  <c r="G45" i="6" s="1"/>
  <c r="C49" i="6"/>
  <c r="C58" i="6"/>
  <c r="G58" i="6" s="1"/>
  <c r="H58" i="6" s="1"/>
  <c r="C66" i="6"/>
  <c r="C74" i="6"/>
  <c r="G74" i="6" s="1"/>
  <c r="H74" i="6" s="1"/>
  <c r="C82" i="6"/>
  <c r="C90" i="6"/>
  <c r="G90" i="6" s="1"/>
  <c r="H90" i="6" s="1"/>
  <c r="C98" i="6"/>
  <c r="G98" i="6" s="1"/>
  <c r="H98" i="6" s="1"/>
  <c r="C10" i="6"/>
  <c r="C18" i="6"/>
  <c r="C26" i="6"/>
  <c r="C34" i="6"/>
  <c r="G34" i="6" s="1"/>
  <c r="C42" i="6"/>
  <c r="G42" i="6" s="1"/>
  <c r="H42" i="6" s="1"/>
  <c r="C50" i="6"/>
  <c r="C59" i="6"/>
  <c r="C67" i="6"/>
  <c r="C75" i="6"/>
  <c r="G75" i="6" s="1"/>
  <c r="C83" i="6"/>
  <c r="G83" i="6" s="1"/>
  <c r="C91" i="6"/>
  <c r="G91" i="6" s="1"/>
  <c r="C99" i="6"/>
  <c r="G99" i="6" s="1"/>
  <c r="C85" i="6"/>
  <c r="C69" i="6"/>
  <c r="C52" i="6"/>
  <c r="C36" i="6"/>
  <c r="C20" i="6"/>
  <c r="G20" i="6" s="1"/>
  <c r="H20" i="6" s="1"/>
  <c r="C4" i="6"/>
  <c r="C56" i="6"/>
  <c r="G56" i="6" s="1"/>
  <c r="H56" i="6" s="1"/>
  <c r="C228" i="1"/>
  <c r="C230" i="1" s="1"/>
  <c r="C231" i="1" s="1"/>
  <c r="C92" i="6"/>
  <c r="G92" i="6" s="1"/>
  <c r="C76" i="6"/>
  <c r="C60" i="6"/>
  <c r="C39" i="6"/>
  <c r="C3" i="6"/>
  <c r="C76" i="1"/>
  <c r="C82" i="1" s="1"/>
  <c r="C29" i="1"/>
  <c r="C5" i="6"/>
  <c r="C43" i="6"/>
  <c r="C64" i="6"/>
  <c r="C80" i="6"/>
  <c r="C96" i="6"/>
  <c r="G96" i="6" s="1"/>
  <c r="H96" i="6" s="1"/>
  <c r="C8" i="6"/>
  <c r="C24" i="6"/>
  <c r="C40" i="6"/>
  <c r="C57" i="6"/>
  <c r="C73" i="6"/>
  <c r="C222" i="1"/>
  <c r="C223" i="1" s="1"/>
  <c r="C224" i="1" s="1"/>
  <c r="C225" i="1" s="1"/>
  <c r="C33" i="1"/>
  <c r="C32" i="1"/>
  <c r="C34" i="1" s="1"/>
  <c r="G50" i="6"/>
  <c r="H50" i="6" s="1"/>
  <c r="G6" i="6"/>
  <c r="H6" i="6" s="1"/>
  <c r="C112" i="1"/>
  <c r="C113" i="1" s="1"/>
  <c r="C114" i="1" s="1"/>
  <c r="K21" i="6"/>
  <c r="K20" i="6"/>
  <c r="K2" i="6"/>
  <c r="K3" i="6"/>
  <c r="K99" i="6"/>
  <c r="K96" i="6"/>
  <c r="K91" i="6"/>
  <c r="K92" i="6"/>
  <c r="K90" i="6"/>
  <c r="K89" i="6"/>
  <c r="K88" i="6"/>
  <c r="K86" i="6"/>
  <c r="K83" i="6"/>
  <c r="K81" i="6"/>
  <c r="K62" i="6"/>
  <c r="K58" i="6"/>
  <c r="K56" i="6"/>
  <c r="K54" i="6"/>
  <c r="K32" i="6"/>
  <c r="K30" i="6"/>
  <c r="K27" i="6"/>
  <c r="K23" i="6"/>
  <c r="K19" i="6"/>
  <c r="K17" i="6"/>
  <c r="K15" i="6"/>
  <c r="K13" i="6"/>
  <c r="K12" i="6"/>
  <c r="K11" i="6"/>
  <c r="K6" i="6"/>
  <c r="G95" i="6"/>
  <c r="H95" i="6" s="1"/>
  <c r="G12" i="6"/>
  <c r="H12" i="6" s="1"/>
  <c r="G48" i="6"/>
  <c r="H48" i="6" s="1"/>
  <c r="G41" i="6"/>
  <c r="H41" i="6" s="1"/>
  <c r="C137" i="1"/>
  <c r="C138" i="1" s="1"/>
  <c r="C139" i="1" s="1"/>
  <c r="C140" i="1" s="1"/>
  <c r="G30" i="6"/>
  <c r="H30" i="6" s="1"/>
  <c r="D51" i="6"/>
  <c r="G25" i="6"/>
  <c r="H25" i="6" s="1"/>
  <c r="D32" i="6"/>
  <c r="F32" i="6" s="1"/>
  <c r="C181" i="1"/>
  <c r="C102" i="1"/>
  <c r="C117" i="1" s="1"/>
  <c r="C193" i="1"/>
  <c r="G67" i="6"/>
  <c r="G4" i="6"/>
  <c r="G24" i="6"/>
  <c r="H24" i="6" s="1"/>
  <c r="G89" i="6"/>
  <c r="H89" i="6" s="1"/>
  <c r="G9" i="6"/>
  <c r="H9" i="6" s="1"/>
  <c r="G71" i="6"/>
  <c r="H71" i="6" s="1"/>
  <c r="G88" i="6"/>
  <c r="H88" i="6" s="1"/>
  <c r="K100" i="6"/>
  <c r="K101" i="6"/>
  <c r="K98" i="6"/>
  <c r="K95" i="6"/>
  <c r="K66" i="6"/>
  <c r="K34" i="6"/>
  <c r="K35" i="6"/>
  <c r="K4" i="6"/>
  <c r="J97" i="6"/>
  <c r="E97" i="6"/>
  <c r="F97" i="6" s="1"/>
  <c r="G97" i="6" s="1"/>
  <c r="K94" i="6"/>
  <c r="J70" i="6"/>
  <c r="E70" i="6"/>
  <c r="F70" i="6" s="1"/>
  <c r="G70" i="6" s="1"/>
  <c r="I69" i="6"/>
  <c r="K69" i="6" s="1"/>
  <c r="E69" i="6"/>
  <c r="F69" i="6" s="1"/>
  <c r="G69" i="6" s="1"/>
  <c r="J65" i="6"/>
  <c r="D65" i="6"/>
  <c r="F65" i="6" s="1"/>
  <c r="G65" i="6" s="1"/>
  <c r="I64" i="6"/>
  <c r="K64" i="6" s="1"/>
  <c r="E64" i="6"/>
  <c r="F64" i="6" s="1"/>
  <c r="G64" i="6" s="1"/>
  <c r="J61" i="6"/>
  <c r="E61" i="6"/>
  <c r="F61" i="6" s="1"/>
  <c r="I60" i="6"/>
  <c r="K60" i="6" s="1"/>
  <c r="E60" i="6"/>
  <c r="F60" i="6" s="1"/>
  <c r="J57" i="6"/>
  <c r="E57" i="6"/>
  <c r="F57" i="6" s="1"/>
  <c r="G57" i="6" s="1"/>
  <c r="I57" i="6"/>
  <c r="K57" i="6" s="1"/>
  <c r="E47" i="6"/>
  <c r="F47" i="6" s="1"/>
  <c r="G47" i="6" s="1"/>
  <c r="I47" i="6"/>
  <c r="J38" i="6"/>
  <c r="D38" i="6"/>
  <c r="F38" i="6" s="1"/>
  <c r="E29" i="6"/>
  <c r="F29" i="6" s="1"/>
  <c r="G29" i="6" s="1"/>
  <c r="I29" i="6"/>
  <c r="K29" i="6" s="1"/>
  <c r="E28" i="6"/>
  <c r="F28" i="6" s="1"/>
  <c r="G28" i="6" s="1"/>
  <c r="J28" i="6"/>
  <c r="K28" i="6" s="1"/>
  <c r="I9" i="6"/>
  <c r="J9" i="6"/>
  <c r="J8" i="6"/>
  <c r="E8" i="6"/>
  <c r="F8" i="6" s="1"/>
  <c r="I8" i="6"/>
  <c r="K8" i="6" s="1"/>
  <c r="E7" i="6"/>
  <c r="F7" i="6" s="1"/>
  <c r="I7" i="6"/>
  <c r="J7" i="6"/>
  <c r="C103" i="1"/>
  <c r="C104" i="1" s="1"/>
  <c r="I97" i="6"/>
  <c r="E94" i="6"/>
  <c r="F94" i="6" s="1"/>
  <c r="G94" i="6" s="1"/>
  <c r="E93" i="6"/>
  <c r="F93" i="6" s="1"/>
  <c r="I93" i="6"/>
  <c r="K93" i="6" s="1"/>
  <c r="J87" i="6"/>
  <c r="K87" i="6" s="1"/>
  <c r="E87" i="6"/>
  <c r="F87" i="6" s="1"/>
  <c r="G87" i="6" s="1"/>
  <c r="J85" i="6"/>
  <c r="K85" i="6" s="1"/>
  <c r="E85" i="6"/>
  <c r="F85" i="6" s="1"/>
  <c r="G85" i="6" s="1"/>
  <c r="E84" i="6"/>
  <c r="F84" i="6" s="1"/>
  <c r="I84" i="6"/>
  <c r="K84" i="6" s="1"/>
  <c r="J82" i="6"/>
  <c r="K82" i="6" s="1"/>
  <c r="E82" i="6"/>
  <c r="F82" i="6" s="1"/>
  <c r="G82" i="6" s="1"/>
  <c r="E80" i="6"/>
  <c r="F80" i="6" s="1"/>
  <c r="I80" i="6"/>
  <c r="K80" i="6" s="1"/>
  <c r="E78" i="6"/>
  <c r="F78" i="6" s="1"/>
  <c r="I78" i="6"/>
  <c r="K78" i="6" s="1"/>
  <c r="E76" i="6"/>
  <c r="F76" i="6" s="1"/>
  <c r="I76" i="6"/>
  <c r="K76" i="6" s="1"/>
  <c r="D73" i="6"/>
  <c r="F73" i="6" s="1"/>
  <c r="J73" i="6"/>
  <c r="K73" i="6" s="1"/>
  <c r="I70" i="6"/>
  <c r="K70" i="6" s="1"/>
  <c r="I65" i="6"/>
  <c r="I61" i="6"/>
  <c r="K61" i="6" s="1"/>
  <c r="J59" i="6"/>
  <c r="E59" i="6"/>
  <c r="F59" i="6" s="1"/>
  <c r="I59" i="6"/>
  <c r="K59" i="6" s="1"/>
  <c r="J55" i="6"/>
  <c r="E55" i="6"/>
  <c r="F55" i="6" s="1"/>
  <c r="G55" i="6" s="1"/>
  <c r="I55" i="6"/>
  <c r="K55" i="6" s="1"/>
  <c r="J53" i="6"/>
  <c r="K53" i="6" s="1"/>
  <c r="D53" i="6"/>
  <c r="F53" i="6" s="1"/>
  <c r="E53" i="6"/>
  <c r="I52" i="6"/>
  <c r="K52" i="6" s="1"/>
  <c r="E52" i="6"/>
  <c r="F52" i="6" s="1"/>
  <c r="G52" i="6" s="1"/>
  <c r="J47" i="6"/>
  <c r="E49" i="6"/>
  <c r="F49" i="6" s="1"/>
  <c r="G49" i="6" s="1"/>
  <c r="I49" i="6"/>
  <c r="J49" i="6"/>
  <c r="J46" i="6"/>
  <c r="I46" i="6"/>
  <c r="K42" i="6"/>
  <c r="I38" i="6"/>
  <c r="E26" i="6"/>
  <c r="F26" i="6" s="1"/>
  <c r="I26" i="6"/>
  <c r="J26" i="6"/>
  <c r="I22" i="6"/>
  <c r="K22" i="6" s="1"/>
  <c r="E22" i="6"/>
  <c r="F22" i="6" s="1"/>
  <c r="I18" i="6"/>
  <c r="K18" i="6" s="1"/>
  <c r="E18" i="6"/>
  <c r="F18" i="6" s="1"/>
  <c r="I14" i="6"/>
  <c r="K14" i="6" s="1"/>
  <c r="E14" i="6"/>
  <c r="F14" i="6" s="1"/>
  <c r="C142" i="1"/>
  <c r="C147" i="1"/>
  <c r="J63" i="6"/>
  <c r="K63" i="6" s="1"/>
  <c r="D63" i="6"/>
  <c r="F63" i="6" s="1"/>
  <c r="E63" i="6"/>
  <c r="D44" i="6"/>
  <c r="I44" i="6"/>
  <c r="K44" i="6" s="1"/>
  <c r="E44" i="6"/>
  <c r="I40" i="6"/>
  <c r="K40" i="6" s="1"/>
  <c r="E40" i="6"/>
  <c r="F40" i="6" s="1"/>
  <c r="E33" i="6"/>
  <c r="F33" i="6" s="1"/>
  <c r="G33" i="6" s="1"/>
  <c r="I33" i="6"/>
  <c r="K33" i="6" s="1"/>
  <c r="E31" i="6"/>
  <c r="F31" i="6" s="1"/>
  <c r="G31" i="6" s="1"/>
  <c r="I31" i="6"/>
  <c r="K31" i="6" s="1"/>
  <c r="J5" i="6"/>
  <c r="K5" i="6" s="1"/>
  <c r="E5" i="6"/>
  <c r="F5" i="6" s="1"/>
  <c r="E3" i="6"/>
  <c r="F3" i="6" s="1"/>
  <c r="G3" i="6" s="1"/>
  <c r="E27" i="6"/>
  <c r="F27" i="6" s="1"/>
  <c r="E36" i="6"/>
  <c r="F36" i="6" s="1"/>
  <c r="G36" i="6" s="1"/>
  <c r="E43" i="6"/>
  <c r="F43" i="6" s="1"/>
  <c r="E39" i="6"/>
  <c r="F39" i="6" s="1"/>
  <c r="G39" i="6" s="1"/>
  <c r="E23" i="6"/>
  <c r="F23" i="6" s="1"/>
  <c r="E19" i="6"/>
  <c r="F19" i="6" s="1"/>
  <c r="G19" i="6" s="1"/>
  <c r="E15" i="6"/>
  <c r="F15" i="6" s="1"/>
  <c r="E10" i="6"/>
  <c r="F10" i="6" s="1"/>
  <c r="G10" i="6" s="1"/>
  <c r="E51" i="6"/>
  <c r="E66" i="6"/>
  <c r="F66" i="6" s="1"/>
  <c r="G66" i="6" s="1"/>
  <c r="E68" i="6"/>
  <c r="F68" i="6" s="1"/>
  <c r="E72" i="6"/>
  <c r="F72" i="6" s="1"/>
  <c r="G72" i="6" s="1"/>
  <c r="K97" i="6" l="1"/>
  <c r="L67" i="6"/>
  <c r="N67" i="6" s="1"/>
  <c r="O67" i="6" s="1"/>
  <c r="L99" i="6"/>
  <c r="H11" i="6"/>
  <c r="L11" i="6"/>
  <c r="M11" i="6" s="1"/>
  <c r="L100" i="6"/>
  <c r="M100" i="6" s="1"/>
  <c r="G23" i="6"/>
  <c r="H23" i="6" s="1"/>
  <c r="G5" i="6"/>
  <c r="G14" i="6"/>
  <c r="H14" i="6" s="1"/>
  <c r="G18" i="6"/>
  <c r="G76" i="6"/>
  <c r="H76" i="6" s="1"/>
  <c r="G93" i="6"/>
  <c r="G7" i="6"/>
  <c r="G38" i="6"/>
  <c r="L48" i="6"/>
  <c r="N48" i="6" s="1"/>
  <c r="O48" i="6" s="1"/>
  <c r="L12" i="6"/>
  <c r="M12" i="6" s="1"/>
  <c r="G63" i="6"/>
  <c r="L63" i="6" s="1"/>
  <c r="G8" i="6"/>
  <c r="H99" i="6"/>
  <c r="L37" i="6"/>
  <c r="N37" i="6" s="1"/>
  <c r="O37" i="6" s="1"/>
  <c r="L24" i="6"/>
  <c r="M24" i="6" s="1"/>
  <c r="G32" i="6"/>
  <c r="H45" i="6"/>
  <c r="L45" i="6"/>
  <c r="N45" i="6" s="1"/>
  <c r="O45" i="6" s="1"/>
  <c r="H81" i="6"/>
  <c r="L81" i="6"/>
  <c r="M81" i="6" s="1"/>
  <c r="G68" i="6"/>
  <c r="L68" i="6" s="1"/>
  <c r="F51" i="6"/>
  <c r="G51" i="6" s="1"/>
  <c r="H51" i="6" s="1"/>
  <c r="G15" i="6"/>
  <c r="L15" i="6" s="1"/>
  <c r="G43" i="6"/>
  <c r="L43" i="6" s="1"/>
  <c r="G27" i="6"/>
  <c r="L27" i="6" s="1"/>
  <c r="G40" i="6"/>
  <c r="H40" i="6" s="1"/>
  <c r="G22" i="6"/>
  <c r="H22" i="6" s="1"/>
  <c r="G26" i="6"/>
  <c r="H26" i="6" s="1"/>
  <c r="L42" i="6"/>
  <c r="N42" i="6" s="1"/>
  <c r="O42" i="6" s="1"/>
  <c r="G53" i="6"/>
  <c r="L53" i="6" s="1"/>
  <c r="G59" i="6"/>
  <c r="L59" i="6" s="1"/>
  <c r="G73" i="6"/>
  <c r="H73" i="6" s="1"/>
  <c r="G78" i="6"/>
  <c r="L78" i="6" s="1"/>
  <c r="G80" i="6"/>
  <c r="H80" i="6" s="1"/>
  <c r="G84" i="6"/>
  <c r="H84" i="6" s="1"/>
  <c r="G60" i="6"/>
  <c r="H60" i="6" s="1"/>
  <c r="G61" i="6"/>
  <c r="H61" i="6" s="1"/>
  <c r="L50" i="6"/>
  <c r="M50" i="6" s="1"/>
  <c r="L6" i="6"/>
  <c r="N6" i="6" s="1"/>
  <c r="O6" i="6" s="1"/>
  <c r="L16" i="6"/>
  <c r="N16" i="6" s="1"/>
  <c r="O16" i="6" s="1"/>
  <c r="H16" i="6"/>
  <c r="H91" i="6"/>
  <c r="L91" i="6"/>
  <c r="M91" i="6" s="1"/>
  <c r="H75" i="6"/>
  <c r="L75" i="6"/>
  <c r="N75" i="6" s="1"/>
  <c r="O75" i="6" s="1"/>
  <c r="H83" i="6"/>
  <c r="L83" i="6"/>
  <c r="N83" i="6" s="1"/>
  <c r="O83" i="6" s="1"/>
  <c r="L21" i="6"/>
  <c r="N21" i="6" s="1"/>
  <c r="O21" i="6" s="1"/>
  <c r="H21" i="6"/>
  <c r="L13" i="6"/>
  <c r="N13" i="6" s="1"/>
  <c r="O13" i="6" s="1"/>
  <c r="L30" i="6"/>
  <c r="N30" i="6" s="1"/>
  <c r="O30" i="6" s="1"/>
  <c r="L96" i="6"/>
  <c r="M96" i="6" s="1"/>
  <c r="E44" i="1"/>
  <c r="C37" i="1"/>
  <c r="L54" i="6"/>
  <c r="N54" i="6" s="1"/>
  <c r="O54" i="6" s="1"/>
  <c r="L98" i="6"/>
  <c r="N98" i="6" s="1"/>
  <c r="O98" i="6" s="1"/>
  <c r="L2" i="6"/>
  <c r="N2" i="6" s="1"/>
  <c r="O2" i="6" s="1"/>
  <c r="L62" i="6"/>
  <c r="M62" i="6" s="1"/>
  <c r="C36" i="1"/>
  <c r="L92" i="6"/>
  <c r="N92" i="6" s="1"/>
  <c r="O92" i="6" s="1"/>
  <c r="K38" i="6"/>
  <c r="L38" i="6" s="1"/>
  <c r="L17" i="6"/>
  <c r="N17" i="6" s="1"/>
  <c r="O17" i="6" s="1"/>
  <c r="L20" i="6"/>
  <c r="N20" i="6" s="1"/>
  <c r="O20" i="6" s="1"/>
  <c r="K49" i="6"/>
  <c r="L49" i="6" s="1"/>
  <c r="L4" i="6"/>
  <c r="M4" i="6" s="1"/>
  <c r="L34" i="6"/>
  <c r="N34" i="6" s="1"/>
  <c r="O34" i="6" s="1"/>
  <c r="H4" i="6"/>
  <c r="H92" i="6"/>
  <c r="L89" i="6"/>
  <c r="N89" i="6" s="1"/>
  <c r="O89" i="6" s="1"/>
  <c r="L95" i="6"/>
  <c r="M95" i="6" s="1"/>
  <c r="L25" i="6"/>
  <c r="N25" i="6" s="1"/>
  <c r="O25" i="6" s="1"/>
  <c r="L41" i="6"/>
  <c r="N41" i="6" s="1"/>
  <c r="O41" i="6" s="1"/>
  <c r="H17" i="6"/>
  <c r="H34" i="6"/>
  <c r="H67" i="6"/>
  <c r="L58" i="6"/>
  <c r="N58" i="6" s="1"/>
  <c r="O58" i="6" s="1"/>
  <c r="L71" i="6"/>
  <c r="N71" i="6" s="1"/>
  <c r="O71" i="6" s="1"/>
  <c r="M75" i="6"/>
  <c r="L79" i="6"/>
  <c r="N79" i="6" s="1"/>
  <c r="O79" i="6" s="1"/>
  <c r="L88" i="6"/>
  <c r="N88" i="6" s="1"/>
  <c r="O88" i="6" s="1"/>
  <c r="L35" i="6"/>
  <c r="N35" i="6" s="1"/>
  <c r="O35" i="6" s="1"/>
  <c r="L101" i="6"/>
  <c r="N101" i="6" s="1"/>
  <c r="O101" i="6" s="1"/>
  <c r="L86" i="6"/>
  <c r="M86" i="6" s="1"/>
  <c r="M88" i="6"/>
  <c r="L56" i="6"/>
  <c r="L74" i="6"/>
  <c r="L90" i="6"/>
  <c r="L77" i="6"/>
  <c r="N77" i="6" s="1"/>
  <c r="O77" i="6" s="1"/>
  <c r="N12" i="6"/>
  <c r="O12" i="6" s="1"/>
  <c r="K65" i="6"/>
  <c r="L65" i="6" s="1"/>
  <c r="N50" i="6"/>
  <c r="O50" i="6" s="1"/>
  <c r="M37" i="6"/>
  <c r="K7" i="6"/>
  <c r="K9" i="6"/>
  <c r="L9" i="6" s="1"/>
  <c r="M9" i="6" s="1"/>
  <c r="L72" i="6"/>
  <c r="H72" i="6"/>
  <c r="L66" i="6"/>
  <c r="H66" i="6"/>
  <c r="H10" i="6"/>
  <c r="L10" i="6"/>
  <c r="H36" i="6"/>
  <c r="L36" i="6"/>
  <c r="H33" i="6"/>
  <c r="L33" i="6"/>
  <c r="H49" i="6"/>
  <c r="L52" i="6"/>
  <c r="H52" i="6"/>
  <c r="L55" i="6"/>
  <c r="H55" i="6"/>
  <c r="H94" i="6"/>
  <c r="L94" i="6"/>
  <c r="H29" i="6"/>
  <c r="L29" i="6"/>
  <c r="L61" i="6"/>
  <c r="H69" i="6"/>
  <c r="L69" i="6"/>
  <c r="H15" i="6"/>
  <c r="L23" i="6"/>
  <c r="H43" i="6"/>
  <c r="H5" i="6"/>
  <c r="L5" i="6"/>
  <c r="L40" i="6"/>
  <c r="H59" i="6"/>
  <c r="L76" i="6"/>
  <c r="L80" i="6"/>
  <c r="L84" i="6"/>
  <c r="L8" i="6"/>
  <c r="H8" i="6"/>
  <c r="L39" i="6"/>
  <c r="H39" i="6"/>
  <c r="H68" i="6"/>
  <c r="L51" i="6"/>
  <c r="H27" i="6"/>
  <c r="C144" i="1"/>
  <c r="C143" i="1" s="1"/>
  <c r="C145" i="1"/>
  <c r="K26" i="6"/>
  <c r="L26" i="6" s="1"/>
  <c r="K46" i="6"/>
  <c r="L46" i="6" s="1"/>
  <c r="L73" i="6"/>
  <c r="H78" i="6"/>
  <c r="H93" i="6"/>
  <c r="L93" i="6"/>
  <c r="H7" i="6"/>
  <c r="H47" i="6"/>
  <c r="H57" i="6"/>
  <c r="L57" i="6"/>
  <c r="L60" i="6"/>
  <c r="H64" i="6"/>
  <c r="L64" i="6"/>
  <c r="H65" i="6"/>
  <c r="H70" i="6"/>
  <c r="L70" i="6"/>
  <c r="M34" i="6"/>
  <c r="N11" i="6"/>
  <c r="O11" i="6" s="1"/>
  <c r="M67" i="6"/>
  <c r="M92" i="6"/>
  <c r="M13" i="6"/>
  <c r="L19" i="6"/>
  <c r="H19" i="6"/>
  <c r="H3" i="6"/>
  <c r="L3" i="6"/>
  <c r="L31" i="6"/>
  <c r="H31" i="6"/>
  <c r="F44" i="6"/>
  <c r="G44" i="6" s="1"/>
  <c r="H63" i="6"/>
  <c r="C149" i="1"/>
  <c r="C148" i="1" s="1"/>
  <c r="C150" i="1"/>
  <c r="L14" i="6"/>
  <c r="L18" i="6"/>
  <c r="H18" i="6"/>
  <c r="L22" i="6"/>
  <c r="M42" i="6"/>
  <c r="H53" i="6"/>
  <c r="H82" i="6"/>
  <c r="L82" i="6"/>
  <c r="H85" i="6"/>
  <c r="L85" i="6"/>
  <c r="L87" i="6"/>
  <c r="H87" i="6"/>
  <c r="H28" i="6"/>
  <c r="L28" i="6"/>
  <c r="H38" i="6"/>
  <c r="K47" i="6"/>
  <c r="L47" i="6" s="1"/>
  <c r="H97" i="6"/>
  <c r="L97" i="6"/>
  <c r="M17" i="6"/>
  <c r="M48" i="6"/>
  <c r="N100" i="6"/>
  <c r="O100" i="6" s="1"/>
  <c r="N96" i="6"/>
  <c r="O96" i="6" s="1"/>
  <c r="N99" i="6"/>
  <c r="O99" i="6" s="1"/>
  <c r="M99" i="6"/>
  <c r="N81" i="6" l="1"/>
  <c r="O81" i="6" s="1"/>
  <c r="M21" i="6"/>
  <c r="N95" i="6"/>
  <c r="O95" i="6" s="1"/>
  <c r="M45" i="6"/>
  <c r="M41" i="6"/>
  <c r="M30" i="6"/>
  <c r="N91" i="6"/>
  <c r="O91" i="6" s="1"/>
  <c r="M54" i="6"/>
  <c r="L7" i="6"/>
  <c r="M7" i="6" s="1"/>
  <c r="M89" i="6"/>
  <c r="M2" i="6"/>
  <c r="N24" i="6"/>
  <c r="O24" i="6" s="1"/>
  <c r="M83" i="6"/>
  <c r="M6" i="6"/>
  <c r="H32" i="6"/>
  <c r="L32" i="6"/>
  <c r="N62" i="6"/>
  <c r="O62" i="6" s="1"/>
  <c r="M20" i="6"/>
  <c r="N4" i="6"/>
  <c r="O4" i="6" s="1"/>
  <c r="N86" i="6"/>
  <c r="O86" i="6" s="1"/>
  <c r="M35" i="6"/>
  <c r="M98" i="6"/>
  <c r="M16" i="6"/>
  <c r="C39" i="1"/>
  <c r="C38" i="1"/>
  <c r="C96" i="1"/>
  <c r="C91" i="1"/>
  <c r="M71" i="6"/>
  <c r="M101" i="6"/>
  <c r="M58" i="6"/>
  <c r="M77" i="6"/>
  <c r="M79" i="6"/>
  <c r="M25" i="6"/>
  <c r="N9" i="6"/>
  <c r="O9" i="6" s="1"/>
  <c r="N56" i="6"/>
  <c r="O56" i="6" s="1"/>
  <c r="M56" i="6"/>
  <c r="M74" i="6"/>
  <c r="N74" i="6"/>
  <c r="O74" i="6" s="1"/>
  <c r="N90" i="6"/>
  <c r="O90" i="6" s="1"/>
  <c r="M90" i="6"/>
  <c r="M47" i="6"/>
  <c r="N47" i="6"/>
  <c r="O47" i="6" s="1"/>
  <c r="M26" i="6"/>
  <c r="N26" i="6"/>
  <c r="O26" i="6" s="1"/>
  <c r="N28" i="6"/>
  <c r="O28" i="6" s="1"/>
  <c r="M28" i="6"/>
  <c r="N85" i="6"/>
  <c r="O85" i="6" s="1"/>
  <c r="M85" i="6"/>
  <c r="M82" i="6"/>
  <c r="N82" i="6"/>
  <c r="O82" i="6" s="1"/>
  <c r="M53" i="6"/>
  <c r="N53" i="6"/>
  <c r="O53" i="6" s="1"/>
  <c r="M22" i="6"/>
  <c r="N22" i="6"/>
  <c r="O22" i="6" s="1"/>
  <c r="N14" i="6"/>
  <c r="O14" i="6" s="1"/>
  <c r="M14" i="6"/>
  <c r="N63" i="6"/>
  <c r="O63" i="6" s="1"/>
  <c r="M63" i="6"/>
  <c r="N3" i="6"/>
  <c r="O3" i="6" s="1"/>
  <c r="M3" i="6"/>
  <c r="N70" i="6"/>
  <c r="O70" i="6" s="1"/>
  <c r="M70" i="6"/>
  <c r="N64" i="6"/>
  <c r="O64" i="6" s="1"/>
  <c r="M64" i="6"/>
  <c r="N60" i="6"/>
  <c r="O60" i="6" s="1"/>
  <c r="M60" i="6"/>
  <c r="N57" i="6"/>
  <c r="O57" i="6" s="1"/>
  <c r="M57" i="6"/>
  <c r="N7" i="6"/>
  <c r="O7" i="6" s="1"/>
  <c r="M93" i="6"/>
  <c r="N93" i="6"/>
  <c r="O93" i="6" s="1"/>
  <c r="N78" i="6"/>
  <c r="O78" i="6" s="1"/>
  <c r="M78" i="6"/>
  <c r="N46" i="6"/>
  <c r="O46" i="6" s="1"/>
  <c r="M46" i="6"/>
  <c r="N68" i="6"/>
  <c r="O68" i="6" s="1"/>
  <c r="M68" i="6"/>
  <c r="N76" i="6"/>
  <c r="O76" i="6" s="1"/>
  <c r="M76" i="6"/>
  <c r="M40" i="6"/>
  <c r="N40" i="6"/>
  <c r="O40" i="6" s="1"/>
  <c r="N5" i="6"/>
  <c r="O5" i="6" s="1"/>
  <c r="M5" i="6"/>
  <c r="N23" i="6"/>
  <c r="O23" i="6" s="1"/>
  <c r="M23" i="6"/>
  <c r="N69" i="6"/>
  <c r="O69" i="6" s="1"/>
  <c r="M69" i="6"/>
  <c r="N61" i="6"/>
  <c r="O61" i="6" s="1"/>
  <c r="M61" i="6"/>
  <c r="M29" i="6"/>
  <c r="N29" i="6"/>
  <c r="O29" i="6" s="1"/>
  <c r="N94" i="6"/>
  <c r="O94" i="6" s="1"/>
  <c r="M94" i="6"/>
  <c r="N33" i="6"/>
  <c r="O33" i="6" s="1"/>
  <c r="M33" i="6"/>
  <c r="N36" i="6"/>
  <c r="O36" i="6" s="1"/>
  <c r="M36" i="6"/>
  <c r="N10" i="6"/>
  <c r="O10" i="6" s="1"/>
  <c r="M10" i="6"/>
  <c r="N97" i="6"/>
  <c r="O97" i="6" s="1"/>
  <c r="M97" i="6"/>
  <c r="M38" i="6"/>
  <c r="N38" i="6"/>
  <c r="O38" i="6" s="1"/>
  <c r="M87" i="6"/>
  <c r="N87" i="6"/>
  <c r="O87" i="6" s="1"/>
  <c r="N18" i="6"/>
  <c r="O18" i="6" s="1"/>
  <c r="M18" i="6"/>
  <c r="L44" i="6"/>
  <c r="H44" i="6"/>
  <c r="N31" i="6"/>
  <c r="O31" i="6" s="1"/>
  <c r="M31" i="6"/>
  <c r="N19" i="6"/>
  <c r="O19" i="6" s="1"/>
  <c r="M19" i="6"/>
  <c r="N65" i="6"/>
  <c r="O65" i="6" s="1"/>
  <c r="M65" i="6"/>
  <c r="M73" i="6"/>
  <c r="N73" i="6"/>
  <c r="O73" i="6" s="1"/>
  <c r="N27" i="6"/>
  <c r="O27" i="6" s="1"/>
  <c r="M27" i="6"/>
  <c r="N51" i="6"/>
  <c r="O51" i="6" s="1"/>
  <c r="M51" i="6"/>
  <c r="N39" i="6"/>
  <c r="O39" i="6" s="1"/>
  <c r="M39" i="6"/>
  <c r="M8" i="6"/>
  <c r="N8" i="6"/>
  <c r="O8" i="6" s="1"/>
  <c r="M84" i="6"/>
  <c r="N84" i="6"/>
  <c r="O84" i="6" s="1"/>
  <c r="N80" i="6"/>
  <c r="O80" i="6" s="1"/>
  <c r="M80" i="6"/>
  <c r="M59" i="6"/>
  <c r="N59" i="6"/>
  <c r="O59" i="6" s="1"/>
  <c r="M43" i="6"/>
  <c r="N43" i="6"/>
  <c r="O43" i="6" s="1"/>
  <c r="N15" i="6"/>
  <c r="O15" i="6" s="1"/>
  <c r="M15" i="6"/>
  <c r="M55" i="6"/>
  <c r="N55" i="6"/>
  <c r="O55" i="6" s="1"/>
  <c r="M52" i="6"/>
  <c r="N52" i="6"/>
  <c r="O52" i="6" s="1"/>
  <c r="M49" i="6"/>
  <c r="N49" i="6"/>
  <c r="O49" i="6" s="1"/>
  <c r="M66" i="6"/>
  <c r="N66" i="6"/>
  <c r="O66" i="6" s="1"/>
  <c r="M72" i="6"/>
  <c r="N72" i="6"/>
  <c r="O72" i="6" s="1"/>
  <c r="M32" i="6" l="1"/>
  <c r="N32" i="6"/>
  <c r="O32" i="6" s="1"/>
  <c r="C40" i="1"/>
  <c r="C60" i="1"/>
  <c r="E60" i="1" s="1"/>
  <c r="C42" i="1"/>
  <c r="C41" i="1"/>
  <c r="N44" i="6"/>
  <c r="O44" i="6" s="1"/>
  <c r="M44" i="6"/>
  <c r="C43" i="1" l="1"/>
  <c r="C116" i="1"/>
  <c r="C105" i="1"/>
  <c r="C108" i="1" s="1"/>
  <c r="C48" i="1" l="1"/>
  <c r="C49" i="1" s="1"/>
  <c r="C63" i="1"/>
  <c r="C57" i="1"/>
  <c r="C58" i="1" l="1"/>
  <c r="E49" i="1"/>
  <c r="C64" i="1" l="1"/>
  <c r="E58" i="1"/>
  <c r="E64" i="1" l="1"/>
  <c r="C71" i="1"/>
  <c r="C83" i="1" l="1"/>
  <c r="E71" i="1"/>
  <c r="E83" i="1" l="1"/>
  <c r="C97" i="1"/>
  <c r="E97" i="1" l="1"/>
  <c r="C109" i="1"/>
  <c r="E109" i="1" s="1"/>
</calcChain>
</file>

<file path=xl/sharedStrings.xml><?xml version="1.0" encoding="utf-8"?>
<sst xmlns="http://schemas.openxmlformats.org/spreadsheetml/2006/main" count="617" uniqueCount="339">
  <si>
    <t>UCC28950 Excel Design Tool</t>
  </si>
  <si>
    <t>This spreadsheet guides the User through the design process for a CONTINUOUS CONDUCTION MODE PFC BOOST converter using the UCC28019 controller.</t>
  </si>
  <si>
    <t>1. The Macros must be ENABLED.</t>
  </si>
  <si>
    <t>2. The Analysis ToolPak Add-In must be checked.</t>
  </si>
  <si>
    <t>• This feature can be found in the Tools Menu.</t>
  </si>
  <si>
    <t>• Select Add-Ins</t>
  </si>
  <si>
    <t>• Check the box next to Analysis ToolPak</t>
  </si>
  <si>
    <t>3. Enter the desired design parameters in the YELLOW shaded boxes</t>
  </si>
  <si>
    <t>5. Actual standard values must be entered for the spreadsheet to calculate the gain-phase plots.</t>
  </si>
  <si>
    <t>Design Specifications</t>
  </si>
  <si>
    <t>Description</t>
  </si>
  <si>
    <t xml:space="preserve">Minimum </t>
  </si>
  <si>
    <t>Maximum</t>
  </si>
  <si>
    <t xml:space="preserve">Typical </t>
  </si>
  <si>
    <t>Input Voltage</t>
  </si>
  <si>
    <t>Output Voltage</t>
  </si>
  <si>
    <t>Allowable Output Voltage
Transients (90% Load Step)</t>
  </si>
  <si>
    <t>Unit</t>
  </si>
  <si>
    <t>V</t>
  </si>
  <si>
    <t>W</t>
  </si>
  <si>
    <t xml:space="preserve"> </t>
  </si>
  <si>
    <t>kHz</t>
  </si>
  <si>
    <r>
      <t>Output Power (P</t>
    </r>
    <r>
      <rPr>
        <b/>
        <vertAlign val="subscript"/>
        <sz val="12"/>
        <rFont val="Arial"/>
        <family val="2"/>
      </rPr>
      <t>OUT</t>
    </r>
    <r>
      <rPr>
        <b/>
        <sz val="12"/>
        <rFont val="Arial"/>
        <family val="2"/>
      </rPr>
      <t>)</t>
    </r>
  </si>
  <si>
    <r>
      <t>Inductor (L</t>
    </r>
    <r>
      <rPr>
        <b/>
        <vertAlign val="subscript"/>
        <sz val="12"/>
        <rFont val="Arial"/>
        <family val="2"/>
      </rPr>
      <t>OUT</t>
    </r>
    <r>
      <rPr>
        <b/>
        <sz val="12"/>
        <rFont val="Arial"/>
        <family val="2"/>
      </rPr>
      <t>) Switching Frequency</t>
    </r>
  </si>
  <si>
    <t>Full Load Efficiency</t>
  </si>
  <si>
    <r>
      <t>P</t>
    </r>
    <r>
      <rPr>
        <b/>
        <vertAlign val="subscript"/>
        <sz val="12"/>
        <rFont val="Arial"/>
        <family val="2"/>
      </rPr>
      <t>BUDGET</t>
    </r>
  </si>
  <si>
    <r>
      <t>V</t>
    </r>
    <r>
      <rPr>
        <b/>
        <vertAlign val="subscript"/>
        <sz val="12"/>
        <rFont val="Arial"/>
        <family val="2"/>
      </rPr>
      <t>RDSON</t>
    </r>
  </si>
  <si>
    <t>a1</t>
  </si>
  <si>
    <t>Variable</t>
  </si>
  <si>
    <r>
      <t>T1 Transformer Turns Ratio=N</t>
    </r>
    <r>
      <rPr>
        <b/>
        <vertAlign val="subscript"/>
        <sz val="12"/>
        <rFont val="Arial"/>
        <family val="2"/>
      </rPr>
      <t>P</t>
    </r>
    <r>
      <rPr>
        <b/>
        <sz val="12"/>
        <rFont val="Arial"/>
        <family val="2"/>
      </rPr>
      <t>/N</t>
    </r>
    <r>
      <rPr>
        <b/>
        <vertAlign val="subscript"/>
        <sz val="12"/>
        <rFont val="Arial"/>
        <family val="2"/>
      </rPr>
      <t>S</t>
    </r>
  </si>
  <si>
    <t>Maximum Duty Cycle Nominal</t>
  </si>
  <si>
    <t>Typical Duty Cycle</t>
  </si>
  <si>
    <r>
      <t>D</t>
    </r>
    <r>
      <rPr>
        <b/>
        <vertAlign val="subscript"/>
        <sz val="12"/>
        <rFont val="Arial"/>
        <family val="2"/>
      </rPr>
      <t>MAX</t>
    </r>
  </si>
  <si>
    <r>
      <t>D</t>
    </r>
    <r>
      <rPr>
        <b/>
        <vertAlign val="subscript"/>
        <sz val="12"/>
        <rFont val="Arial"/>
        <family val="2"/>
      </rPr>
      <t>TYP</t>
    </r>
  </si>
  <si>
    <t>Inductor Ripple Current</t>
  </si>
  <si>
    <t>A</t>
  </si>
  <si>
    <r>
      <t>L</t>
    </r>
    <r>
      <rPr>
        <b/>
        <vertAlign val="subscript"/>
        <sz val="12"/>
        <rFont val="Arial"/>
        <family val="2"/>
      </rPr>
      <t>MAG</t>
    </r>
  </si>
  <si>
    <t>mH</t>
  </si>
  <si>
    <r>
      <t>I</t>
    </r>
    <r>
      <rPr>
        <b/>
        <vertAlign val="subscript"/>
        <sz val="12"/>
        <rFont val="Arial"/>
        <family val="2"/>
      </rPr>
      <t>PS</t>
    </r>
  </si>
  <si>
    <r>
      <t>I</t>
    </r>
    <r>
      <rPr>
        <b/>
        <vertAlign val="subscript"/>
        <sz val="12"/>
        <rFont val="Arial"/>
        <family val="2"/>
      </rPr>
      <t>MS</t>
    </r>
  </si>
  <si>
    <r>
      <t>I</t>
    </r>
    <r>
      <rPr>
        <b/>
        <vertAlign val="subscript"/>
        <sz val="12"/>
        <rFont val="Arial"/>
        <family val="2"/>
      </rPr>
      <t>SRMS1</t>
    </r>
  </si>
  <si>
    <r>
      <t>I</t>
    </r>
    <r>
      <rPr>
        <b/>
        <vertAlign val="subscript"/>
        <sz val="12"/>
        <rFont val="Arial"/>
        <family val="2"/>
      </rPr>
      <t>MS2</t>
    </r>
  </si>
  <si>
    <r>
      <t>I</t>
    </r>
    <r>
      <rPr>
        <b/>
        <vertAlign val="subscript"/>
        <sz val="12"/>
        <rFont val="Arial"/>
        <family val="2"/>
      </rPr>
      <t>SRMS2</t>
    </r>
  </si>
  <si>
    <r>
      <t>I</t>
    </r>
    <r>
      <rPr>
        <b/>
        <vertAlign val="subscript"/>
        <sz val="12"/>
        <rFont val="Arial"/>
        <family val="2"/>
      </rPr>
      <t>SRMS3</t>
    </r>
  </si>
  <si>
    <r>
      <t>I</t>
    </r>
    <r>
      <rPr>
        <b/>
        <vertAlign val="subscript"/>
        <sz val="12"/>
        <rFont val="Arial"/>
        <family val="2"/>
      </rPr>
      <t>SRMS</t>
    </r>
  </si>
  <si>
    <r>
      <t>dIL</t>
    </r>
    <r>
      <rPr>
        <b/>
        <vertAlign val="subscript"/>
        <sz val="12"/>
        <rFont val="Arial"/>
        <family val="2"/>
      </rPr>
      <t>MAG</t>
    </r>
  </si>
  <si>
    <r>
      <t>I</t>
    </r>
    <r>
      <rPr>
        <b/>
        <vertAlign val="subscript"/>
        <sz val="12"/>
        <rFont val="Arial"/>
        <family val="2"/>
      </rPr>
      <t>PP</t>
    </r>
  </si>
  <si>
    <r>
      <t>I</t>
    </r>
    <r>
      <rPr>
        <b/>
        <vertAlign val="subscript"/>
        <sz val="12"/>
        <rFont val="Arial"/>
        <family val="2"/>
      </rPr>
      <t>MP</t>
    </r>
  </si>
  <si>
    <r>
      <t>I</t>
    </r>
    <r>
      <rPr>
        <b/>
        <vertAlign val="subscript"/>
        <sz val="12"/>
        <rFont val="Arial"/>
        <family val="2"/>
      </rPr>
      <t>MP2</t>
    </r>
  </si>
  <si>
    <r>
      <t>I</t>
    </r>
    <r>
      <rPr>
        <b/>
        <vertAlign val="subscript"/>
        <sz val="12"/>
        <rFont val="Arial"/>
        <family val="2"/>
      </rPr>
      <t>PRMS1</t>
    </r>
  </si>
  <si>
    <r>
      <t>I</t>
    </r>
    <r>
      <rPr>
        <b/>
        <vertAlign val="subscript"/>
        <sz val="12"/>
        <rFont val="Arial"/>
        <family val="2"/>
      </rPr>
      <t>PRMS2</t>
    </r>
  </si>
  <si>
    <r>
      <t>DCR</t>
    </r>
    <r>
      <rPr>
        <b/>
        <vertAlign val="subscript"/>
        <sz val="12"/>
        <rFont val="Arial"/>
        <family val="2"/>
      </rPr>
      <t>P</t>
    </r>
  </si>
  <si>
    <r>
      <t>I</t>
    </r>
    <r>
      <rPr>
        <b/>
        <vertAlign val="subscript"/>
        <sz val="12"/>
        <rFont val="Arial"/>
        <family val="2"/>
      </rPr>
      <t>PRMS</t>
    </r>
  </si>
  <si>
    <r>
      <t>DCR</t>
    </r>
    <r>
      <rPr>
        <b/>
        <vertAlign val="subscript"/>
        <sz val="12"/>
        <rFont val="Arial"/>
        <family val="2"/>
      </rPr>
      <t>S</t>
    </r>
  </si>
  <si>
    <r>
      <t>P</t>
    </r>
    <r>
      <rPr>
        <b/>
        <vertAlign val="subscript"/>
        <sz val="12"/>
        <rFont val="Arial"/>
        <family val="2"/>
      </rPr>
      <t>T1</t>
    </r>
  </si>
  <si>
    <t>Transformer Primary DC Resistance</t>
  </si>
  <si>
    <t>Transformer Secondary DC Resistance</t>
  </si>
  <si>
    <t>Estimated transform loss, 2X Copper Losses</t>
  </si>
  <si>
    <t>Recalculate Power Budget</t>
  </si>
  <si>
    <t>QA, QB, QC, QD FET selection:</t>
  </si>
  <si>
    <r>
      <t>R</t>
    </r>
    <r>
      <rPr>
        <b/>
        <vertAlign val="subscript"/>
        <sz val="12"/>
        <rFont val="Arial"/>
        <family val="2"/>
      </rPr>
      <t>ds(on)QA</t>
    </r>
  </si>
  <si>
    <t>FET drain to source on resistance</t>
  </si>
  <si>
    <t>FET Specified Coss</t>
  </si>
  <si>
    <t>pF</t>
  </si>
  <si>
    <r>
      <t>C</t>
    </r>
    <r>
      <rPr>
        <b/>
        <vertAlign val="subscript"/>
        <sz val="12"/>
        <rFont val="Arial"/>
        <family val="2"/>
      </rPr>
      <t>OSS_QA_SPEC</t>
    </r>
  </si>
  <si>
    <r>
      <t>V</t>
    </r>
    <r>
      <rPr>
        <b/>
        <vertAlign val="subscript"/>
        <sz val="12"/>
        <rFont val="Arial"/>
        <family val="2"/>
      </rPr>
      <t>dsQA</t>
    </r>
  </si>
  <si>
    <r>
      <t>Calculate average C</t>
    </r>
    <r>
      <rPr>
        <b/>
        <vertAlign val="subscript"/>
        <sz val="12"/>
        <rFont val="Arial"/>
        <family val="2"/>
      </rPr>
      <t xml:space="preserve">OSS </t>
    </r>
  </si>
  <si>
    <r>
      <t>C</t>
    </r>
    <r>
      <rPr>
        <b/>
        <vertAlign val="subscript"/>
        <sz val="12"/>
        <rFont val="Arial"/>
        <family val="2"/>
      </rPr>
      <t>OSS_QA_AVG</t>
    </r>
  </si>
  <si>
    <r>
      <t>P</t>
    </r>
    <r>
      <rPr>
        <b/>
        <vertAlign val="subscript"/>
        <sz val="12"/>
        <rFont val="Arial"/>
        <family val="2"/>
      </rPr>
      <t>QA</t>
    </r>
  </si>
  <si>
    <t xml:space="preserve">Calculate QA losses </t>
  </si>
  <si>
    <r>
      <t>V</t>
    </r>
    <r>
      <rPr>
        <b/>
        <vertAlign val="subscript"/>
        <sz val="12"/>
        <rFont val="Arial"/>
        <family val="2"/>
      </rPr>
      <t>g</t>
    </r>
  </si>
  <si>
    <r>
      <t>QA</t>
    </r>
    <r>
      <rPr>
        <b/>
        <vertAlign val="subscript"/>
        <sz val="12"/>
        <rFont val="Arial"/>
        <family val="2"/>
      </rPr>
      <t>g</t>
    </r>
  </si>
  <si>
    <t>nC</t>
  </si>
  <si>
    <t>Primary Magnetizing Inductance</t>
  </si>
  <si>
    <r>
      <t>L</t>
    </r>
    <r>
      <rPr>
        <b/>
        <vertAlign val="subscript"/>
        <sz val="12"/>
        <rFont val="Arial"/>
        <family val="2"/>
      </rPr>
      <t>S</t>
    </r>
  </si>
  <si>
    <t>uH</t>
  </si>
  <si>
    <r>
      <t>DCR</t>
    </r>
    <r>
      <rPr>
        <b/>
        <vertAlign val="subscript"/>
        <sz val="12"/>
        <rFont val="Arial"/>
        <family val="2"/>
      </rPr>
      <t>LS</t>
    </r>
  </si>
  <si>
    <r>
      <t>L</t>
    </r>
    <r>
      <rPr>
        <b/>
        <vertAlign val="subscript"/>
        <sz val="12"/>
        <rFont val="Arial"/>
        <family val="2"/>
      </rPr>
      <t>S</t>
    </r>
    <r>
      <rPr>
        <b/>
        <sz val="12"/>
        <rFont val="Arial"/>
        <family val="2"/>
      </rPr>
      <t xml:space="preserve"> DC Resistance</t>
    </r>
  </si>
  <si>
    <r>
      <t>Estimate L</t>
    </r>
    <r>
      <rPr>
        <b/>
        <vertAlign val="subscript"/>
        <sz val="12"/>
        <rFont val="Arial"/>
        <family val="2"/>
      </rPr>
      <t xml:space="preserve">S </t>
    </r>
    <r>
      <rPr>
        <b/>
        <sz val="12"/>
        <rFont val="Arial"/>
        <family val="2"/>
      </rPr>
      <t>power loss (P</t>
    </r>
    <r>
      <rPr>
        <b/>
        <vertAlign val="subscript"/>
        <sz val="12"/>
        <rFont val="Arial"/>
        <family val="2"/>
      </rPr>
      <t>LS</t>
    </r>
    <r>
      <rPr>
        <b/>
        <sz val="12"/>
        <rFont val="Arial"/>
        <family val="2"/>
      </rPr>
      <t xml:space="preserve">) </t>
    </r>
  </si>
  <si>
    <r>
      <t>P</t>
    </r>
    <r>
      <rPr>
        <b/>
        <vertAlign val="subscript"/>
        <sz val="12"/>
        <rFont val="Arial"/>
        <family val="2"/>
      </rPr>
      <t>LS</t>
    </r>
  </si>
  <si>
    <r>
      <t>L</t>
    </r>
    <r>
      <rPr>
        <b/>
        <vertAlign val="subscript"/>
        <sz val="12"/>
        <rFont val="Arial"/>
        <family val="2"/>
      </rPr>
      <t>OUT</t>
    </r>
  </si>
  <si>
    <r>
      <t>DCR</t>
    </r>
    <r>
      <rPr>
        <b/>
        <vertAlign val="subscript"/>
        <sz val="12"/>
        <rFont val="Arial"/>
        <family val="2"/>
      </rPr>
      <t>LOUT</t>
    </r>
  </si>
  <si>
    <r>
      <t>Estimate L</t>
    </r>
    <r>
      <rPr>
        <b/>
        <vertAlign val="subscript"/>
        <sz val="12"/>
        <rFont val="Arial"/>
        <family val="2"/>
      </rPr>
      <t xml:space="preserve">OUT </t>
    </r>
    <r>
      <rPr>
        <b/>
        <sz val="12"/>
        <rFont val="Arial"/>
        <family val="2"/>
      </rPr>
      <t>power loss</t>
    </r>
  </si>
  <si>
    <r>
      <t>P</t>
    </r>
    <r>
      <rPr>
        <b/>
        <vertAlign val="subscript"/>
        <sz val="12"/>
        <rFont val="Arial"/>
        <family val="2"/>
      </rPr>
      <t>LOUT</t>
    </r>
  </si>
  <si>
    <r>
      <t>Calculate L</t>
    </r>
    <r>
      <rPr>
        <b/>
        <vertAlign val="subscript"/>
        <sz val="12"/>
        <rFont val="Arial"/>
        <family val="2"/>
      </rPr>
      <t>OUT</t>
    </r>
    <r>
      <rPr>
        <b/>
        <sz val="12"/>
        <rFont val="Arial"/>
        <family val="2"/>
      </rPr>
      <t xml:space="preserve"> RMS Current</t>
    </r>
  </si>
  <si>
    <r>
      <t>I</t>
    </r>
    <r>
      <rPr>
        <b/>
        <vertAlign val="subscript"/>
        <sz val="12"/>
        <rFont val="Arial"/>
        <family val="2"/>
      </rPr>
      <t>LOUT_RMS</t>
    </r>
  </si>
  <si>
    <t>Calculated Shim Inductance</t>
  </si>
  <si>
    <t>Calculate Output Inductance</t>
  </si>
  <si>
    <r>
      <t>t</t>
    </r>
    <r>
      <rPr>
        <b/>
        <vertAlign val="subscript"/>
        <sz val="12"/>
        <rFont val="Arial"/>
        <family val="2"/>
      </rPr>
      <t>HU</t>
    </r>
  </si>
  <si>
    <r>
      <t>Time it takes L</t>
    </r>
    <r>
      <rPr>
        <b/>
        <vertAlign val="subscript"/>
        <sz val="12"/>
        <rFont val="Arial"/>
        <family val="2"/>
      </rPr>
      <t xml:space="preserve">OUT </t>
    </r>
    <r>
      <rPr>
        <b/>
        <sz val="12"/>
        <rFont val="Arial"/>
        <family val="2"/>
      </rPr>
      <t>to change 90% of its full load current</t>
    </r>
  </si>
  <si>
    <t>us</t>
  </si>
  <si>
    <r>
      <t>ESR</t>
    </r>
    <r>
      <rPr>
        <b/>
        <vertAlign val="subscript"/>
        <sz val="12"/>
        <rFont val="Arial"/>
        <family val="2"/>
      </rPr>
      <t>COUT</t>
    </r>
  </si>
  <si>
    <r>
      <t>C</t>
    </r>
    <r>
      <rPr>
        <b/>
        <vertAlign val="subscript"/>
        <sz val="12"/>
        <rFont val="Arial"/>
        <family val="2"/>
      </rPr>
      <t>OUT</t>
    </r>
  </si>
  <si>
    <t>uF</t>
  </si>
  <si>
    <t>n</t>
  </si>
  <si>
    <t>Single Capacitor Capacitance</t>
  </si>
  <si>
    <t>Single Capacitor ESR</t>
  </si>
  <si>
    <t>Total Output Capacitance</t>
  </si>
  <si>
    <r>
      <t>I</t>
    </r>
    <r>
      <rPr>
        <b/>
        <vertAlign val="subscript"/>
        <sz val="12"/>
        <rFont val="Arial"/>
        <family val="2"/>
      </rPr>
      <t>COUT_RMS</t>
    </r>
  </si>
  <si>
    <t>Output Capacitance RMS Current</t>
  </si>
  <si>
    <t>Calculate Output Capacitance Loss</t>
  </si>
  <si>
    <r>
      <t>P</t>
    </r>
    <r>
      <rPr>
        <b/>
        <vertAlign val="subscript"/>
        <sz val="12"/>
        <rFont val="Arial"/>
        <family val="2"/>
      </rPr>
      <t>COUT</t>
    </r>
  </si>
  <si>
    <r>
      <t>V</t>
    </r>
    <r>
      <rPr>
        <b/>
        <vertAlign val="subscript"/>
        <sz val="12"/>
        <rFont val="Arial"/>
        <family val="2"/>
      </rPr>
      <t>DROP</t>
    </r>
  </si>
  <si>
    <t>Minimum Input During Line Dropout</t>
  </si>
  <si>
    <r>
      <t>C</t>
    </r>
    <r>
      <rPr>
        <b/>
        <vertAlign val="subscript"/>
        <sz val="12"/>
        <rFont val="Arial"/>
        <family val="2"/>
      </rPr>
      <t>IN</t>
    </r>
  </si>
  <si>
    <t>Calculate Minimum Input Capacitance</t>
  </si>
  <si>
    <r>
      <t>High Frequency C</t>
    </r>
    <r>
      <rPr>
        <b/>
        <vertAlign val="subscript"/>
        <sz val="12"/>
        <rFont val="Arial"/>
        <family val="2"/>
      </rPr>
      <t>IN</t>
    </r>
    <r>
      <rPr>
        <b/>
        <sz val="12"/>
        <rFont val="Arial"/>
        <family val="2"/>
      </rPr>
      <t xml:space="preserve"> RMS Current</t>
    </r>
  </si>
  <si>
    <r>
      <t>I</t>
    </r>
    <r>
      <rPr>
        <b/>
        <vertAlign val="subscript"/>
        <sz val="12"/>
        <rFont val="Arial"/>
        <family val="2"/>
      </rPr>
      <t>CINRMS</t>
    </r>
  </si>
  <si>
    <r>
      <t>ESR</t>
    </r>
    <r>
      <rPr>
        <b/>
        <vertAlign val="subscript"/>
        <sz val="12"/>
        <rFont val="Arial"/>
        <family val="2"/>
      </rPr>
      <t>CIN</t>
    </r>
  </si>
  <si>
    <r>
      <t>P</t>
    </r>
    <r>
      <rPr>
        <b/>
        <vertAlign val="subscript"/>
        <sz val="12"/>
        <rFont val="Arial"/>
        <family val="2"/>
      </rPr>
      <t>CIN</t>
    </r>
  </si>
  <si>
    <t>Select FETs QE and QF:</t>
  </si>
  <si>
    <r>
      <t>QE</t>
    </r>
    <r>
      <rPr>
        <b/>
        <vertAlign val="subscript"/>
        <sz val="12"/>
        <rFont val="Arial"/>
        <family val="2"/>
      </rPr>
      <t>g</t>
    </r>
  </si>
  <si>
    <r>
      <t>R</t>
    </r>
    <r>
      <rPr>
        <b/>
        <vertAlign val="subscript"/>
        <sz val="12"/>
        <rFont val="Arial"/>
        <family val="2"/>
      </rPr>
      <t>ds(on)QE</t>
    </r>
  </si>
  <si>
    <t>QE and QF Gate Charge</t>
  </si>
  <si>
    <t xml:space="preserve">Set Initial Power Budget </t>
  </si>
  <si>
    <t>Estimated FET Voltage Drop</t>
  </si>
  <si>
    <t>QA FET Gate Charge</t>
  </si>
  <si>
    <r>
      <t>Voltage Across Drain to Source Where C</t>
    </r>
    <r>
      <rPr>
        <b/>
        <vertAlign val="subscript"/>
        <sz val="12"/>
        <rFont val="Arial"/>
        <family val="2"/>
      </rPr>
      <t xml:space="preserve">OSS </t>
    </r>
    <r>
      <rPr>
        <b/>
        <sz val="12"/>
        <color indexed="8"/>
        <rFont val="Arial"/>
        <family val="2"/>
      </rPr>
      <t>was Measured, Data Sheet Parameter</t>
    </r>
  </si>
  <si>
    <r>
      <t>V</t>
    </r>
    <r>
      <rPr>
        <b/>
        <vertAlign val="subscript"/>
        <sz val="12"/>
        <rFont val="Arial"/>
        <family val="2"/>
      </rPr>
      <t>dsQE</t>
    </r>
  </si>
  <si>
    <r>
      <t>V</t>
    </r>
    <r>
      <rPr>
        <b/>
        <vertAlign val="subscript"/>
        <sz val="12"/>
        <rFont val="Arial"/>
        <family val="2"/>
      </rPr>
      <t>dsQE_SPEC</t>
    </r>
  </si>
  <si>
    <r>
      <t>Voltage Specified at C</t>
    </r>
    <r>
      <rPr>
        <b/>
        <vertAlign val="subscript"/>
        <sz val="12"/>
        <rFont val="Arial"/>
        <family val="2"/>
      </rPr>
      <t>OSS</t>
    </r>
    <r>
      <rPr>
        <b/>
        <sz val="12"/>
        <rFont val="Arial"/>
        <family val="2"/>
      </rPr>
      <t xml:space="preserve"> Specified in the Data Sheet</t>
    </r>
  </si>
  <si>
    <r>
      <t>C</t>
    </r>
    <r>
      <rPr>
        <b/>
        <vertAlign val="subscript"/>
        <sz val="12"/>
        <rFont val="Arial"/>
        <family val="2"/>
      </rPr>
      <t>OSS_SPEC</t>
    </r>
  </si>
  <si>
    <r>
      <t>Specified QE and QF C</t>
    </r>
    <r>
      <rPr>
        <b/>
        <vertAlign val="subscript"/>
        <sz val="12"/>
        <rFont val="Arial"/>
        <family val="2"/>
      </rPr>
      <t xml:space="preserve">OSS </t>
    </r>
    <r>
      <rPr>
        <b/>
        <sz val="12"/>
        <rFont val="Arial"/>
        <family val="2"/>
      </rPr>
      <t>From the Data Sheet</t>
    </r>
  </si>
  <si>
    <r>
      <t>C</t>
    </r>
    <r>
      <rPr>
        <b/>
        <vertAlign val="subscript"/>
        <sz val="12"/>
        <rFont val="Arial"/>
        <family val="2"/>
      </rPr>
      <t>OSS_QE_AVG</t>
    </r>
  </si>
  <si>
    <r>
      <t>Average QE and QF C</t>
    </r>
    <r>
      <rPr>
        <b/>
        <vertAlign val="subscript"/>
        <sz val="12"/>
        <rFont val="Arial"/>
        <family val="2"/>
      </rPr>
      <t>OSS</t>
    </r>
  </si>
  <si>
    <t>QE and QF RMS Current</t>
  </si>
  <si>
    <r>
      <t>I</t>
    </r>
    <r>
      <rPr>
        <b/>
        <vertAlign val="subscript"/>
        <sz val="12"/>
        <rFont val="Arial"/>
        <family val="2"/>
      </rPr>
      <t>QE_RMS</t>
    </r>
  </si>
  <si>
    <r>
      <t>QE</t>
    </r>
    <r>
      <rPr>
        <b/>
        <vertAlign val="subscript"/>
        <sz val="12"/>
        <rFont val="Arial"/>
        <family val="2"/>
      </rPr>
      <t>MILLER_MAX</t>
    </r>
  </si>
  <si>
    <r>
      <t>QE</t>
    </r>
    <r>
      <rPr>
        <b/>
        <vertAlign val="subscript"/>
        <sz val="12"/>
        <rFont val="Arial"/>
        <family val="2"/>
      </rPr>
      <t>MILLER_MIN</t>
    </r>
  </si>
  <si>
    <t>Maximum Gate Charge at the end of the Miller Plateau</t>
  </si>
  <si>
    <t>Peak Current Gate of QE and QF is Driven with</t>
  </si>
  <si>
    <r>
      <t>I</t>
    </r>
    <r>
      <rPr>
        <b/>
        <vertAlign val="subscript"/>
        <sz val="12"/>
        <rFont val="Arial"/>
        <family val="2"/>
      </rPr>
      <t>P</t>
    </r>
  </si>
  <si>
    <r>
      <t>t</t>
    </r>
    <r>
      <rPr>
        <b/>
        <vertAlign val="subscript"/>
        <sz val="12"/>
        <rFont val="Arial"/>
        <family val="2"/>
      </rPr>
      <t>r</t>
    </r>
    <r>
      <rPr>
        <b/>
        <sz val="12"/>
        <rFont val="Arial"/>
        <family val="2"/>
      </rPr>
      <t xml:space="preserve"> ≈ t</t>
    </r>
    <r>
      <rPr>
        <b/>
        <vertAlign val="subscript"/>
        <sz val="12"/>
        <rFont val="Arial"/>
        <family val="2"/>
      </rPr>
      <t>f</t>
    </r>
  </si>
  <si>
    <t>ns</t>
  </si>
  <si>
    <t>Estimate QE FET Losses</t>
  </si>
  <si>
    <r>
      <t>P</t>
    </r>
    <r>
      <rPr>
        <b/>
        <vertAlign val="subscript"/>
        <sz val="12"/>
        <rFont val="Arial"/>
        <family val="2"/>
      </rPr>
      <t>QE</t>
    </r>
  </si>
  <si>
    <t>Maximum Voltage Across QE and QF</t>
  </si>
  <si>
    <t>a2</t>
  </si>
  <si>
    <r>
      <t>Select CT and Enter Turns Ratio a2 = I</t>
    </r>
    <r>
      <rPr>
        <b/>
        <vertAlign val="subscript"/>
        <sz val="12"/>
        <rFont val="Arial"/>
        <family val="2"/>
      </rPr>
      <t>P</t>
    </r>
    <r>
      <rPr>
        <b/>
        <sz val="12"/>
        <rFont val="Arial"/>
        <family val="2"/>
      </rPr>
      <t>/I</t>
    </r>
    <r>
      <rPr>
        <b/>
        <vertAlign val="subscript"/>
        <sz val="12"/>
        <rFont val="Arial"/>
        <family val="2"/>
      </rPr>
      <t>S</t>
    </r>
  </si>
  <si>
    <t>Std. Resistors</t>
  </si>
  <si>
    <t>Capacitors</t>
  </si>
  <si>
    <t>Enter resistor value</t>
  </si>
  <si>
    <t>E6</t>
  </si>
  <si>
    <t>E96</t>
  </si>
  <si>
    <t>Cap value</t>
  </si>
  <si>
    <t>Closest E6 Value</t>
  </si>
  <si>
    <t>Closest E12 Value</t>
  </si>
  <si>
    <t>C values up to 10nF</t>
  </si>
  <si>
    <t>Closest E24 Value</t>
  </si>
  <si>
    <t>Closest E48 Value</t>
  </si>
  <si>
    <t>Closest E96 Value</t>
  </si>
  <si>
    <t>E12</t>
  </si>
  <si>
    <t>C values greater than 10nF</t>
  </si>
  <si>
    <t>E24</t>
  </si>
  <si>
    <t>E48</t>
  </si>
  <si>
    <r>
      <t>R</t>
    </r>
    <r>
      <rPr>
        <b/>
        <vertAlign val="subscript"/>
        <sz val="12"/>
        <rFont val="Arial"/>
        <family val="2"/>
      </rPr>
      <t>S</t>
    </r>
  </si>
  <si>
    <t>Calculate Current Sense Resistor</t>
  </si>
  <si>
    <t>Ω</t>
  </si>
  <si>
    <r>
      <t>I</t>
    </r>
    <r>
      <rPr>
        <b/>
        <vertAlign val="subscript"/>
        <sz val="12"/>
        <rFont val="Arial"/>
        <family val="2"/>
      </rPr>
      <t>P1</t>
    </r>
  </si>
  <si>
    <r>
      <t>Calculate nominal peak current (I</t>
    </r>
    <r>
      <rPr>
        <b/>
        <vertAlign val="subscript"/>
        <sz val="12"/>
        <rFont val="Arial"/>
        <family val="2"/>
      </rPr>
      <t>P1</t>
    </r>
    <r>
      <rPr>
        <b/>
        <sz val="12"/>
        <rFont val="Arial"/>
        <family val="2"/>
      </rPr>
      <t>) at V</t>
    </r>
    <r>
      <rPr>
        <b/>
        <vertAlign val="subscript"/>
        <sz val="12"/>
        <rFont val="Arial"/>
        <family val="2"/>
      </rPr>
      <t>INMIN</t>
    </r>
  </si>
  <si>
    <t>Select Current Sense Resistor for Your Design</t>
  </si>
  <si>
    <t>Estimate Rs Power Loss</t>
  </si>
  <si>
    <r>
      <t>P</t>
    </r>
    <r>
      <rPr>
        <b/>
        <vertAlign val="subscript"/>
        <sz val="12"/>
        <rFont val="Arial"/>
        <family val="2"/>
      </rPr>
      <t>RS</t>
    </r>
  </si>
  <si>
    <r>
      <t>V</t>
    </r>
    <r>
      <rPr>
        <b/>
        <vertAlign val="subscript"/>
        <sz val="12"/>
        <rFont val="Arial"/>
        <family val="2"/>
      </rPr>
      <t>DA</t>
    </r>
  </si>
  <si>
    <r>
      <t>Maximum Diode D</t>
    </r>
    <r>
      <rPr>
        <b/>
        <vertAlign val="subscript"/>
        <sz val="12"/>
        <rFont val="Arial"/>
        <family val="2"/>
      </rPr>
      <t>A</t>
    </r>
    <r>
      <rPr>
        <b/>
        <sz val="12"/>
        <rFont val="Arial"/>
        <family val="2"/>
      </rPr>
      <t xml:space="preserve"> Reverse Voltage</t>
    </r>
  </si>
  <si>
    <r>
      <t>t</t>
    </r>
    <r>
      <rPr>
        <b/>
        <vertAlign val="subscript"/>
        <sz val="12"/>
        <rFont val="Arial"/>
        <family val="2"/>
      </rPr>
      <t>DELAY</t>
    </r>
  </si>
  <si>
    <t>fr</t>
  </si>
  <si>
    <t>Calculate Resonant Tank Frequency</t>
  </si>
  <si>
    <t>Possible Delay That will Be Required for ZVS</t>
  </si>
  <si>
    <r>
      <t>D</t>
    </r>
    <r>
      <rPr>
        <b/>
        <vertAlign val="subscript"/>
        <sz val="12"/>
        <rFont val="Arial"/>
        <family val="2"/>
      </rPr>
      <t>CLAMP</t>
    </r>
  </si>
  <si>
    <r>
      <t>t</t>
    </r>
    <r>
      <rPr>
        <b/>
        <vertAlign val="subscript"/>
        <sz val="12"/>
        <rFont val="Arial"/>
        <family val="2"/>
      </rPr>
      <t>DELAY</t>
    </r>
    <r>
      <rPr>
        <b/>
        <sz val="12"/>
        <rFont val="Arial"/>
        <family val="2"/>
      </rPr>
      <t xml:space="preserve"> will act as a duty cycle clamp</t>
    </r>
  </si>
  <si>
    <t>Switching Cycle Period</t>
  </si>
  <si>
    <t>ts</t>
  </si>
  <si>
    <t>Shim Inductance Used</t>
  </si>
  <si>
    <t>Output Inductance Used</t>
  </si>
  <si>
    <t>Selecting Power Transformer (T1)</t>
  </si>
  <si>
    <t>Number of Output Capacitors Used</t>
  </si>
  <si>
    <t>Input Capacitance Used</t>
  </si>
  <si>
    <r>
      <t>Estimate D</t>
    </r>
    <r>
      <rPr>
        <b/>
        <vertAlign val="subscript"/>
        <sz val="12"/>
        <rFont val="Arial"/>
        <family val="2"/>
      </rPr>
      <t>A</t>
    </r>
    <r>
      <rPr>
        <b/>
        <sz val="12"/>
        <rFont val="Arial"/>
        <family val="2"/>
      </rPr>
      <t xml:space="preserve"> Losses</t>
    </r>
  </si>
  <si>
    <r>
      <t>P</t>
    </r>
    <r>
      <rPr>
        <b/>
        <vertAlign val="subscript"/>
        <sz val="12"/>
        <rFont val="Arial"/>
        <family val="2"/>
      </rPr>
      <t>DA</t>
    </r>
  </si>
  <si>
    <t>V1</t>
  </si>
  <si>
    <r>
      <t>R</t>
    </r>
    <r>
      <rPr>
        <b/>
        <vertAlign val="subscript"/>
        <sz val="12"/>
        <rFont val="Arial"/>
        <family val="2"/>
      </rPr>
      <t>B</t>
    </r>
  </si>
  <si>
    <t>Select Standard Resistor</t>
  </si>
  <si>
    <r>
      <t>R</t>
    </r>
    <r>
      <rPr>
        <b/>
        <vertAlign val="subscript"/>
        <sz val="12"/>
        <rFont val="Arial"/>
        <family val="2"/>
      </rPr>
      <t>A</t>
    </r>
  </si>
  <si>
    <t>Calculated Resistance</t>
  </si>
  <si>
    <r>
      <t>R</t>
    </r>
    <r>
      <rPr>
        <b/>
        <vertAlign val="subscript"/>
        <sz val="12"/>
        <rFont val="Arial"/>
        <family val="2"/>
      </rPr>
      <t>C</t>
    </r>
  </si>
  <si>
    <r>
      <t>R</t>
    </r>
    <r>
      <rPr>
        <b/>
        <vertAlign val="subscript"/>
        <sz val="12"/>
        <rFont val="Arial"/>
        <family val="2"/>
      </rPr>
      <t>I</t>
    </r>
  </si>
  <si>
    <r>
      <t>f</t>
    </r>
    <r>
      <rPr>
        <b/>
        <vertAlign val="subscript"/>
        <sz val="12"/>
        <rFont val="Arial"/>
        <family val="2"/>
      </rPr>
      <t>C</t>
    </r>
  </si>
  <si>
    <t>Voltage Loop Crossover Frequency</t>
  </si>
  <si>
    <r>
      <t>R</t>
    </r>
    <r>
      <rPr>
        <b/>
        <vertAlign val="subscript"/>
        <sz val="12"/>
        <rFont val="Arial"/>
        <family val="2"/>
      </rPr>
      <t>LOAD</t>
    </r>
  </si>
  <si>
    <t>a1*a2*rload/rs</t>
  </si>
  <si>
    <t>Constant</t>
  </si>
  <si>
    <t>n1/d1</t>
  </si>
  <si>
    <t>n1divd1</t>
  </si>
  <si>
    <t>1/d2</t>
  </si>
  <si>
    <t>n1/(d1*d2)</t>
  </si>
  <si>
    <t>a1*a2*rload/rs*(n1/(d1*d2))</t>
  </si>
  <si>
    <t>absolute maximum(a1*a2*rload/rs*(n1/(d1*d2)))</t>
  </si>
  <si>
    <t>n1</t>
  </si>
  <si>
    <t>|Gco(fc)|</t>
  </si>
  <si>
    <r>
      <t>R</t>
    </r>
    <r>
      <rPr>
        <b/>
        <vertAlign val="subscript"/>
        <sz val="12"/>
        <rFont val="Arial"/>
        <family val="2"/>
      </rPr>
      <t>F</t>
    </r>
  </si>
  <si>
    <t>Calculate Feedback Resistor</t>
  </si>
  <si>
    <r>
      <t>C</t>
    </r>
    <r>
      <rPr>
        <b/>
        <vertAlign val="subscript"/>
        <sz val="12"/>
        <rFont val="Arial"/>
        <family val="2"/>
      </rPr>
      <t>Z</t>
    </r>
  </si>
  <si>
    <t>nF</t>
  </si>
  <si>
    <t>Calculate Pole Capacitor</t>
  </si>
  <si>
    <t>Calculate Zero Capacitor</t>
  </si>
  <si>
    <t>mΩ</t>
  </si>
  <si>
    <t>Output Capacitance ESR  ≤</t>
  </si>
  <si>
    <t>Output Capacitance Cout  ≥</t>
  </si>
  <si>
    <t>kΩ</t>
  </si>
  <si>
    <r>
      <t>C</t>
    </r>
    <r>
      <rPr>
        <b/>
        <vertAlign val="subscript"/>
        <sz val="12"/>
        <rFont val="Arial"/>
        <family val="2"/>
      </rPr>
      <t>P</t>
    </r>
  </si>
  <si>
    <t>Cz</t>
  </si>
  <si>
    <t>values up to 10 nF</t>
  </si>
  <si>
    <t>values greater than 10nf</t>
  </si>
  <si>
    <r>
      <t>t</t>
    </r>
    <r>
      <rPr>
        <b/>
        <vertAlign val="subscript"/>
        <sz val="12"/>
        <rFont val="Arial"/>
        <family val="2"/>
      </rPr>
      <t>SS</t>
    </r>
  </si>
  <si>
    <t>Soft Start Time</t>
  </si>
  <si>
    <t>ms</t>
  </si>
  <si>
    <r>
      <t>C</t>
    </r>
    <r>
      <rPr>
        <b/>
        <vertAlign val="subscript"/>
        <sz val="12"/>
        <rFont val="Arial"/>
        <family val="2"/>
      </rPr>
      <t>SS</t>
    </r>
  </si>
  <si>
    <t>values greater than 10 nf</t>
  </si>
  <si>
    <r>
      <t>t</t>
    </r>
    <r>
      <rPr>
        <b/>
        <vertAlign val="subscript"/>
        <sz val="12"/>
        <rFont val="Arial"/>
        <family val="2"/>
      </rPr>
      <t>ABSET</t>
    </r>
  </si>
  <si>
    <r>
      <t>R</t>
    </r>
    <r>
      <rPr>
        <b/>
        <vertAlign val="subscript"/>
        <sz val="12"/>
        <rFont val="Arial"/>
        <family val="2"/>
      </rPr>
      <t>DELAB</t>
    </r>
  </si>
  <si>
    <r>
      <t>R</t>
    </r>
    <r>
      <rPr>
        <b/>
        <vertAlign val="subscript"/>
        <sz val="12"/>
        <rFont val="Arial"/>
        <family val="2"/>
      </rPr>
      <t>DELCD</t>
    </r>
  </si>
  <si>
    <r>
      <t>t</t>
    </r>
    <r>
      <rPr>
        <b/>
        <vertAlign val="subscript"/>
        <sz val="12"/>
        <rFont val="Arial"/>
        <family val="2"/>
      </rPr>
      <t>CDSET</t>
    </r>
  </si>
  <si>
    <r>
      <t>Set to half of t</t>
    </r>
    <r>
      <rPr>
        <b/>
        <vertAlign val="subscript"/>
        <sz val="12"/>
        <rFont val="Arial"/>
        <family val="2"/>
      </rPr>
      <t>ABSET</t>
    </r>
  </si>
  <si>
    <r>
      <t>R</t>
    </r>
    <r>
      <rPr>
        <b/>
        <vertAlign val="subscript"/>
        <sz val="12"/>
        <rFont val="Arial"/>
        <family val="2"/>
      </rPr>
      <t>DELEF</t>
    </r>
  </si>
  <si>
    <t>Setting Minimum on Time</t>
  </si>
  <si>
    <t>Minimum on Time</t>
  </si>
  <si>
    <r>
      <t>t</t>
    </r>
    <r>
      <rPr>
        <b/>
        <vertAlign val="subscript"/>
        <sz val="12"/>
        <rFont val="Arial"/>
        <family val="2"/>
      </rPr>
      <t>MIN</t>
    </r>
  </si>
  <si>
    <r>
      <t>R</t>
    </r>
    <r>
      <rPr>
        <b/>
        <vertAlign val="subscript"/>
        <sz val="12"/>
        <rFont val="Arial"/>
        <family val="2"/>
      </rPr>
      <t>TMIN</t>
    </r>
  </si>
  <si>
    <r>
      <t>Calculate R</t>
    </r>
    <r>
      <rPr>
        <b/>
        <vertAlign val="subscript"/>
        <sz val="12"/>
        <rFont val="Arial"/>
        <family val="2"/>
      </rPr>
      <t>TMIN</t>
    </r>
  </si>
  <si>
    <t>Setup PWM Switching Frequency</t>
  </si>
  <si>
    <r>
      <t>Calculate R</t>
    </r>
    <r>
      <rPr>
        <b/>
        <vertAlign val="subscript"/>
        <sz val="12"/>
        <rFont val="Arial"/>
        <family val="2"/>
      </rPr>
      <t>T</t>
    </r>
    <r>
      <rPr>
        <b/>
        <sz val="12"/>
        <rFont val="Arial"/>
        <family val="2"/>
      </rPr>
      <t xml:space="preserve"> Value</t>
    </r>
  </si>
  <si>
    <r>
      <t>R</t>
    </r>
    <r>
      <rPr>
        <b/>
        <vertAlign val="subscript"/>
        <sz val="12"/>
        <rFont val="Arial"/>
        <family val="2"/>
      </rPr>
      <t>T</t>
    </r>
  </si>
  <si>
    <t>Setup Slope Compensation</t>
  </si>
  <si>
    <t>V/us</t>
  </si>
  <si>
    <r>
      <t>Calculate V</t>
    </r>
    <r>
      <rPr>
        <b/>
        <vertAlign val="subscript"/>
        <sz val="12"/>
        <rFont val="Arial"/>
        <family val="2"/>
      </rPr>
      <t>SLOPE</t>
    </r>
  </si>
  <si>
    <r>
      <t>V</t>
    </r>
    <r>
      <rPr>
        <b/>
        <vertAlign val="subscript"/>
        <sz val="12"/>
        <rFont val="Arial"/>
        <family val="2"/>
      </rPr>
      <t>SLOPE</t>
    </r>
  </si>
  <si>
    <r>
      <t>Calculate R</t>
    </r>
    <r>
      <rPr>
        <b/>
        <vertAlign val="subscript"/>
        <sz val="12"/>
        <rFont val="Arial"/>
        <family val="2"/>
      </rPr>
      <t>SUM</t>
    </r>
  </si>
  <si>
    <r>
      <t>R</t>
    </r>
    <r>
      <rPr>
        <b/>
        <vertAlign val="subscript"/>
        <sz val="12"/>
        <rFont val="Arial"/>
        <family val="2"/>
      </rPr>
      <t>SUM</t>
    </r>
  </si>
  <si>
    <r>
      <t>Voltage across R</t>
    </r>
    <r>
      <rPr>
        <b/>
        <vertAlign val="subscript"/>
        <sz val="12"/>
        <rFont val="Arial"/>
        <family val="2"/>
      </rPr>
      <t>S</t>
    </r>
    <r>
      <rPr>
        <b/>
        <sz val="12"/>
        <rFont val="Arial"/>
        <family val="2"/>
      </rPr>
      <t xml:space="preserve"> at 15% load</t>
    </r>
  </si>
  <si>
    <r>
      <t>V</t>
    </r>
    <r>
      <rPr>
        <b/>
        <vertAlign val="subscript"/>
        <sz val="12"/>
        <rFont val="Arial"/>
        <family val="2"/>
      </rPr>
      <t>RS</t>
    </r>
  </si>
  <si>
    <r>
      <t>R</t>
    </r>
    <r>
      <rPr>
        <b/>
        <vertAlign val="subscript"/>
        <sz val="12"/>
        <rFont val="Arial"/>
        <family val="2"/>
      </rPr>
      <t>G</t>
    </r>
  </si>
  <si>
    <r>
      <t>R</t>
    </r>
    <r>
      <rPr>
        <b/>
        <vertAlign val="subscript"/>
        <sz val="12"/>
        <rFont val="Arial"/>
        <family val="2"/>
      </rPr>
      <t>E</t>
    </r>
  </si>
  <si>
    <r>
      <t>Calculate R</t>
    </r>
    <r>
      <rPr>
        <b/>
        <vertAlign val="subscript"/>
        <sz val="12"/>
        <rFont val="Arial"/>
        <family val="2"/>
      </rPr>
      <t xml:space="preserve">E </t>
    </r>
  </si>
  <si>
    <r>
      <t>Δ</t>
    </r>
    <r>
      <rPr>
        <b/>
        <sz val="12"/>
        <rFont val="Arial"/>
        <family val="2"/>
      </rPr>
      <t>I</t>
    </r>
    <r>
      <rPr>
        <b/>
        <vertAlign val="subscript"/>
        <sz val="12"/>
        <rFont val="Arial"/>
        <family val="2"/>
      </rPr>
      <t>LOUT</t>
    </r>
  </si>
  <si>
    <t>Partial RMS Current</t>
  </si>
  <si>
    <t>Counter</t>
  </si>
  <si>
    <t>Gco n1/d1</t>
  </si>
  <si>
    <t>Gco 1/d2</t>
  </si>
  <si>
    <t>Gco n1/(d1*d2)</t>
  </si>
  <si>
    <t>Gco(f)</t>
  </si>
  <si>
    <t>|Gco(f)|</t>
  </si>
  <si>
    <t>Gc n1/n1</t>
  </si>
  <si>
    <t>Gc 1/n2</t>
  </si>
  <si>
    <t>Gc(f)</t>
  </si>
  <si>
    <t>Gc(f)*Gco(f)</t>
  </si>
  <si>
    <t>TvdB(f)</t>
  </si>
  <si>
    <r>
      <t>ӨT</t>
    </r>
    <r>
      <rPr>
        <vertAlign val="subscript"/>
        <sz val="10"/>
        <rFont val="Arial"/>
        <family val="2"/>
      </rPr>
      <t>V</t>
    </r>
    <r>
      <rPr>
        <sz val="10"/>
        <rFont val="Arial"/>
        <family val="2"/>
      </rPr>
      <t>(f)</t>
    </r>
  </si>
  <si>
    <t>frequency</t>
  </si>
  <si>
    <t>TvdB(f)
MathCad Check</t>
  </si>
  <si>
    <r>
      <t>ӨT</t>
    </r>
    <r>
      <rPr>
        <vertAlign val="subscript"/>
        <sz val="10"/>
        <rFont val="Arial"/>
        <family val="2"/>
      </rPr>
      <t>V</t>
    </r>
    <r>
      <rPr>
        <sz val="10"/>
        <rFont val="Arial"/>
        <family val="2"/>
      </rPr>
      <t>(f)
MathCAD
Check</t>
    </r>
  </si>
  <si>
    <t>Frequency</t>
  </si>
  <si>
    <t>ӨTv(f)</t>
  </si>
  <si>
    <t>T1 Primary Magnetizing Inductance &gt; or =</t>
  </si>
  <si>
    <r>
      <t>Calculate T1 Secondary RMS Current (I</t>
    </r>
    <r>
      <rPr>
        <b/>
        <vertAlign val="subscript"/>
        <sz val="12"/>
        <rFont val="Arial"/>
        <family val="2"/>
      </rPr>
      <t>SRMS</t>
    </r>
    <r>
      <rPr>
        <b/>
        <sz val="12"/>
        <rFont val="Arial"/>
        <family val="2"/>
      </rPr>
      <t>)</t>
    </r>
  </si>
  <si>
    <r>
      <t>L</t>
    </r>
    <r>
      <rPr>
        <b/>
        <vertAlign val="subscript"/>
        <sz val="12"/>
        <rFont val="Arial"/>
        <family val="2"/>
      </rPr>
      <t>OUT</t>
    </r>
    <r>
      <rPr>
        <b/>
        <sz val="12"/>
        <rFont val="Arial"/>
        <family val="2"/>
      </rPr>
      <t xml:space="preserve"> equivalent series resistance</t>
    </r>
  </si>
  <si>
    <t>Total Equivalent Series Resistance</t>
  </si>
  <si>
    <t>QE and QF on Resistance</t>
  </si>
  <si>
    <t>Minimum Gate Charge at the beginning of the Miller Plateau</t>
  </si>
  <si>
    <r>
      <t>Approximate QE and QF V</t>
    </r>
    <r>
      <rPr>
        <b/>
        <vertAlign val="subscript"/>
        <sz val="12"/>
        <rFont val="Arial"/>
        <family val="2"/>
      </rPr>
      <t>ds</t>
    </r>
    <r>
      <rPr>
        <b/>
        <sz val="12"/>
        <rFont val="Arial"/>
        <family val="2"/>
      </rPr>
      <t xml:space="preserve"> Rise and Fall Times</t>
    </r>
  </si>
  <si>
    <t>Equivalent Series Resistance</t>
  </si>
  <si>
    <r>
      <t>Estimate C</t>
    </r>
    <r>
      <rPr>
        <b/>
        <vertAlign val="subscript"/>
        <sz val="12"/>
        <rFont val="Arial"/>
        <family val="2"/>
      </rPr>
      <t>IN</t>
    </r>
    <r>
      <rPr>
        <b/>
        <sz val="12"/>
        <rFont val="Arial"/>
        <family val="2"/>
      </rPr>
      <t xml:space="preserve"> Power Dissipation</t>
    </r>
  </si>
  <si>
    <t>Programmed Voltage Reference, Needs to be &lt; 5V</t>
  </si>
  <si>
    <t>Load Impedance at 10% Load</t>
  </si>
  <si>
    <t>Calculate Soft Start Capacitor</t>
  </si>
  <si>
    <t>Calculate 1/4 LC Tank Frequency and set AB Initial Delay</t>
  </si>
  <si>
    <t>Calculate AB timing resistor</t>
  </si>
  <si>
    <r>
      <t>Set Initial CD delay to AB Delay t</t>
    </r>
    <r>
      <rPr>
        <b/>
        <vertAlign val="subscript"/>
        <sz val="12"/>
        <rFont val="Arial"/>
        <family val="2"/>
      </rPr>
      <t>ABSET</t>
    </r>
    <r>
      <rPr>
        <b/>
        <sz val="12"/>
        <rFont val="Arial"/>
        <family val="2"/>
      </rPr>
      <t xml:space="preserve"> = t</t>
    </r>
    <r>
      <rPr>
        <b/>
        <vertAlign val="subscript"/>
        <sz val="12"/>
        <rFont val="Arial"/>
        <family val="2"/>
      </rPr>
      <t>CDSET</t>
    </r>
  </si>
  <si>
    <r>
      <t>Calculate Magnetizing Current during I</t>
    </r>
    <r>
      <rPr>
        <b/>
        <vertAlign val="subscript"/>
        <sz val="12"/>
        <rFont val="Arial"/>
        <family val="2"/>
      </rPr>
      <t>LOUT</t>
    </r>
    <r>
      <rPr>
        <b/>
        <sz val="12"/>
        <rFont val="Arial"/>
        <family val="2"/>
      </rPr>
      <t xml:space="preserve"> down slope</t>
    </r>
  </si>
  <si>
    <t>Setup DCM Comparator</t>
  </si>
  <si>
    <t>Voltage Applied to FET Gate ≈ VDD</t>
  </si>
  <si>
    <r>
      <t>Double pole of G</t>
    </r>
    <r>
      <rPr>
        <b/>
        <vertAlign val="subscript"/>
        <sz val="12"/>
        <rFont val="Arial"/>
        <family val="2"/>
      </rPr>
      <t>CO</t>
    </r>
    <r>
      <rPr>
        <b/>
        <sz val="12"/>
        <rFont val="Arial"/>
        <family val="2"/>
      </rPr>
      <t>(f)</t>
    </r>
  </si>
  <si>
    <r>
      <t>f</t>
    </r>
    <r>
      <rPr>
        <b/>
        <vertAlign val="subscript"/>
        <sz val="12"/>
        <rFont val="Arial"/>
        <family val="2"/>
      </rPr>
      <t>PP</t>
    </r>
  </si>
  <si>
    <r>
      <t>Select Shim Inductor (L</t>
    </r>
    <r>
      <rPr>
        <b/>
        <vertAlign val="subscript"/>
        <sz val="12"/>
        <color indexed="9"/>
        <rFont val="Arial"/>
        <family val="2"/>
      </rPr>
      <t>S</t>
    </r>
    <r>
      <rPr>
        <b/>
        <sz val="12"/>
        <color indexed="9"/>
        <rFont val="Arial"/>
        <family val="2"/>
      </rPr>
      <t>)</t>
    </r>
  </si>
  <si>
    <r>
      <t>Selecting Output Inductor (L</t>
    </r>
    <r>
      <rPr>
        <b/>
        <vertAlign val="subscript"/>
        <sz val="12"/>
        <color indexed="9"/>
        <rFont val="Arial"/>
        <family val="2"/>
      </rPr>
      <t>OUT</t>
    </r>
    <r>
      <rPr>
        <b/>
        <sz val="12"/>
        <color indexed="9"/>
        <rFont val="Arial"/>
        <family val="2"/>
      </rPr>
      <t>)</t>
    </r>
  </si>
  <si>
    <r>
      <t>Selecting Output Capacitance (C</t>
    </r>
    <r>
      <rPr>
        <b/>
        <vertAlign val="subscript"/>
        <sz val="12"/>
        <color indexed="9"/>
        <rFont val="Arial"/>
        <family val="2"/>
      </rPr>
      <t>OUT</t>
    </r>
    <r>
      <rPr>
        <b/>
        <sz val="12"/>
        <color indexed="9"/>
        <rFont val="Arial"/>
        <family val="2"/>
      </rPr>
      <t>)</t>
    </r>
  </si>
  <si>
    <r>
      <t>Input Capacitance Calculations (C</t>
    </r>
    <r>
      <rPr>
        <b/>
        <vertAlign val="subscript"/>
        <sz val="12"/>
        <color indexed="9"/>
        <rFont val="Arial"/>
        <family val="2"/>
      </rPr>
      <t>IN</t>
    </r>
    <r>
      <rPr>
        <b/>
        <sz val="12"/>
        <color indexed="9"/>
        <rFont val="Arial"/>
        <family val="2"/>
      </rPr>
      <t>)</t>
    </r>
  </si>
  <si>
    <t>Recalculate Power Budget 
This is the remaining power left for the CT network, IC and IC sensing resistors</t>
  </si>
  <si>
    <r>
      <t>Setting up Voltage Amplifier Reference G</t>
    </r>
    <r>
      <rPr>
        <b/>
        <vertAlign val="subscript"/>
        <sz val="12"/>
        <color indexed="9"/>
        <rFont val="Arial"/>
        <family val="2"/>
      </rPr>
      <t>C</t>
    </r>
    <r>
      <rPr>
        <b/>
        <sz val="12"/>
        <color indexed="9"/>
        <rFont val="Arial"/>
        <family val="2"/>
      </rPr>
      <t>(f)</t>
    </r>
  </si>
  <si>
    <r>
      <t>Select Soft Start Capacitor (C</t>
    </r>
    <r>
      <rPr>
        <b/>
        <vertAlign val="subscript"/>
        <sz val="12"/>
        <color indexed="9"/>
        <rFont val="Arial"/>
        <family val="2"/>
      </rPr>
      <t>SS</t>
    </r>
    <r>
      <rPr>
        <b/>
        <sz val="12"/>
        <color indexed="9"/>
        <rFont val="Arial"/>
        <family val="2"/>
      </rPr>
      <t>)</t>
    </r>
  </si>
  <si>
    <t>It is recommended that you read this application note before using this design tool</t>
  </si>
  <si>
    <t>Please Refer to Figure of T1 Current</t>
  </si>
  <si>
    <r>
      <t>Primary Magnetizing Current Based on L</t>
    </r>
    <r>
      <rPr>
        <b/>
        <vertAlign val="subscript"/>
        <sz val="12"/>
        <rFont val="Arial"/>
        <family val="2"/>
      </rPr>
      <t>MAG</t>
    </r>
  </si>
  <si>
    <r>
      <t>Calculate T1 Primary RMS Current (I</t>
    </r>
    <r>
      <rPr>
        <b/>
        <vertAlign val="subscript"/>
        <sz val="12"/>
        <rFont val="Arial"/>
        <family val="2"/>
      </rPr>
      <t>PRMS</t>
    </r>
    <r>
      <rPr>
        <b/>
        <sz val="12"/>
        <rFont val="Arial"/>
        <family val="2"/>
      </rPr>
      <t>)</t>
    </r>
  </si>
  <si>
    <t>UCC28950 Design Calculator</t>
  </si>
  <si>
    <r>
      <t>Setting up the current sense network (CT, R</t>
    </r>
    <r>
      <rPr>
        <b/>
        <vertAlign val="subscript"/>
        <sz val="12"/>
        <color indexed="9"/>
        <rFont val="Arial"/>
        <family val="2"/>
      </rPr>
      <t>S</t>
    </r>
    <r>
      <rPr>
        <b/>
        <sz val="12"/>
        <color indexed="9"/>
        <rFont val="Arial"/>
        <family val="2"/>
      </rPr>
      <t>, R</t>
    </r>
    <r>
      <rPr>
        <b/>
        <vertAlign val="subscript"/>
        <sz val="12"/>
        <color indexed="9"/>
        <rFont val="Arial"/>
        <family val="2"/>
      </rPr>
      <t xml:space="preserve">RE, </t>
    </r>
    <r>
      <rPr>
        <b/>
        <sz val="12"/>
        <color indexed="9"/>
        <rFont val="Arial"/>
        <family val="2"/>
      </rPr>
      <t>D</t>
    </r>
    <r>
      <rPr>
        <b/>
        <vertAlign val="subscript"/>
        <sz val="12"/>
        <color indexed="9"/>
        <rFont val="Arial"/>
        <family val="2"/>
      </rPr>
      <t>A</t>
    </r>
    <r>
      <rPr>
        <b/>
        <sz val="12"/>
        <color indexed="9"/>
        <rFont val="Arial"/>
        <family val="2"/>
      </rPr>
      <t>):</t>
    </r>
  </si>
  <si>
    <t>Closest Standard Capacitor Value</t>
  </si>
  <si>
    <t>Closest Standard Resistor Value (E48)</t>
  </si>
  <si>
    <t>4. The spreadsheet will calculate the ideal values and display the results in red type.</t>
  </si>
  <si>
    <r>
      <t>L</t>
    </r>
    <r>
      <rPr>
        <b/>
        <vertAlign val="subscript"/>
        <sz val="12"/>
        <rFont val="Arial"/>
        <family val="2"/>
      </rPr>
      <t>LK</t>
    </r>
  </si>
  <si>
    <t>Measured Transformer Primary Leakage Inductance</t>
  </si>
  <si>
    <t>&gt; Invalid parameters entered in yellow cells</t>
  </si>
  <si>
    <t>&gt; Design cannot calculate realistic values for your design parameters</t>
  </si>
  <si>
    <t>&gt; Efficiency goal with selected components may not be achievable</t>
  </si>
  <si>
    <t>Warning Negative Numbers in Calculated Values Could Indicate</t>
  </si>
  <si>
    <t>Select Transformer Turns Ratio</t>
  </si>
  <si>
    <r>
      <t>R</t>
    </r>
    <r>
      <rPr>
        <b/>
        <vertAlign val="subscript"/>
        <sz val="12"/>
        <rFont val="Arial"/>
        <family val="2"/>
      </rPr>
      <t>DA1</t>
    </r>
  </si>
  <si>
    <r>
      <t>V</t>
    </r>
    <r>
      <rPr>
        <b/>
        <vertAlign val="subscript"/>
        <sz val="12"/>
        <rFont val="Arial"/>
        <family val="2"/>
      </rPr>
      <t>ADEL</t>
    </r>
  </si>
  <si>
    <t>Calculate Voltage at ADEL pin to Meet Delay Range</t>
  </si>
  <si>
    <r>
      <t>Select Standard Resistor for R</t>
    </r>
    <r>
      <rPr>
        <b/>
        <vertAlign val="subscript"/>
        <sz val="12"/>
        <rFont val="Arial"/>
        <family val="2"/>
      </rPr>
      <t xml:space="preserve">DA1 </t>
    </r>
    <r>
      <rPr>
        <b/>
        <sz val="12"/>
        <rFont val="Arial"/>
        <family val="2"/>
      </rPr>
      <t>for t</t>
    </r>
    <r>
      <rPr>
        <b/>
        <vertAlign val="subscript"/>
        <sz val="12"/>
        <rFont val="Arial"/>
        <family val="2"/>
      </rPr>
      <t xml:space="preserve">ABSET </t>
    </r>
    <r>
      <rPr>
        <b/>
        <sz val="12"/>
        <rFont val="Arial"/>
        <family val="2"/>
      </rPr>
      <t>Delay Range</t>
    </r>
  </si>
  <si>
    <r>
      <t>Calculate R</t>
    </r>
    <r>
      <rPr>
        <b/>
        <vertAlign val="subscript"/>
        <sz val="12"/>
        <rFont val="Arial"/>
        <family val="2"/>
      </rPr>
      <t>DA2</t>
    </r>
  </si>
  <si>
    <r>
      <t>R</t>
    </r>
    <r>
      <rPr>
        <b/>
        <vertAlign val="subscript"/>
        <sz val="12"/>
        <rFont val="Arial"/>
        <family val="2"/>
      </rPr>
      <t>DA2</t>
    </r>
  </si>
  <si>
    <r>
      <t>Select Standard Resistor for R</t>
    </r>
    <r>
      <rPr>
        <b/>
        <vertAlign val="subscript"/>
        <sz val="12"/>
        <rFont val="Arial"/>
        <family val="2"/>
      </rPr>
      <t xml:space="preserve">DA2 </t>
    </r>
    <r>
      <rPr>
        <b/>
        <sz val="12"/>
        <rFont val="Arial"/>
        <family val="2"/>
      </rPr>
      <t>for t</t>
    </r>
    <r>
      <rPr>
        <b/>
        <vertAlign val="subscript"/>
        <sz val="12"/>
        <rFont val="Arial"/>
        <family val="2"/>
      </rPr>
      <t xml:space="preserve">ABSET </t>
    </r>
    <r>
      <rPr>
        <b/>
        <sz val="12"/>
        <rFont val="Arial"/>
        <family val="2"/>
      </rPr>
      <t>Delay Range</t>
    </r>
  </si>
  <si>
    <r>
      <t>Recalculate V</t>
    </r>
    <r>
      <rPr>
        <b/>
        <vertAlign val="subscript"/>
        <sz val="12"/>
        <rFont val="Arial"/>
        <family val="2"/>
      </rPr>
      <t>ADEL</t>
    </r>
    <r>
      <rPr>
        <b/>
        <sz val="12"/>
        <rFont val="Arial"/>
        <family val="2"/>
      </rPr>
      <t xml:space="preserve"> Based on R</t>
    </r>
    <r>
      <rPr>
        <b/>
        <vertAlign val="subscript"/>
        <sz val="12"/>
        <rFont val="Arial"/>
        <family val="2"/>
      </rPr>
      <t>DA1</t>
    </r>
    <r>
      <rPr>
        <b/>
        <sz val="12"/>
        <rFont val="Arial"/>
        <family val="2"/>
      </rPr>
      <t xml:space="preserve"> and R</t>
    </r>
    <r>
      <rPr>
        <b/>
        <vertAlign val="subscript"/>
        <sz val="12"/>
        <rFont val="Arial"/>
        <family val="2"/>
      </rPr>
      <t>DA2</t>
    </r>
    <r>
      <rPr>
        <b/>
        <sz val="12"/>
        <rFont val="Arial"/>
        <family val="2"/>
      </rPr>
      <t xml:space="preserve"> Selection</t>
    </r>
  </si>
  <si>
    <r>
      <t>Enter/Fine Tune t</t>
    </r>
    <r>
      <rPr>
        <b/>
        <vertAlign val="subscript"/>
        <sz val="12"/>
        <rFont val="Arial"/>
        <family val="2"/>
      </rPr>
      <t>ABSET</t>
    </r>
    <r>
      <rPr>
        <b/>
        <sz val="12"/>
        <rFont val="Arial"/>
        <family val="2"/>
      </rPr>
      <t xml:space="preserve"> Based on Valley Switching/ZVS</t>
    </r>
  </si>
  <si>
    <r>
      <t>Setting AB Initial Turn-on Delay (t</t>
    </r>
    <r>
      <rPr>
        <b/>
        <vertAlign val="subscript"/>
        <sz val="12"/>
        <color indexed="9"/>
        <rFont val="Arial"/>
        <family val="2"/>
      </rPr>
      <t>ABSET</t>
    </r>
    <r>
      <rPr>
        <b/>
        <sz val="12"/>
        <color indexed="9"/>
        <rFont val="Arial"/>
        <family val="2"/>
      </rPr>
      <t>)</t>
    </r>
  </si>
  <si>
    <r>
      <t>Setting CD Initial Turn-on Delay (t</t>
    </r>
    <r>
      <rPr>
        <b/>
        <vertAlign val="subscript"/>
        <sz val="12"/>
        <color indexed="9"/>
        <rFont val="Arial"/>
        <family val="2"/>
      </rPr>
      <t>CDSET</t>
    </r>
    <r>
      <rPr>
        <b/>
        <sz val="12"/>
        <color indexed="9"/>
        <rFont val="Arial"/>
        <family val="2"/>
      </rPr>
      <t>)</t>
    </r>
  </si>
  <si>
    <r>
      <t>R</t>
    </r>
    <r>
      <rPr>
        <b/>
        <vertAlign val="subscript"/>
        <sz val="12"/>
        <rFont val="Arial"/>
        <family val="2"/>
      </rPr>
      <t>CA1</t>
    </r>
  </si>
  <si>
    <r>
      <t>Select Standard Resistor for R</t>
    </r>
    <r>
      <rPr>
        <b/>
        <vertAlign val="subscript"/>
        <sz val="12"/>
        <rFont val="Arial"/>
        <family val="2"/>
      </rPr>
      <t xml:space="preserve">CA1 </t>
    </r>
    <r>
      <rPr>
        <b/>
        <sz val="12"/>
        <rFont val="Arial"/>
        <family val="2"/>
      </rPr>
      <t>for t</t>
    </r>
    <r>
      <rPr>
        <b/>
        <vertAlign val="subscript"/>
        <sz val="12"/>
        <rFont val="Arial"/>
        <family val="2"/>
      </rPr>
      <t xml:space="preserve">AFSET </t>
    </r>
    <r>
      <rPr>
        <b/>
        <sz val="12"/>
        <rFont val="Arial"/>
        <family val="2"/>
      </rPr>
      <t>Delay Range</t>
    </r>
  </si>
  <si>
    <r>
      <t>Calculate R</t>
    </r>
    <r>
      <rPr>
        <b/>
        <vertAlign val="subscript"/>
        <sz val="12"/>
        <rFont val="Arial"/>
        <family val="2"/>
      </rPr>
      <t>CA2</t>
    </r>
  </si>
  <si>
    <r>
      <t>R</t>
    </r>
    <r>
      <rPr>
        <b/>
        <vertAlign val="subscript"/>
        <sz val="12"/>
        <rFont val="Arial"/>
        <family val="2"/>
      </rPr>
      <t>CA2</t>
    </r>
  </si>
  <si>
    <t>Calculate Voltage at ADELEF pin to Meet Delay Range</t>
  </si>
  <si>
    <r>
      <t>V</t>
    </r>
    <r>
      <rPr>
        <b/>
        <vertAlign val="subscript"/>
        <sz val="12"/>
        <rFont val="Arial"/>
        <family val="2"/>
      </rPr>
      <t>ADELEF</t>
    </r>
  </si>
  <si>
    <r>
      <t>t</t>
    </r>
    <r>
      <rPr>
        <b/>
        <vertAlign val="subscript"/>
        <sz val="12"/>
        <rFont val="Arial"/>
        <family val="2"/>
      </rPr>
      <t xml:space="preserve">AFSET </t>
    </r>
    <r>
      <rPr>
        <b/>
        <sz val="12"/>
        <rFont val="Arial"/>
        <family val="2"/>
      </rPr>
      <t>= t</t>
    </r>
    <r>
      <rPr>
        <b/>
        <vertAlign val="subscript"/>
        <sz val="12"/>
        <rFont val="Arial"/>
        <family val="2"/>
      </rPr>
      <t>BESET</t>
    </r>
  </si>
  <si>
    <r>
      <t>Enter/Fine Tune t</t>
    </r>
    <r>
      <rPr>
        <b/>
        <vertAlign val="subscript"/>
        <sz val="12"/>
        <rFont val="Arial"/>
        <family val="2"/>
      </rPr>
      <t xml:space="preserve">AFSET </t>
    </r>
    <r>
      <rPr>
        <b/>
        <sz val="12"/>
        <rFont val="Arial"/>
        <family val="2"/>
      </rPr>
      <t>and t</t>
    </r>
    <r>
      <rPr>
        <b/>
        <vertAlign val="subscript"/>
        <sz val="12"/>
        <rFont val="Arial"/>
        <family val="2"/>
      </rPr>
      <t>AFSET</t>
    </r>
  </si>
  <si>
    <t>Select Standard Resistor Value</t>
  </si>
  <si>
    <r>
      <t>Setting AF and BE turnoff delay (t</t>
    </r>
    <r>
      <rPr>
        <b/>
        <vertAlign val="subscript"/>
        <sz val="12"/>
        <color indexed="9"/>
        <rFont val="Arial"/>
        <family val="2"/>
      </rPr>
      <t>AFSET</t>
    </r>
    <r>
      <rPr>
        <b/>
        <sz val="12"/>
        <color indexed="9"/>
        <rFont val="Arial"/>
        <family val="2"/>
      </rPr>
      <t>, t</t>
    </r>
    <r>
      <rPr>
        <b/>
        <vertAlign val="subscript"/>
        <sz val="12"/>
        <color indexed="9"/>
        <rFont val="Arial"/>
        <family val="2"/>
      </rPr>
      <t>BESET</t>
    </r>
    <r>
      <rPr>
        <b/>
        <sz val="12"/>
        <color indexed="9"/>
        <rFont val="Arial"/>
        <family val="2"/>
      </rPr>
      <t>)</t>
    </r>
  </si>
  <si>
    <t>Select Standard Capacitor Value</t>
  </si>
  <si>
    <t>Select Standard Resistor Value (Between 13K and 90K ohm)</t>
  </si>
  <si>
    <t>Select Standard Resistor Value(Between 13K and 90K ohm)</t>
  </si>
  <si>
    <t>This design tool was generated based on the information in application report SLUA560</t>
  </si>
  <si>
    <r>
      <t>Δ</t>
    </r>
    <r>
      <rPr>
        <b/>
        <sz val="12"/>
        <rFont val="Arial"/>
        <family val="2"/>
      </rPr>
      <t>I</t>
    </r>
    <r>
      <rPr>
        <b/>
        <vertAlign val="subscript"/>
        <sz val="12"/>
        <rFont val="Arial"/>
        <family val="2"/>
      </rPr>
      <t>LMAG</t>
    </r>
  </si>
  <si>
    <t>6. Note this design tool was generated to accompany application report     SLUA560</t>
  </si>
  <si>
    <t>Revision</t>
  </si>
  <si>
    <t>Enter Design Parameters and Chosen Component Values in Yellow Cells</t>
  </si>
  <si>
    <r>
      <t>V</t>
    </r>
    <r>
      <rPr>
        <b/>
        <vertAlign val="subscript"/>
        <sz val="12"/>
        <rFont val="Arial"/>
        <family val="2"/>
      </rPr>
      <t>SLOPE1</t>
    </r>
  </si>
  <si>
    <r>
      <t>V</t>
    </r>
    <r>
      <rPr>
        <b/>
        <vertAlign val="subscript"/>
        <sz val="12"/>
        <rFont val="Arial"/>
        <family val="2"/>
      </rPr>
      <t>SLOPE2</t>
    </r>
  </si>
  <si>
    <r>
      <t>Calculate V</t>
    </r>
    <r>
      <rPr>
        <b/>
        <vertAlign val="subscript"/>
        <sz val="12"/>
        <rFont val="Arial"/>
        <family val="2"/>
      </rPr>
      <t>SLOPE1</t>
    </r>
  </si>
  <si>
    <r>
      <t>Calculate V</t>
    </r>
    <r>
      <rPr>
        <b/>
        <vertAlign val="subscript"/>
        <sz val="12"/>
        <rFont val="Arial"/>
        <family val="2"/>
      </rPr>
      <t>SLOPE2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</si>
</sst>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77" formatCode="0.000"/>
    <numFmt numFmtId="178" formatCode="0.E+00"/>
    <numFmt numFmtId="179" formatCode="#,##0.0"/>
  </numFmts>
  <fonts count="30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26"/>
      <color indexed="10"/>
      <name val="Arial"/>
      <family val="2"/>
    </font>
    <font>
      <sz val="20"/>
      <name val="Arial"/>
      <family val="2"/>
    </font>
    <font>
      <b/>
      <vertAlign val="subscript"/>
      <sz val="12"/>
      <name val="Arial"/>
      <family val="2"/>
    </font>
    <font>
      <b/>
      <sz val="12"/>
      <color indexed="8"/>
      <name val="Arial"/>
      <family val="2"/>
    </font>
    <font>
      <sz val="10"/>
      <color indexed="10"/>
      <name val="Arial"/>
      <family val="2"/>
    </font>
    <font>
      <b/>
      <sz val="14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22"/>
      <name val="Arial"/>
      <family val="2"/>
    </font>
    <font>
      <sz val="14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vertAlign val="subscript"/>
      <sz val="10"/>
      <name val="Arial"/>
      <family val="2"/>
    </font>
    <font>
      <b/>
      <sz val="12"/>
      <color indexed="9"/>
      <name val="Arial"/>
      <family val="2"/>
    </font>
    <font>
      <b/>
      <vertAlign val="subscript"/>
      <sz val="12"/>
      <color indexed="9"/>
      <name val="Arial"/>
      <family val="2"/>
    </font>
    <font>
      <b/>
      <sz val="12"/>
      <color indexed="10"/>
      <name val="Arial"/>
      <family val="2"/>
    </font>
    <font>
      <b/>
      <sz val="12"/>
      <color indexed="53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9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4" fillId="2" borderId="0" xfId="0" applyFont="1" applyFill="1" applyAlignment="1">
      <alignment vertical="center"/>
    </xf>
    <xf numFmtId="176" fontId="2" fillId="3" borderId="1" xfId="0" applyNumberFormat="1" applyFont="1" applyFill="1" applyBorder="1" applyAlignment="1" applyProtection="1">
      <alignment horizontal="left"/>
      <protection locked="0"/>
    </xf>
    <xf numFmtId="1" fontId="2" fillId="3" borderId="1" xfId="0" applyNumberFormat="1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176" fontId="2" fillId="4" borderId="1" xfId="0" applyNumberFormat="1" applyFont="1" applyFill="1" applyBorder="1" applyAlignment="1" applyProtection="1">
      <alignment horizontal="left"/>
    </xf>
    <xf numFmtId="0" fontId="7" fillId="4" borderId="0" xfId="0" applyFont="1" applyFill="1" applyBorder="1" applyProtection="1">
      <protection hidden="1"/>
    </xf>
    <xf numFmtId="0" fontId="1" fillId="4" borderId="0" xfId="0" applyFont="1" applyFill="1" applyProtection="1">
      <protection hidden="1"/>
    </xf>
    <xf numFmtId="0" fontId="8" fillId="4" borderId="0" xfId="0" applyFont="1" applyFill="1" applyBorder="1" applyProtection="1">
      <protection hidden="1"/>
    </xf>
    <xf numFmtId="0" fontId="1" fillId="4" borderId="0" xfId="0" applyFont="1" applyFill="1" applyBorder="1" applyProtection="1">
      <protection hidden="1"/>
    </xf>
    <xf numFmtId="49" fontId="1" fillId="4" borderId="0" xfId="0" applyNumberFormat="1" applyFont="1" applyFill="1" applyBorder="1" applyProtection="1">
      <protection hidden="1"/>
    </xf>
    <xf numFmtId="0" fontId="7" fillId="4" borderId="2" xfId="0" applyFont="1" applyFill="1" applyBorder="1" applyProtection="1">
      <protection hidden="1"/>
    </xf>
    <xf numFmtId="0" fontId="1" fillId="4" borderId="3" xfId="0" applyFont="1" applyFill="1" applyBorder="1" applyProtection="1">
      <protection hidden="1"/>
    </xf>
    <xf numFmtId="0" fontId="9" fillId="5" borderId="4" xfId="0" applyFont="1" applyFill="1" applyBorder="1" applyProtection="1">
      <protection hidden="1"/>
    </xf>
    <xf numFmtId="1" fontId="7" fillId="4" borderId="0" xfId="0" applyNumberFormat="1" applyFont="1" applyFill="1" applyBorder="1" applyProtection="1">
      <protection hidden="1"/>
    </xf>
    <xf numFmtId="1" fontId="11" fillId="6" borderId="5" xfId="0" applyNumberFormat="1" applyFont="1" applyFill="1" applyBorder="1" applyAlignment="1" applyProtection="1">
      <alignment horizontal="center"/>
      <protection hidden="1"/>
    </xf>
    <xf numFmtId="0" fontId="11" fillId="6" borderId="6" xfId="0" applyFont="1" applyFill="1" applyBorder="1" applyProtection="1">
      <protection hidden="1"/>
    </xf>
    <xf numFmtId="0" fontId="7" fillId="4" borderId="0" xfId="0" applyFont="1" applyFill="1" applyProtection="1">
      <protection hidden="1"/>
    </xf>
    <xf numFmtId="0" fontId="10" fillId="7" borderId="7" xfId="0" applyFont="1" applyFill="1" applyBorder="1" applyAlignment="1">
      <alignment horizontal="center" wrapText="1"/>
    </xf>
    <xf numFmtId="0" fontId="10" fillId="7" borderId="8" xfId="0" applyFont="1" applyFill="1" applyBorder="1" applyAlignment="1">
      <alignment horizontal="center" wrapText="1"/>
    </xf>
    <xf numFmtId="0" fontId="10" fillId="8" borderId="7" xfId="0" applyFont="1" applyFill="1" applyBorder="1" applyAlignment="1">
      <alignment horizontal="center" wrapText="1"/>
    </xf>
    <xf numFmtId="0" fontId="10" fillId="8" borderId="9" xfId="0" applyFont="1" applyFill="1" applyBorder="1" applyAlignment="1">
      <alignment horizontal="center" wrapText="1"/>
    </xf>
    <xf numFmtId="0" fontId="9" fillId="5" borderId="10" xfId="0" applyFont="1" applyFill="1" applyBorder="1" applyAlignment="1" applyProtection="1">
      <alignment horizontal="center"/>
      <protection hidden="1"/>
    </xf>
    <xf numFmtId="0" fontId="9" fillId="5" borderId="11" xfId="0" applyFont="1" applyFill="1" applyBorder="1" applyProtection="1">
      <protection hidden="1"/>
    </xf>
    <xf numFmtId="0" fontId="1" fillId="4" borderId="12" xfId="0" applyFont="1" applyFill="1" applyBorder="1" applyProtection="1">
      <protection hidden="1"/>
    </xf>
    <xf numFmtId="1" fontId="12" fillId="4" borderId="0" xfId="0" applyNumberFormat="1" applyFont="1" applyFill="1" applyBorder="1" applyProtection="1">
      <protection hidden="1"/>
    </xf>
    <xf numFmtId="177" fontId="13" fillId="4" borderId="0" xfId="0" applyNumberFormat="1" applyFont="1" applyFill="1" applyBorder="1" applyAlignment="1" applyProtection="1">
      <alignment horizontal="center"/>
      <protection hidden="1"/>
    </xf>
    <xf numFmtId="2" fontId="12" fillId="4" borderId="0" xfId="0" applyNumberFormat="1" applyFont="1" applyFill="1" applyBorder="1" applyAlignment="1" applyProtection="1">
      <alignment horizontal="center"/>
      <protection hidden="1"/>
    </xf>
    <xf numFmtId="0" fontId="1" fillId="4" borderId="13" xfId="0" applyFont="1" applyFill="1" applyBorder="1" applyProtection="1">
      <protection hidden="1"/>
    </xf>
    <xf numFmtId="0" fontId="14" fillId="4" borderId="0" xfId="0" applyFont="1" applyFill="1" applyBorder="1" applyProtection="1">
      <protection hidden="1"/>
    </xf>
    <xf numFmtId="0" fontId="15" fillId="4" borderId="0" xfId="0" applyFont="1" applyFill="1" applyBorder="1" applyAlignment="1" applyProtection="1">
      <alignment horizontal="center" wrapText="1"/>
      <protection hidden="1"/>
    </xf>
    <xf numFmtId="2" fontId="1" fillId="4" borderId="0" xfId="0" applyNumberFormat="1" applyFont="1" applyFill="1" applyBorder="1" applyAlignment="1" applyProtection="1">
      <alignment horizontal="center"/>
      <protection hidden="1"/>
    </xf>
    <xf numFmtId="1" fontId="16" fillId="4" borderId="0" xfId="0" applyNumberFormat="1" applyFont="1" applyFill="1" applyBorder="1" applyProtection="1"/>
    <xf numFmtId="0" fontId="1" fillId="4" borderId="14" xfId="0" applyFont="1" applyFill="1" applyBorder="1" applyProtection="1">
      <protection hidden="1"/>
    </xf>
    <xf numFmtId="0" fontId="10" fillId="9" borderId="15" xfId="0" applyFont="1" applyFill="1" applyBorder="1" applyAlignment="1">
      <alignment horizontal="center" wrapText="1"/>
    </xf>
    <xf numFmtId="0" fontId="16" fillId="4" borderId="0" xfId="0" applyFont="1" applyFill="1" applyBorder="1" applyProtection="1">
      <protection hidden="1"/>
    </xf>
    <xf numFmtId="0" fontId="10" fillId="9" borderId="7" xfId="0" applyFont="1" applyFill="1" applyBorder="1" applyAlignment="1">
      <alignment horizontal="center" wrapText="1"/>
    </xf>
    <xf numFmtId="0" fontId="10" fillId="9" borderId="8" xfId="0" applyFont="1" applyFill="1" applyBorder="1" applyAlignment="1">
      <alignment horizontal="center" wrapText="1"/>
    </xf>
    <xf numFmtId="0" fontId="1" fillId="4" borderId="0" xfId="0" applyFont="1" applyFill="1" applyBorder="1" applyAlignment="1" applyProtection="1">
      <alignment horizontal="center"/>
      <protection hidden="1"/>
    </xf>
    <xf numFmtId="0" fontId="0" fillId="4" borderId="0" xfId="0" applyFill="1" applyBorder="1" applyAlignment="1">
      <alignment horizontal="center"/>
    </xf>
    <xf numFmtId="0" fontId="11" fillId="4" borderId="0" xfId="0" applyFont="1" applyFill="1" applyBorder="1" applyProtection="1">
      <protection hidden="1"/>
    </xf>
    <xf numFmtId="0" fontId="1" fillId="4" borderId="0" xfId="0" applyFont="1" applyFill="1"/>
    <xf numFmtId="49" fontId="17" fillId="6" borderId="7" xfId="0" applyNumberFormat="1" applyFont="1" applyFill="1" applyBorder="1" applyAlignment="1">
      <alignment horizontal="center" wrapText="1"/>
    </xf>
    <xf numFmtId="49" fontId="17" fillId="6" borderId="8" xfId="0" applyNumberFormat="1" applyFont="1" applyFill="1" applyBorder="1" applyAlignment="1">
      <alignment horizontal="center" wrapText="1"/>
    </xf>
    <xf numFmtId="0" fontId="18" fillId="4" borderId="0" xfId="0" applyFont="1" applyFill="1"/>
    <xf numFmtId="49" fontId="0" fillId="4" borderId="0" xfId="0" applyNumberFormat="1" applyFill="1" applyBorder="1" applyProtection="1"/>
    <xf numFmtId="49" fontId="17" fillId="6" borderId="9" xfId="0" applyNumberFormat="1" applyFont="1" applyFill="1" applyBorder="1" applyAlignment="1">
      <alignment horizontal="center" wrapText="1"/>
    </xf>
    <xf numFmtId="49" fontId="12" fillId="4" borderId="0" xfId="0" applyNumberFormat="1" applyFont="1" applyFill="1" applyBorder="1" applyProtection="1">
      <protection hidden="1"/>
    </xf>
    <xf numFmtId="0" fontId="12" fillId="4" borderId="0" xfId="0" applyFont="1" applyFill="1" applyBorder="1" applyProtection="1">
      <protection hidden="1"/>
    </xf>
    <xf numFmtId="0" fontId="12" fillId="4" borderId="0" xfId="0" applyFont="1" applyFill="1" applyProtection="1">
      <protection hidden="1"/>
    </xf>
    <xf numFmtId="0" fontId="17" fillId="4" borderId="0" xfId="0" applyFont="1" applyFill="1" applyBorder="1" applyAlignment="1" applyProtection="1">
      <alignment horizontal="center" wrapText="1"/>
      <protection hidden="1"/>
    </xf>
    <xf numFmtId="0" fontId="12" fillId="4" borderId="0" xfId="0" applyFont="1" applyFill="1"/>
    <xf numFmtId="0" fontId="19" fillId="4" borderId="0" xfId="0" applyFont="1" applyFill="1" applyProtection="1">
      <protection hidden="1"/>
    </xf>
    <xf numFmtId="0" fontId="0" fillId="4" borderId="0" xfId="0" applyFill="1" applyBorder="1" applyAlignment="1">
      <alignment wrapText="1"/>
    </xf>
    <xf numFmtId="0" fontId="0" fillId="4" borderId="0" xfId="0" applyFill="1" applyProtection="1">
      <protection hidden="1"/>
    </xf>
    <xf numFmtId="0" fontId="2" fillId="4" borderId="1" xfId="0" applyFont="1" applyFill="1" applyBorder="1" applyAlignment="1" applyProtection="1">
      <alignment horizontal="left"/>
    </xf>
    <xf numFmtId="0" fontId="2" fillId="10" borderId="1" xfId="0" applyFont="1" applyFill="1" applyBorder="1" applyAlignment="1" applyProtection="1">
      <alignment horizontal="left"/>
      <protection locked="0"/>
    </xf>
    <xf numFmtId="9" fontId="2" fillId="10" borderId="1" xfId="0" applyNumberFormat="1" applyFont="1" applyFill="1" applyBorder="1" applyAlignment="1" applyProtection="1">
      <alignment horizontal="left"/>
      <protection locked="0"/>
    </xf>
    <xf numFmtId="0" fontId="22" fillId="0" borderId="1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14" fontId="2" fillId="0" borderId="1" xfId="0" applyNumberFormat="1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 wrapText="1"/>
    </xf>
    <xf numFmtId="0" fontId="2" fillId="11" borderId="1" xfId="0" applyFont="1" applyFill="1" applyBorder="1" applyAlignment="1" applyProtection="1">
      <alignment horizontal="left"/>
    </xf>
    <xf numFmtId="0" fontId="2" fillId="12" borderId="1" xfId="0" applyFont="1" applyFill="1" applyBorder="1" applyAlignment="1" applyProtection="1">
      <alignment horizontal="left"/>
    </xf>
    <xf numFmtId="176" fontId="2" fillId="0" borderId="1" xfId="0" applyNumberFormat="1" applyFont="1" applyBorder="1" applyAlignment="1" applyProtection="1">
      <alignment horizontal="left"/>
    </xf>
    <xf numFmtId="2" fontId="2" fillId="0" borderId="1" xfId="0" applyNumberFormat="1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left"/>
    </xf>
    <xf numFmtId="1" fontId="2" fillId="0" borderId="1" xfId="0" applyNumberFormat="1" applyFont="1" applyBorder="1" applyAlignment="1" applyProtection="1">
      <alignment horizontal="left"/>
    </xf>
    <xf numFmtId="176" fontId="2" fillId="12" borderId="1" xfId="0" applyNumberFormat="1" applyFont="1" applyFill="1" applyBorder="1" applyAlignment="1" applyProtection="1">
      <alignment horizontal="left"/>
    </xf>
    <xf numFmtId="178" fontId="2" fillId="0" borderId="1" xfId="0" applyNumberFormat="1" applyFont="1" applyBorder="1" applyAlignment="1" applyProtection="1">
      <alignment horizontal="left"/>
    </xf>
    <xf numFmtId="9" fontId="2" fillId="0" borderId="1" xfId="0" applyNumberFormat="1" applyFont="1" applyBorder="1" applyAlignment="1" applyProtection="1">
      <alignment horizontal="left"/>
    </xf>
    <xf numFmtId="0" fontId="6" fillId="4" borderId="1" xfId="0" applyFont="1" applyFill="1" applyBorder="1" applyAlignment="1" applyProtection="1">
      <alignment horizontal="left"/>
    </xf>
    <xf numFmtId="0" fontId="20" fillId="0" borderId="1" xfId="0" applyFont="1" applyBorder="1" applyAlignment="1" applyProtection="1">
      <alignment horizontal="left"/>
    </xf>
    <xf numFmtId="0" fontId="2" fillId="4" borderId="1" xfId="0" applyFont="1" applyFill="1" applyBorder="1" applyAlignment="1" applyProtection="1">
      <alignment horizontal="left" wrapText="1"/>
    </xf>
    <xf numFmtId="1" fontId="2" fillId="4" borderId="1" xfId="0" applyNumberFormat="1" applyFont="1" applyFill="1" applyBorder="1" applyAlignment="1" applyProtection="1">
      <alignment horizontal="left"/>
    </xf>
    <xf numFmtId="0" fontId="22" fillId="4" borderId="1" xfId="0" applyFont="1" applyFill="1" applyBorder="1" applyAlignment="1" applyProtection="1">
      <alignment horizontal="left" wrapText="1"/>
    </xf>
    <xf numFmtId="0" fontId="2" fillId="0" borderId="1" xfId="0" applyFont="1" applyBorder="1" applyAlignment="1" applyProtection="1">
      <alignment horizontal="left"/>
      <protection locked="0"/>
    </xf>
    <xf numFmtId="0" fontId="2" fillId="12" borderId="1" xfId="0" applyFont="1" applyFill="1" applyBorder="1" applyAlignment="1" applyProtection="1">
      <alignment horizontal="left" wrapText="1"/>
    </xf>
    <xf numFmtId="179" fontId="2" fillId="0" borderId="1" xfId="0" applyNumberFormat="1" applyFont="1" applyBorder="1" applyAlignment="1" applyProtection="1">
      <alignment horizontal="left"/>
    </xf>
    <xf numFmtId="177" fontId="2" fillId="0" borderId="1" xfId="0" applyNumberFormat="1" applyFont="1" applyBorder="1" applyAlignment="1" applyProtection="1">
      <alignment horizontal="left"/>
    </xf>
    <xf numFmtId="176" fontId="11" fillId="6" borderId="16" xfId="0" applyNumberFormat="1" applyFont="1" applyFill="1" applyBorder="1" applyProtection="1">
      <protection hidden="1"/>
    </xf>
    <xf numFmtId="176" fontId="11" fillId="6" borderId="17" xfId="0" applyNumberFormat="1" applyFont="1" applyFill="1" applyBorder="1" applyProtection="1">
      <protection hidden="1"/>
    </xf>
    <xf numFmtId="176" fontId="11" fillId="6" borderId="18" xfId="0" applyNumberFormat="1" applyFont="1" applyFill="1" applyBorder="1" applyProtection="1">
      <protection hidden="1"/>
    </xf>
    <xf numFmtId="0" fontId="23" fillId="0" borderId="1" xfId="0" applyFont="1" applyBorder="1" applyAlignment="1" applyProtection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22" fillId="0" borderId="1" xfId="0" applyFont="1" applyFill="1" applyBorder="1" applyAlignment="1" applyProtection="1">
      <alignment horizontal="left"/>
    </xf>
    <xf numFmtId="177" fontId="0" fillId="0" borderId="1" xfId="0" applyNumberFormat="1" applyBorder="1"/>
    <xf numFmtId="0" fontId="0" fillId="0" borderId="1" xfId="0" applyFill="1" applyBorder="1"/>
    <xf numFmtId="0" fontId="24" fillId="0" borderId="1" xfId="0" applyFont="1" applyBorder="1"/>
    <xf numFmtId="0" fontId="0" fillId="0" borderId="1" xfId="0" applyBorder="1" applyAlignment="1">
      <alignment wrapText="1"/>
    </xf>
    <xf numFmtId="0" fontId="26" fillId="12" borderId="1" xfId="0" applyFont="1" applyFill="1" applyBorder="1" applyAlignment="1" applyProtection="1">
      <alignment horizontal="left"/>
    </xf>
    <xf numFmtId="0" fontId="26" fillId="13" borderId="1" xfId="0" applyFont="1" applyFill="1" applyBorder="1" applyAlignment="1" applyProtection="1">
      <alignment horizontal="left"/>
    </xf>
    <xf numFmtId="14" fontId="26" fillId="13" borderId="1" xfId="0" applyNumberFormat="1" applyFont="1" applyFill="1" applyBorder="1" applyAlignment="1" applyProtection="1">
      <alignment horizontal="left"/>
    </xf>
    <xf numFmtId="176" fontId="26" fillId="12" borderId="1" xfId="0" applyNumberFormat="1" applyFont="1" applyFill="1" applyBorder="1" applyAlignment="1" applyProtection="1">
      <alignment horizontal="left"/>
    </xf>
    <xf numFmtId="0" fontId="28" fillId="0" borderId="1" xfId="0" applyFont="1" applyBorder="1" applyAlignment="1" applyProtection="1">
      <alignment horizontal="left"/>
    </xf>
    <xf numFmtId="0" fontId="28" fillId="4" borderId="1" xfId="0" applyFont="1" applyFill="1" applyBorder="1" applyAlignment="1" applyProtection="1">
      <alignment horizontal="left"/>
    </xf>
    <xf numFmtId="176" fontId="2" fillId="0" borderId="1" xfId="0" applyNumberFormat="1" applyFont="1" applyBorder="1" applyAlignment="1">
      <alignment horizontal="left"/>
    </xf>
    <xf numFmtId="0" fontId="4" fillId="2" borderId="0" xfId="0" applyFont="1" applyFill="1" applyAlignment="1">
      <alignment horizontal="left" vertical="center" wrapText="1"/>
    </xf>
    <xf numFmtId="0" fontId="6" fillId="3" borderId="1" xfId="0" applyFont="1" applyFill="1" applyBorder="1" applyAlignment="1" applyProtection="1">
      <alignment horizontal="left"/>
    </xf>
    <xf numFmtId="14" fontId="6" fillId="3" borderId="1" xfId="0" applyNumberFormat="1" applyFont="1" applyFill="1" applyBorder="1" applyAlignment="1" applyProtection="1">
      <alignment horizontal="left"/>
    </xf>
    <xf numFmtId="0" fontId="26" fillId="14" borderId="1" xfId="0" applyFont="1" applyFill="1" applyBorder="1" applyAlignment="1" applyProtection="1">
      <alignment horizontal="left"/>
    </xf>
    <xf numFmtId="14" fontId="26" fillId="14" borderId="1" xfId="0" applyNumberFormat="1" applyFont="1" applyFill="1" applyBorder="1" applyAlignment="1" applyProtection="1">
      <alignment horizontal="left"/>
    </xf>
    <xf numFmtId="0" fontId="29" fillId="0" borderId="1" xfId="0" applyFont="1" applyBorder="1" applyAlignment="1" applyProtection="1">
      <alignment horizontal="left"/>
    </xf>
    <xf numFmtId="2" fontId="28" fillId="0" borderId="1" xfId="0" applyNumberFormat="1" applyFont="1" applyBorder="1" applyAlignment="1" applyProtection="1">
      <alignment horizontal="left"/>
    </xf>
    <xf numFmtId="2" fontId="2" fillId="3" borderId="1" xfId="0" applyNumberFormat="1" applyFont="1" applyFill="1" applyBorder="1" applyAlignment="1" applyProtection="1">
      <alignment horizontal="left"/>
      <protection locked="0"/>
    </xf>
    <xf numFmtId="2" fontId="2" fillId="4" borderId="1" xfId="0" applyNumberFormat="1" applyFont="1" applyFill="1" applyBorder="1" applyAlignment="1" applyProtection="1">
      <alignment horizontal="left"/>
    </xf>
    <xf numFmtId="177" fontId="2" fillId="4" borderId="1" xfId="0" applyNumberFormat="1" applyFont="1" applyFill="1" applyBorder="1" applyAlignment="1" applyProtection="1">
      <alignment horizontal="left"/>
    </xf>
    <xf numFmtId="177" fontId="2" fillId="3" borderId="1" xfId="0" applyNumberFormat="1" applyFont="1" applyFill="1" applyBorder="1" applyAlignment="1" applyProtection="1">
      <alignment horizontal="left"/>
      <protection locked="0"/>
    </xf>
    <xf numFmtId="11" fontId="2" fillId="0" borderId="1" xfId="0" applyNumberFormat="1" applyFont="1" applyBorder="1" applyAlignment="1" applyProtection="1">
      <alignment horizontal="left"/>
    </xf>
    <xf numFmtId="11" fontId="2" fillId="4" borderId="1" xfId="0" applyNumberFormat="1" applyFont="1" applyFill="1" applyBorder="1" applyAlignment="1" applyProtection="1">
      <alignment horizontal="left"/>
    </xf>
    <xf numFmtId="0" fontId="4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17" fillId="4" borderId="0" xfId="0" applyFont="1" applyFill="1" applyBorder="1" applyAlignment="1" applyProtection="1">
      <alignment horizontal="center" wrapText="1"/>
      <protection hidden="1"/>
    </xf>
    <xf numFmtId="0" fontId="10" fillId="7" borderId="19" xfId="0" applyFont="1" applyFill="1" applyBorder="1" applyAlignment="1">
      <alignment horizontal="center" wrapText="1"/>
    </xf>
    <xf numFmtId="0" fontId="10" fillId="7" borderId="15" xfId="0" applyFont="1" applyFill="1" applyBorder="1" applyAlignment="1">
      <alignment horizontal="center" wrapText="1"/>
    </xf>
    <xf numFmtId="0" fontId="10" fillId="8" borderId="20" xfId="0" applyFont="1" applyFill="1" applyBorder="1" applyAlignment="1">
      <alignment horizontal="center" wrapText="1"/>
    </xf>
    <xf numFmtId="0" fontId="10" fillId="8" borderId="21" xfId="0" applyFont="1" applyFill="1" applyBorder="1" applyAlignment="1">
      <alignment horizontal="center" wrapText="1"/>
    </xf>
    <xf numFmtId="0" fontId="10" fillId="9" borderId="19" xfId="0" applyFont="1" applyFill="1" applyBorder="1" applyAlignment="1">
      <alignment horizontal="center" wrapText="1"/>
    </xf>
    <xf numFmtId="0" fontId="10" fillId="9" borderId="15" xfId="0" applyFont="1" applyFill="1" applyBorder="1" applyAlignment="1">
      <alignment horizontal="center" wrapText="1"/>
    </xf>
    <xf numFmtId="49" fontId="17" fillId="6" borderId="19" xfId="0" applyNumberFormat="1" applyFont="1" applyFill="1" applyBorder="1" applyAlignment="1">
      <alignment horizontal="center" wrapText="1"/>
    </xf>
    <xf numFmtId="49" fontId="17" fillId="6" borderId="0" xfId="0" applyNumberFormat="1" applyFont="1" applyFill="1" applyBorder="1" applyAlignment="1">
      <alignment horizont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ko-KR"/>
              <a:t>Tv(f) Frequency Response</a:t>
            </a:r>
          </a:p>
        </c:rich>
      </c:tx>
      <c:layout>
        <c:manualLayout>
          <c:xMode val="edge"/>
          <c:yMode val="edge"/>
          <c:x val="0.35753453421062092"/>
          <c:y val="3.00230946882217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73979474782932"/>
          <c:y val="0.11778304275115783"/>
          <c:w val="0.78630189580338705"/>
          <c:h val="0.7297929707718798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'Voltage Loop'!$M$1</c:f>
              <c:strCache>
                <c:ptCount val="1"/>
                <c:pt idx="0">
                  <c:v>TvdB(f)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'Voltage Loop'!$B$2:$B$101</c:f>
              <c:numCache>
                <c:formatCode>General</c:formatCode>
                <c:ptCount val="100"/>
                <c:pt idx="0">
                  <c:v>100</c:v>
                </c:pt>
                <c:pt idx="1">
                  <c:v>1000</c:v>
                </c:pt>
                <c:pt idx="2">
                  <c:v>6000</c:v>
                </c:pt>
                <c:pt idx="3">
                  <c:v>8000</c:v>
                </c:pt>
                <c:pt idx="4">
                  <c:v>10000</c:v>
                </c:pt>
                <c:pt idx="5">
                  <c:v>12000</c:v>
                </c:pt>
                <c:pt idx="6">
                  <c:v>14000.000000000002</c:v>
                </c:pt>
                <c:pt idx="7">
                  <c:v>16000</c:v>
                </c:pt>
                <c:pt idx="8">
                  <c:v>18000</c:v>
                </c:pt>
                <c:pt idx="9">
                  <c:v>20000</c:v>
                </c:pt>
                <c:pt idx="10">
                  <c:v>22000</c:v>
                </c:pt>
                <c:pt idx="11">
                  <c:v>24000</c:v>
                </c:pt>
                <c:pt idx="12">
                  <c:v>26000</c:v>
                </c:pt>
                <c:pt idx="13">
                  <c:v>28000.000000000004</c:v>
                </c:pt>
                <c:pt idx="14">
                  <c:v>30000</c:v>
                </c:pt>
                <c:pt idx="15">
                  <c:v>32000</c:v>
                </c:pt>
                <c:pt idx="16">
                  <c:v>34000</c:v>
                </c:pt>
                <c:pt idx="17">
                  <c:v>36000</c:v>
                </c:pt>
                <c:pt idx="18">
                  <c:v>38000</c:v>
                </c:pt>
                <c:pt idx="19">
                  <c:v>40000</c:v>
                </c:pt>
                <c:pt idx="20">
                  <c:v>42000</c:v>
                </c:pt>
                <c:pt idx="21">
                  <c:v>44000</c:v>
                </c:pt>
                <c:pt idx="22">
                  <c:v>46000</c:v>
                </c:pt>
                <c:pt idx="23">
                  <c:v>48000</c:v>
                </c:pt>
                <c:pt idx="24">
                  <c:v>50000</c:v>
                </c:pt>
                <c:pt idx="25">
                  <c:v>52000</c:v>
                </c:pt>
                <c:pt idx="26">
                  <c:v>54000</c:v>
                </c:pt>
                <c:pt idx="27">
                  <c:v>56000.000000000007</c:v>
                </c:pt>
                <c:pt idx="28">
                  <c:v>57999.999999999993</c:v>
                </c:pt>
                <c:pt idx="29">
                  <c:v>60000</c:v>
                </c:pt>
                <c:pt idx="30">
                  <c:v>62000</c:v>
                </c:pt>
                <c:pt idx="31">
                  <c:v>64000</c:v>
                </c:pt>
                <c:pt idx="32">
                  <c:v>66000</c:v>
                </c:pt>
                <c:pt idx="33">
                  <c:v>68000</c:v>
                </c:pt>
                <c:pt idx="34">
                  <c:v>70000</c:v>
                </c:pt>
                <c:pt idx="35">
                  <c:v>72000</c:v>
                </c:pt>
                <c:pt idx="36">
                  <c:v>74000</c:v>
                </c:pt>
                <c:pt idx="37">
                  <c:v>76000</c:v>
                </c:pt>
                <c:pt idx="38">
                  <c:v>78000</c:v>
                </c:pt>
                <c:pt idx="39">
                  <c:v>80000</c:v>
                </c:pt>
                <c:pt idx="40">
                  <c:v>82000</c:v>
                </c:pt>
                <c:pt idx="41">
                  <c:v>84000</c:v>
                </c:pt>
                <c:pt idx="42">
                  <c:v>86000</c:v>
                </c:pt>
                <c:pt idx="43">
                  <c:v>88000</c:v>
                </c:pt>
                <c:pt idx="44">
                  <c:v>90000</c:v>
                </c:pt>
                <c:pt idx="45">
                  <c:v>92000</c:v>
                </c:pt>
                <c:pt idx="46">
                  <c:v>94000</c:v>
                </c:pt>
                <c:pt idx="47">
                  <c:v>96000</c:v>
                </c:pt>
                <c:pt idx="48">
                  <c:v>98000</c:v>
                </c:pt>
                <c:pt idx="49">
                  <c:v>100000</c:v>
                </c:pt>
                <c:pt idx="50">
                  <c:v>102000</c:v>
                </c:pt>
                <c:pt idx="51">
                  <c:v>104000</c:v>
                </c:pt>
                <c:pt idx="52">
                  <c:v>106000</c:v>
                </c:pt>
                <c:pt idx="53">
                  <c:v>108000</c:v>
                </c:pt>
                <c:pt idx="54">
                  <c:v>110000.00000000001</c:v>
                </c:pt>
                <c:pt idx="55">
                  <c:v>112000.00000000001</c:v>
                </c:pt>
                <c:pt idx="56">
                  <c:v>113999.99999999999</c:v>
                </c:pt>
                <c:pt idx="57">
                  <c:v>115999.99999999999</c:v>
                </c:pt>
                <c:pt idx="58">
                  <c:v>118000</c:v>
                </c:pt>
                <c:pt idx="59">
                  <c:v>120000</c:v>
                </c:pt>
                <c:pt idx="60">
                  <c:v>122000</c:v>
                </c:pt>
                <c:pt idx="61">
                  <c:v>124000</c:v>
                </c:pt>
                <c:pt idx="62">
                  <c:v>126000</c:v>
                </c:pt>
                <c:pt idx="63">
                  <c:v>128000</c:v>
                </c:pt>
                <c:pt idx="64">
                  <c:v>130000</c:v>
                </c:pt>
                <c:pt idx="65">
                  <c:v>132000</c:v>
                </c:pt>
                <c:pt idx="66">
                  <c:v>134000</c:v>
                </c:pt>
                <c:pt idx="67">
                  <c:v>136000</c:v>
                </c:pt>
                <c:pt idx="68">
                  <c:v>138000</c:v>
                </c:pt>
                <c:pt idx="69">
                  <c:v>140000</c:v>
                </c:pt>
                <c:pt idx="70">
                  <c:v>142000</c:v>
                </c:pt>
                <c:pt idx="71">
                  <c:v>144000</c:v>
                </c:pt>
                <c:pt idx="72">
                  <c:v>146000</c:v>
                </c:pt>
                <c:pt idx="73">
                  <c:v>148000</c:v>
                </c:pt>
                <c:pt idx="74">
                  <c:v>150000</c:v>
                </c:pt>
                <c:pt idx="75">
                  <c:v>152000</c:v>
                </c:pt>
                <c:pt idx="76">
                  <c:v>154000</c:v>
                </c:pt>
                <c:pt idx="77">
                  <c:v>156000</c:v>
                </c:pt>
                <c:pt idx="78">
                  <c:v>158000</c:v>
                </c:pt>
                <c:pt idx="79">
                  <c:v>160000</c:v>
                </c:pt>
                <c:pt idx="80">
                  <c:v>162000</c:v>
                </c:pt>
                <c:pt idx="81">
                  <c:v>164000</c:v>
                </c:pt>
                <c:pt idx="82">
                  <c:v>166000</c:v>
                </c:pt>
                <c:pt idx="83">
                  <c:v>168000</c:v>
                </c:pt>
                <c:pt idx="84">
                  <c:v>170000</c:v>
                </c:pt>
                <c:pt idx="85">
                  <c:v>172000</c:v>
                </c:pt>
                <c:pt idx="86">
                  <c:v>174000</c:v>
                </c:pt>
                <c:pt idx="87">
                  <c:v>176000</c:v>
                </c:pt>
                <c:pt idx="88">
                  <c:v>178000</c:v>
                </c:pt>
                <c:pt idx="89">
                  <c:v>180000</c:v>
                </c:pt>
                <c:pt idx="90">
                  <c:v>182000</c:v>
                </c:pt>
                <c:pt idx="91">
                  <c:v>184000</c:v>
                </c:pt>
                <c:pt idx="92">
                  <c:v>186000</c:v>
                </c:pt>
                <c:pt idx="93">
                  <c:v>188000</c:v>
                </c:pt>
                <c:pt idx="94">
                  <c:v>190000</c:v>
                </c:pt>
                <c:pt idx="95">
                  <c:v>192000</c:v>
                </c:pt>
                <c:pt idx="96">
                  <c:v>194000</c:v>
                </c:pt>
                <c:pt idx="97">
                  <c:v>196000</c:v>
                </c:pt>
                <c:pt idx="98">
                  <c:v>198000</c:v>
                </c:pt>
                <c:pt idx="99">
                  <c:v>200000</c:v>
                </c:pt>
              </c:numCache>
            </c:numRef>
          </c:xVal>
          <c:yVal>
            <c:numRef>
              <c:f>'Voltage Loop'!$M$2:$M$101</c:f>
              <c:numCache>
                <c:formatCode>General</c:formatCode>
                <c:ptCount val="100"/>
                <c:pt idx="0">
                  <c:v>61.45798712651672</c:v>
                </c:pt>
                <c:pt idx="1">
                  <c:v>27.674244480654593</c:v>
                </c:pt>
                <c:pt idx="2">
                  <c:v>3.988685684597006</c:v>
                </c:pt>
                <c:pt idx="3">
                  <c:v>1.060811485731848</c:v>
                </c:pt>
                <c:pt idx="4">
                  <c:v>-1.180717116081818</c:v>
                </c:pt>
                <c:pt idx="5">
                  <c:v>-3.0275533774655012</c:v>
                </c:pt>
                <c:pt idx="6">
                  <c:v>-4.6185550167605776</c:v>
                </c:pt>
                <c:pt idx="7">
                  <c:v>-6.0295208928506439</c:v>
                </c:pt>
                <c:pt idx="8">
                  <c:v>-7.3057767888384886</c:v>
                </c:pt>
                <c:pt idx="9">
                  <c:v>-8.4762716698309344</c:v>
                </c:pt>
                <c:pt idx="10">
                  <c:v>-9.5604752829287669</c:v>
                </c:pt>
                <c:pt idx="11">
                  <c:v>-10.572066725536892</c:v>
                </c:pt>
                <c:pt idx="12">
                  <c:v>-11.521039566836391</c:v>
                </c:pt>
                <c:pt idx="13">
                  <c:v>-12.414963109285843</c:v>
                </c:pt>
                <c:pt idx="14">
                  <c:v>-13.259766835172673</c:v>
                </c:pt>
                <c:pt idx="15">
                  <c:v>-14.060243148879856</c:v>
                </c:pt>
                <c:pt idx="16">
                  <c:v>-14.820377879572144</c:v>
                </c:pt>
                <c:pt idx="17">
                  <c:v>-15.543572596178905</c:v>
                </c:pt>
                <c:pt idx="18">
                  <c:v>-16.232797457770779</c:v>
                </c:pt>
                <c:pt idx="19">
                  <c:v>-16.890698611505442</c:v>
                </c:pt>
                <c:pt idx="20">
                  <c:v>-17.519675325752154</c:v>
                </c:pt>
                <c:pt idx="21">
                  <c:v>-18.121936613215205</c:v>
                </c:pt>
                <c:pt idx="22">
                  <c:v>-18.699543681900565</c:v>
                </c:pt>
                <c:pt idx="23">
                  <c:v>-19.254442362933094</c:v>
                </c:pt>
                <c:pt idx="24">
                  <c:v>-19.788488238865085</c:v>
                </c:pt>
                <c:pt idx="25">
                  <c:v>-20.303466253713253</c:v>
                </c:pt>
                <c:pt idx="26">
                  <c:v>-20.801105954304283</c:v>
                </c:pt>
                <c:pt idx="27">
                  <c:v>-21.283093084827833</c:v>
                </c:pt>
                <c:pt idx="28">
                  <c:v>-21.751077966484221</c:v>
                </c:pt>
                <c:pt idx="29">
                  <c:v>-22.206680900954158</c:v>
                </c:pt>
                <c:pt idx="30">
                  <c:v>-22.651494715529537</c:v>
                </c:pt>
                <c:pt idx="31">
                  <c:v>-23.087084504802373</c:v>
                </c:pt>
                <c:pt idx="32">
                  <c:v>-23.514984610642159</c:v>
                </c:pt>
                <c:pt idx="33">
                  <c:v>-23.936692913722148</c:v>
                </c:pt>
                <c:pt idx="34">
                  <c:v>-24.353662581663226</c:v>
                </c:pt>
                <c:pt idx="35">
                  <c:v>-24.767291525149858</c:v>
                </c:pt>
                <c:pt idx="36">
                  <c:v>-25.178909945412848</c:v>
                </c:pt>
                <c:pt idx="37">
                  <c:v>-25.589766501677293</c:v>
                </c:pt>
                <c:pt idx="38">
                  <c:v>-26.001013769003794</c:v>
                </c:pt>
                <c:pt idx="39">
                  <c:v>-26.413693775979283</c:v>
                </c:pt>
                <c:pt idx="40">
                  <c:v>-26.82872448775267</c:v>
                </c:pt>
                <c:pt idx="41">
                  <c:v>-27.246888115094304</c:v>
                </c:pt>
                <c:pt idx="42">
                  <c:v>-27.668822072466131</c:v>
                </c:pt>
                <c:pt idx="43">
                  <c:v>-28.095013274343621</c:v>
                </c:pt>
                <c:pt idx="44">
                  <c:v>-28.525796256814356</c:v>
                </c:pt>
                <c:pt idx="45">
                  <c:v>-28.961355358879839</c:v>
                </c:pt>
                <c:pt idx="46">
                  <c:v>-29.401730921284134</c:v>
                </c:pt>
                <c:pt idx="47">
                  <c:v>-29.846829190513937</c:v>
                </c:pt>
                <c:pt idx="48">
                  <c:v>-30.296435381278425</c:v>
                </c:pt>
                <c:pt idx="49">
                  <c:v>-30.750229175842165</c:v>
                </c:pt>
                <c:pt idx="50">
                  <c:v>-31.207801837229372</c:v>
                </c:pt>
                <c:pt idx="51">
                  <c:v>-31.668674088892658</c:v>
                </c:pt>
                <c:pt idx="52">
                  <c:v>-32.132313959187783</c:v>
                </c:pt>
                <c:pt idx="53">
                  <c:v>-32.598153890491879</c:v>
                </c:pt>
                <c:pt idx="54">
                  <c:v>-33.065606551327178</c:v>
                </c:pt>
                <c:pt idx="55">
                  <c:v>-33.534078945868458</c:v>
                </c:pt>
                <c:pt idx="56">
                  <c:v>-34.002984571240177</c:v>
                </c:pt>
                <c:pt idx="57">
                  <c:v>-34.471753515412885</c:v>
                </c:pt>
                <c:pt idx="58">
                  <c:v>-34.939840508380357</c:v>
                </c:pt>
                <c:pt idx="59">
                  <c:v>-35.406731032211468</c:v>
                </c:pt>
                <c:pt idx="60">
                  <c:v>-35.871945660938948</c:v>
                </c:pt>
                <c:pt idx="61">
                  <c:v>-36.33504284122229</c:v>
                </c:pt>
                <c:pt idx="62">
                  <c:v>-36.795620343140619</c:v>
                </c:pt>
                <c:pt idx="63">
                  <c:v>-37.253315611940977</c:v>
                </c:pt>
                <c:pt idx="64">
                  <c:v>-37.707805240695016</c:v>
                </c:pt>
                <c:pt idx="65">
                  <c:v>-38.158803764833365</c:v>
                </c:pt>
                <c:pt idx="66">
                  <c:v>-38.606061955915443</c:v>
                </c:pt>
                <c:pt idx="67">
                  <c:v>-39.049364766535589</c:v>
                </c:pt>
                <c:pt idx="68">
                  <c:v>-39.488529052932392</c:v>
                </c:pt>
                <c:pt idx="69">
                  <c:v>-39.923401178029749</c:v>
                </c:pt>
                <c:pt idx="70">
                  <c:v>-40.353854576080806</c:v>
                </c:pt>
                <c:pt idx="71">
                  <c:v>-40.779787341238091</c:v>
                </c:pt>
                <c:pt idx="72">
                  <c:v>-41.20111988631281</c:v>
                </c:pt>
                <c:pt idx="73">
                  <c:v>-41.617792704644984</c:v>
                </c:pt>
                <c:pt idx="74">
                  <c:v>-42.029764257152131</c:v>
                </c:pt>
                <c:pt idx="75">
                  <c:v>-42.437008997988698</c:v>
                </c:pt>
                <c:pt idx="76">
                  <c:v>-42.839515545520953</c:v>
                </c:pt>
                <c:pt idx="77">
                  <c:v>-43.237285000213163</c:v>
                </c:pt>
                <c:pt idx="78">
                  <c:v>-43.630329407227961</c:v>
                </c:pt>
                <c:pt idx="79">
                  <c:v>-44.018670358847565</c:v>
                </c:pt>
                <c:pt idx="80">
                  <c:v>-44.402337729966284</c:v>
                </c:pt>
                <c:pt idx="81">
                  <c:v>-44.781368538737837</c:v>
                </c:pt>
                <c:pt idx="82">
                  <c:v>-45.155805923792698</c:v>
                </c:pt>
                <c:pt idx="83">
                  <c:v>-45.525698229180243</c:v>
                </c:pt>
                <c:pt idx="84">
                  <c:v>-45.891098188201454</c:v>
                </c:pt>
                <c:pt idx="85">
                  <c:v>-46.252062197519088</c:v>
                </c:pt>
                <c:pt idx="86">
                  <c:v>-46.608649673300462</c:v>
                </c:pt>
                <c:pt idx="87">
                  <c:v>-46.960922481594096</c:v>
                </c:pt>
                <c:pt idx="88">
                  <c:v>-47.308944435654624</c:v>
                </c:pt>
                <c:pt idx="89">
                  <c:v>-47.652780853462872</c:v>
                </c:pt>
                <c:pt idx="90">
                  <c:v>-47.992498169225058</c:v>
                </c:pt>
                <c:pt idx="91">
                  <c:v>-48.328163593164966</c:v>
                </c:pt>
                <c:pt idx="92">
                  <c:v>-48.659844814434159</c:v>
                </c:pt>
                <c:pt idx="93">
                  <c:v>-48.98760974244621</c:v>
                </c:pt>
                <c:pt idx="94">
                  <c:v>-49.31152628239559</c:v>
                </c:pt>
                <c:pt idx="95">
                  <c:v>-49.631662141140829</c:v>
                </c:pt>
                <c:pt idx="96">
                  <c:v>-49.948084660021692</c:v>
                </c:pt>
                <c:pt idx="97">
                  <c:v>-50.260860671533436</c:v>
                </c:pt>
                <c:pt idx="98">
                  <c:v>-50.570056377103043</c:v>
                </c:pt>
                <c:pt idx="99">
                  <c:v>-50.875737243511225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7069720"/>
        <c:axId val="327065408"/>
      </c:scatterChart>
      <c:scatterChart>
        <c:scatterStyle val="lineMarker"/>
        <c:varyColors val="0"/>
        <c:ser>
          <c:idx val="2"/>
          <c:order val="1"/>
          <c:tx>
            <c:strRef>
              <c:f>'Voltage Loop'!$O$1</c:f>
              <c:strCache>
                <c:ptCount val="1"/>
                <c:pt idx="0">
                  <c:v>ӨTv(f)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'Voltage Loop'!$B$2:$B$101</c:f>
              <c:numCache>
                <c:formatCode>General</c:formatCode>
                <c:ptCount val="100"/>
                <c:pt idx="0">
                  <c:v>100</c:v>
                </c:pt>
                <c:pt idx="1">
                  <c:v>1000</c:v>
                </c:pt>
                <c:pt idx="2">
                  <c:v>6000</c:v>
                </c:pt>
                <c:pt idx="3">
                  <c:v>8000</c:v>
                </c:pt>
                <c:pt idx="4">
                  <c:v>10000</c:v>
                </c:pt>
                <c:pt idx="5">
                  <c:v>12000</c:v>
                </c:pt>
                <c:pt idx="6">
                  <c:v>14000.000000000002</c:v>
                </c:pt>
                <c:pt idx="7">
                  <c:v>16000</c:v>
                </c:pt>
                <c:pt idx="8">
                  <c:v>18000</c:v>
                </c:pt>
                <c:pt idx="9">
                  <c:v>20000</c:v>
                </c:pt>
                <c:pt idx="10">
                  <c:v>22000</c:v>
                </c:pt>
                <c:pt idx="11">
                  <c:v>24000</c:v>
                </c:pt>
                <c:pt idx="12">
                  <c:v>26000</c:v>
                </c:pt>
                <c:pt idx="13">
                  <c:v>28000.000000000004</c:v>
                </c:pt>
                <c:pt idx="14">
                  <c:v>30000</c:v>
                </c:pt>
                <c:pt idx="15">
                  <c:v>32000</c:v>
                </c:pt>
                <c:pt idx="16">
                  <c:v>34000</c:v>
                </c:pt>
                <c:pt idx="17">
                  <c:v>36000</c:v>
                </c:pt>
                <c:pt idx="18">
                  <c:v>38000</c:v>
                </c:pt>
                <c:pt idx="19">
                  <c:v>40000</c:v>
                </c:pt>
                <c:pt idx="20">
                  <c:v>42000</c:v>
                </c:pt>
                <c:pt idx="21">
                  <c:v>44000</c:v>
                </c:pt>
                <c:pt idx="22">
                  <c:v>46000</c:v>
                </c:pt>
                <c:pt idx="23">
                  <c:v>48000</c:v>
                </c:pt>
                <c:pt idx="24">
                  <c:v>50000</c:v>
                </c:pt>
                <c:pt idx="25">
                  <c:v>52000</c:v>
                </c:pt>
                <c:pt idx="26">
                  <c:v>54000</c:v>
                </c:pt>
                <c:pt idx="27">
                  <c:v>56000.000000000007</c:v>
                </c:pt>
                <c:pt idx="28">
                  <c:v>57999.999999999993</c:v>
                </c:pt>
                <c:pt idx="29">
                  <c:v>60000</c:v>
                </c:pt>
                <c:pt idx="30">
                  <c:v>62000</c:v>
                </c:pt>
                <c:pt idx="31">
                  <c:v>64000</c:v>
                </c:pt>
                <c:pt idx="32">
                  <c:v>66000</c:v>
                </c:pt>
                <c:pt idx="33">
                  <c:v>68000</c:v>
                </c:pt>
                <c:pt idx="34">
                  <c:v>70000</c:v>
                </c:pt>
                <c:pt idx="35">
                  <c:v>72000</c:v>
                </c:pt>
                <c:pt idx="36">
                  <c:v>74000</c:v>
                </c:pt>
                <c:pt idx="37">
                  <c:v>76000</c:v>
                </c:pt>
                <c:pt idx="38">
                  <c:v>78000</c:v>
                </c:pt>
                <c:pt idx="39">
                  <c:v>80000</c:v>
                </c:pt>
                <c:pt idx="40">
                  <c:v>82000</c:v>
                </c:pt>
                <c:pt idx="41">
                  <c:v>84000</c:v>
                </c:pt>
                <c:pt idx="42">
                  <c:v>86000</c:v>
                </c:pt>
                <c:pt idx="43">
                  <c:v>88000</c:v>
                </c:pt>
                <c:pt idx="44">
                  <c:v>90000</c:v>
                </c:pt>
                <c:pt idx="45">
                  <c:v>92000</c:v>
                </c:pt>
                <c:pt idx="46">
                  <c:v>94000</c:v>
                </c:pt>
                <c:pt idx="47">
                  <c:v>96000</c:v>
                </c:pt>
                <c:pt idx="48">
                  <c:v>98000</c:v>
                </c:pt>
                <c:pt idx="49">
                  <c:v>100000</c:v>
                </c:pt>
                <c:pt idx="50">
                  <c:v>102000</c:v>
                </c:pt>
                <c:pt idx="51">
                  <c:v>104000</c:v>
                </c:pt>
                <c:pt idx="52">
                  <c:v>106000</c:v>
                </c:pt>
                <c:pt idx="53">
                  <c:v>108000</c:v>
                </c:pt>
                <c:pt idx="54">
                  <c:v>110000.00000000001</c:v>
                </c:pt>
                <c:pt idx="55">
                  <c:v>112000.00000000001</c:v>
                </c:pt>
                <c:pt idx="56">
                  <c:v>113999.99999999999</c:v>
                </c:pt>
                <c:pt idx="57">
                  <c:v>115999.99999999999</c:v>
                </c:pt>
                <c:pt idx="58">
                  <c:v>118000</c:v>
                </c:pt>
                <c:pt idx="59">
                  <c:v>120000</c:v>
                </c:pt>
                <c:pt idx="60">
                  <c:v>122000</c:v>
                </c:pt>
                <c:pt idx="61">
                  <c:v>124000</c:v>
                </c:pt>
                <c:pt idx="62">
                  <c:v>126000</c:v>
                </c:pt>
                <c:pt idx="63">
                  <c:v>128000</c:v>
                </c:pt>
                <c:pt idx="64">
                  <c:v>130000</c:v>
                </c:pt>
                <c:pt idx="65">
                  <c:v>132000</c:v>
                </c:pt>
                <c:pt idx="66">
                  <c:v>134000</c:v>
                </c:pt>
                <c:pt idx="67">
                  <c:v>136000</c:v>
                </c:pt>
                <c:pt idx="68">
                  <c:v>138000</c:v>
                </c:pt>
                <c:pt idx="69">
                  <c:v>140000</c:v>
                </c:pt>
                <c:pt idx="70">
                  <c:v>142000</c:v>
                </c:pt>
                <c:pt idx="71">
                  <c:v>144000</c:v>
                </c:pt>
                <c:pt idx="72">
                  <c:v>146000</c:v>
                </c:pt>
                <c:pt idx="73">
                  <c:v>148000</c:v>
                </c:pt>
                <c:pt idx="74">
                  <c:v>150000</c:v>
                </c:pt>
                <c:pt idx="75">
                  <c:v>152000</c:v>
                </c:pt>
                <c:pt idx="76">
                  <c:v>154000</c:v>
                </c:pt>
                <c:pt idx="77">
                  <c:v>156000</c:v>
                </c:pt>
                <c:pt idx="78">
                  <c:v>158000</c:v>
                </c:pt>
                <c:pt idx="79">
                  <c:v>160000</c:v>
                </c:pt>
                <c:pt idx="80">
                  <c:v>162000</c:v>
                </c:pt>
                <c:pt idx="81">
                  <c:v>164000</c:v>
                </c:pt>
                <c:pt idx="82">
                  <c:v>166000</c:v>
                </c:pt>
                <c:pt idx="83">
                  <c:v>168000</c:v>
                </c:pt>
                <c:pt idx="84">
                  <c:v>170000</c:v>
                </c:pt>
                <c:pt idx="85">
                  <c:v>172000</c:v>
                </c:pt>
                <c:pt idx="86">
                  <c:v>174000</c:v>
                </c:pt>
                <c:pt idx="87">
                  <c:v>176000</c:v>
                </c:pt>
                <c:pt idx="88">
                  <c:v>178000</c:v>
                </c:pt>
                <c:pt idx="89">
                  <c:v>180000</c:v>
                </c:pt>
                <c:pt idx="90">
                  <c:v>182000</c:v>
                </c:pt>
                <c:pt idx="91">
                  <c:v>184000</c:v>
                </c:pt>
                <c:pt idx="92">
                  <c:v>186000</c:v>
                </c:pt>
                <c:pt idx="93">
                  <c:v>188000</c:v>
                </c:pt>
                <c:pt idx="94">
                  <c:v>190000</c:v>
                </c:pt>
                <c:pt idx="95">
                  <c:v>192000</c:v>
                </c:pt>
                <c:pt idx="96">
                  <c:v>194000</c:v>
                </c:pt>
                <c:pt idx="97">
                  <c:v>196000</c:v>
                </c:pt>
                <c:pt idx="98">
                  <c:v>198000</c:v>
                </c:pt>
                <c:pt idx="99">
                  <c:v>200000</c:v>
                </c:pt>
              </c:numCache>
            </c:numRef>
          </c:xVal>
          <c:yVal>
            <c:numRef>
              <c:f>'Voltage Loop'!$O$2:$O$101</c:f>
              <c:numCache>
                <c:formatCode>General</c:formatCode>
                <c:ptCount val="100"/>
                <c:pt idx="0">
                  <c:v>60.882502302631309</c:v>
                </c:pt>
                <c:pt idx="1">
                  <c:v>28.463497836267294</c:v>
                </c:pt>
                <c:pt idx="2">
                  <c:v>55.242690399865722</c:v>
                </c:pt>
                <c:pt idx="3">
                  <c:v>55.995376041881428</c:v>
                </c:pt>
                <c:pt idx="4">
                  <c:v>55.057080428385234</c:v>
                </c:pt>
                <c:pt idx="5">
                  <c:v>53.276688180158274</c:v>
                </c:pt>
                <c:pt idx="6">
                  <c:v>51.065430685907643</c:v>
                </c:pt>
                <c:pt idx="7">
                  <c:v>48.641803247364493</c:v>
                </c:pt>
                <c:pt idx="8">
                  <c:v>46.129156290974635</c:v>
                </c:pt>
                <c:pt idx="9">
                  <c:v>43.599305833370011</c:v>
                </c:pt>
                <c:pt idx="10">
                  <c:v>41.094118587737739</c:v>
                </c:pt>
                <c:pt idx="11">
                  <c:v>38.637159926074048</c:v>
                </c:pt>
                <c:pt idx="12">
                  <c:v>36.240437911577118</c:v>
                </c:pt>
                <c:pt idx="13">
                  <c:v>33.908528036065462</c:v>
                </c:pt>
                <c:pt idx="14">
                  <c:v>31.641200420117144</c:v>
                </c:pt>
                <c:pt idx="15">
                  <c:v>29.435141501620706</c:v>
                </c:pt>
                <c:pt idx="16">
                  <c:v>27.285103799101222</c:v>
                </c:pt>
                <c:pt idx="17">
                  <c:v>25.184682763355397</c:v>
                </c:pt>
                <c:pt idx="18">
                  <c:v>23.126845208172767</c:v>
                </c:pt>
                <c:pt idx="19">
                  <c:v>21.104290157625911</c:v>
                </c:pt>
                <c:pt idx="20">
                  <c:v>19.109696099722953</c:v>
                </c:pt>
                <c:pt idx="21">
                  <c:v>17.135891447707564</c:v>
                </c:pt>
                <c:pt idx="22">
                  <c:v>15.175973648417511</c:v>
                </c:pt>
                <c:pt idx="23">
                  <c:v>13.223394673062131</c:v>
                </c:pt>
                <c:pt idx="24">
                  <c:v>11.272025287909145</c:v>
                </c:pt>
                <c:pt idx="25">
                  <c:v>9.3162067256560306</c:v>
                </c:pt>
                <c:pt idx="26">
                  <c:v>7.3507956416120805</c:v>
                </c:pt>
                <c:pt idx="27">
                  <c:v>5.3712061955421575</c:v>
                </c:pt>
                <c:pt idx="28">
                  <c:v>3.3734515161002605</c:v>
                </c:pt>
                <c:pt idx="29">
                  <c:v>1.3541855231725322</c:v>
                </c:pt>
                <c:pt idx="30">
                  <c:v>-0.68925499686577041</c:v>
                </c:pt>
                <c:pt idx="31">
                  <c:v>-2.7588091045342367</c:v>
                </c:pt>
                <c:pt idx="32">
                  <c:v>-4.8556530653619916</c:v>
                </c:pt>
                <c:pt idx="33">
                  <c:v>-6.9801668928954541</c:v>
                </c:pt>
                <c:pt idx="34">
                  <c:v>-9.1319091372789671</c:v>
                </c:pt>
                <c:pt idx="35">
                  <c:v>-11.309603286477341</c:v>
                </c:pt>
                <c:pt idx="36">
                  <c:v>-13.51113918113424</c:v>
                </c:pt>
                <c:pt idx="37">
                  <c:v>-15.733592552372443</c:v>
                </c:pt>
                <c:pt idx="38">
                  <c:v>-17.973265141285651</c:v>
                </c:pt>
                <c:pt idx="39">
                  <c:v>-20.225746851420979</c:v>
                </c:pt>
                <c:pt idx="40">
                  <c:v>-22.486000069734246</c:v>
                </c:pt>
                <c:pt idx="41">
                  <c:v>-24.748464767663563</c:v>
                </c:pt>
                <c:pt idx="42">
                  <c:v>-27.007181408632846</c:v>
                </c:pt>
                <c:pt idx="43">
                  <c:v>-29.255927218067086</c:v>
                </c:pt>
                <c:pt idx="44">
                  <c:v>-31.488360197314819</c:v>
                </c:pt>
                <c:pt idx="45">
                  <c:v>-33.698164537545949</c:v>
                </c:pt>
                <c:pt idx="46">
                  <c:v>-35.87919091233465</c:v>
                </c:pt>
                <c:pt idx="47">
                  <c:v>-38.025585522554081</c:v>
                </c:pt>
                <c:pt idx="48">
                  <c:v>-40.131902679661607</c:v>
                </c:pt>
                <c:pt idx="49">
                  <c:v>-42.193197020571461</c:v>
                </c:pt>
                <c:pt idx="50">
                  <c:v>-44.205092981762959</c:v>
                </c:pt>
                <c:pt idx="51">
                  <c:v>-46.163830740770436</c:v>
                </c:pt>
                <c:pt idx="52">
                  <c:v>-48.066289293781324</c:v>
                </c:pt>
                <c:pt idx="53">
                  <c:v>-49.909988551447782</c:v>
                </c:pt>
                <c:pt idx="54">
                  <c:v>-51.693073224213549</c:v>
                </c:pt>
                <c:pt idx="55">
                  <c:v>-53.414281808608791</c:v>
                </c:pt>
                <c:pt idx="56">
                  <c:v>-55.072904196481602</c:v>
                </c:pt>
                <c:pt idx="57">
                  <c:v>-56.668731360987522</c:v>
                </c:pt>
                <c:pt idx="58">
                  <c:v>-58.202000294499044</c:v>
                </c:pt>
                <c:pt idx="59">
                  <c:v>-59.673336956746368</c:v>
                </c:pt>
                <c:pt idx="60">
                  <c:v>-61.083699503153298</c:v>
                </c:pt>
                <c:pt idx="61">
                  <c:v>-62.434323558582378</c:v>
                </c:pt>
                <c:pt idx="62">
                  <c:v>-63.726670821367406</c:v>
                </c:pt>
                <c:pt idx="63">
                  <c:v>-64.962381853340219</c:v>
                </c:pt>
                <c:pt idx="64">
                  <c:v>-66.143233547969373</c:v>
                </c:pt>
                <c:pt idx="65">
                  <c:v>-67.271101475377179</c:v>
                </c:pt>
                <c:pt idx="66">
                  <c:v>-68.347927077777456</c:v>
                </c:pt>
                <c:pt idx="67">
                  <c:v>-69.375689525138114</c:v>
                </c:pt>
                <c:pt idx="68">
                  <c:v>-70.356381929828785</c:v>
                </c:pt>
                <c:pt idx="69">
                  <c:v>-71.29199155104493</c:v>
                </c:pt>
                <c:pt idx="70">
                  <c:v>-72.184483585592091</c:v>
                </c:pt>
                <c:pt idx="71">
                  <c:v>-73.035788132740834</c:v>
                </c:pt>
                <c:pt idx="72">
                  <c:v>-73.847789930147769</c:v>
                </c:pt>
                <c:pt idx="73">
                  <c:v>-74.622320479344751</c:v>
                </c:pt>
                <c:pt idx="74">
                  <c:v>-75.361152208409408</c:v>
                </c:pt>
                <c:pt idx="75">
                  <c:v>-76.065994352560722</c:v>
                </c:pt>
                <c:pt idx="76">
                  <c:v>-76.738490268009741</c:v>
                </c:pt>
                <c:pt idx="77">
                  <c:v>-77.380215928610824</c:v>
                </c:pt>
                <c:pt idx="78">
                  <c:v>-77.992679387455553</c:v>
                </c:pt>
                <c:pt idx="79">
                  <c:v>-78.577321015826385</c:v>
                </c:pt>
                <c:pt idx="80">
                  <c:v>-79.135514359475565</c:v>
                </c:pt>
                <c:pt idx="81">
                  <c:v>-79.668567476784574</c:v>
                </c:pt>
                <c:pt idx="82">
                  <c:v>-80.177724645135697</c:v>
                </c:pt>
                <c:pt idx="83">
                  <c:v>-80.66416834080195</c:v>
                </c:pt>
                <c:pt idx="84">
                  <c:v>-81.129021414068802</c:v>
                </c:pt>
                <c:pt idx="85">
                  <c:v>-81.57334939540732</c:v>
                </c:pt>
                <c:pt idx="86">
                  <c:v>-81.998162880497262</c:v>
                </c:pt>
                <c:pt idx="87">
                  <c:v>-82.4044199520593</c:v>
                </c:pt>
                <c:pt idx="88">
                  <c:v>-82.793028604973074</c:v>
                </c:pt>
                <c:pt idx="89">
                  <c:v>-83.164849148311305</c:v>
                </c:pt>
                <c:pt idx="90">
                  <c:v>-83.520696563831962</c:v>
                </c:pt>
                <c:pt idx="91">
                  <c:v>-83.861342805386357</c:v>
                </c:pt>
                <c:pt idx="92">
                  <c:v>-84.187519027723852</c:v>
                </c:pt>
                <c:pt idx="93">
                  <c:v>-84.499917736470763</c:v>
                </c:pt>
                <c:pt idx="94">
                  <c:v>-84.799194853731365</c:v>
                </c:pt>
                <c:pt idx="95">
                  <c:v>-85.08597169591684</c:v>
                </c:pt>
                <c:pt idx="96">
                  <c:v>-85.360836862119982</c:v>
                </c:pt>
                <c:pt idx="97">
                  <c:v>-85.624348032736123</c:v>
                </c:pt>
                <c:pt idx="98">
                  <c:v>-85.877033679068518</c:v>
                </c:pt>
                <c:pt idx="99">
                  <c:v>-86.119394685509349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7065800"/>
        <c:axId val="327064232"/>
      </c:scatterChart>
      <c:valAx>
        <c:axId val="327069720"/>
        <c:scaling>
          <c:logBase val="10"/>
          <c:orientation val="minMax"/>
          <c:min val="1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ko-KR"/>
                  <a:t>Frequency in Hz</a:t>
                </a:r>
              </a:p>
            </c:rich>
          </c:tx>
          <c:layout>
            <c:manualLayout>
              <c:xMode val="edge"/>
              <c:yMode val="edge"/>
              <c:x val="0.41506878078596338"/>
              <c:y val="0.926097967546204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ko-KR"/>
          </a:p>
        </c:txPr>
        <c:crossAx val="327065408"/>
        <c:crossesAt val="-80"/>
        <c:crossBetween val="midCat"/>
      </c:valAx>
      <c:valAx>
        <c:axId val="327065408"/>
        <c:scaling>
          <c:orientation val="minMax"/>
          <c:max val="80"/>
          <c:min val="-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ko-KR"/>
                  <a:t>Gain in dB</a:t>
                </a:r>
              </a:p>
            </c:rich>
          </c:tx>
          <c:layout>
            <c:manualLayout>
              <c:xMode val="edge"/>
              <c:yMode val="edge"/>
              <c:x val="1.643835616438356E-2"/>
              <c:y val="0.39261018469688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ko-KR"/>
          </a:p>
        </c:txPr>
        <c:crossAx val="327069720"/>
        <c:crosses val="autoZero"/>
        <c:crossBetween val="midCat"/>
      </c:valAx>
      <c:valAx>
        <c:axId val="327065800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7064232"/>
        <c:crosses val="autoZero"/>
        <c:crossBetween val="midCat"/>
      </c:valAx>
      <c:valAx>
        <c:axId val="327064232"/>
        <c:scaling>
          <c:orientation val="minMax"/>
          <c:max val="180"/>
          <c:min val="-180"/>
        </c:scaling>
        <c:delete val="0"/>
        <c:axPos val="r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ko-KR"/>
                  <a:t>Phase in Degrees</a:t>
                </a:r>
              </a:p>
            </c:rich>
          </c:tx>
          <c:layout>
            <c:manualLayout>
              <c:xMode val="edge"/>
              <c:yMode val="edge"/>
              <c:x val="0.94794578075000901"/>
              <c:y val="0.334873464142617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ko-KR"/>
          </a:p>
        </c:txPr>
        <c:crossAx val="327065800"/>
        <c:crosses val="max"/>
        <c:crossBetween val="midCat"/>
        <c:majorUnit val="4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424671916010497"/>
          <c:y val="0.70207924933170884"/>
          <c:w val="0.1356165821738036"/>
          <c:h val="0.113164214750292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ko-KR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ko-KR"/>
              <a:t>Tv(f) Frequency Response</a:t>
            </a:r>
          </a:p>
        </c:rich>
      </c:tx>
      <c:layout>
        <c:manualLayout>
          <c:xMode val="edge"/>
          <c:yMode val="edge"/>
          <c:x val="0.32948963751853916"/>
          <c:y val="3.3163265306122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8410590965584"/>
          <c:y val="0.11734693877551021"/>
          <c:w val="0.79406983151467858"/>
          <c:h val="0.7397959183673469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'Voltage Loop'!$M$1</c:f>
              <c:strCache>
                <c:ptCount val="1"/>
                <c:pt idx="0">
                  <c:v>TvdB(f)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'Voltage Loop'!$B$2:$B$101</c:f>
              <c:numCache>
                <c:formatCode>General</c:formatCode>
                <c:ptCount val="100"/>
                <c:pt idx="0">
                  <c:v>100</c:v>
                </c:pt>
                <c:pt idx="1">
                  <c:v>1000</c:v>
                </c:pt>
                <c:pt idx="2">
                  <c:v>6000</c:v>
                </c:pt>
                <c:pt idx="3">
                  <c:v>8000</c:v>
                </c:pt>
                <c:pt idx="4">
                  <c:v>10000</c:v>
                </c:pt>
                <c:pt idx="5">
                  <c:v>12000</c:v>
                </c:pt>
                <c:pt idx="6">
                  <c:v>14000.000000000002</c:v>
                </c:pt>
                <c:pt idx="7">
                  <c:v>16000</c:v>
                </c:pt>
                <c:pt idx="8">
                  <c:v>18000</c:v>
                </c:pt>
                <c:pt idx="9">
                  <c:v>20000</c:v>
                </c:pt>
                <c:pt idx="10">
                  <c:v>22000</c:v>
                </c:pt>
                <c:pt idx="11">
                  <c:v>24000</c:v>
                </c:pt>
                <c:pt idx="12">
                  <c:v>26000</c:v>
                </c:pt>
                <c:pt idx="13">
                  <c:v>28000.000000000004</c:v>
                </c:pt>
                <c:pt idx="14">
                  <c:v>30000</c:v>
                </c:pt>
                <c:pt idx="15">
                  <c:v>32000</c:v>
                </c:pt>
                <c:pt idx="16">
                  <c:v>34000</c:v>
                </c:pt>
                <c:pt idx="17">
                  <c:v>36000</c:v>
                </c:pt>
                <c:pt idx="18">
                  <c:v>38000</c:v>
                </c:pt>
                <c:pt idx="19">
                  <c:v>40000</c:v>
                </c:pt>
                <c:pt idx="20">
                  <c:v>42000</c:v>
                </c:pt>
                <c:pt idx="21">
                  <c:v>44000</c:v>
                </c:pt>
                <c:pt idx="22">
                  <c:v>46000</c:v>
                </c:pt>
                <c:pt idx="23">
                  <c:v>48000</c:v>
                </c:pt>
                <c:pt idx="24">
                  <c:v>50000</c:v>
                </c:pt>
                <c:pt idx="25">
                  <c:v>52000</c:v>
                </c:pt>
                <c:pt idx="26">
                  <c:v>54000</c:v>
                </c:pt>
                <c:pt idx="27">
                  <c:v>56000.000000000007</c:v>
                </c:pt>
                <c:pt idx="28">
                  <c:v>57999.999999999993</c:v>
                </c:pt>
                <c:pt idx="29">
                  <c:v>60000</c:v>
                </c:pt>
                <c:pt idx="30">
                  <c:v>62000</c:v>
                </c:pt>
                <c:pt idx="31">
                  <c:v>64000</c:v>
                </c:pt>
                <c:pt idx="32">
                  <c:v>66000</c:v>
                </c:pt>
                <c:pt idx="33">
                  <c:v>68000</c:v>
                </c:pt>
                <c:pt idx="34">
                  <c:v>70000</c:v>
                </c:pt>
                <c:pt idx="35">
                  <c:v>72000</c:v>
                </c:pt>
                <c:pt idx="36">
                  <c:v>74000</c:v>
                </c:pt>
                <c:pt idx="37">
                  <c:v>76000</c:v>
                </c:pt>
                <c:pt idx="38">
                  <c:v>78000</c:v>
                </c:pt>
                <c:pt idx="39">
                  <c:v>80000</c:v>
                </c:pt>
                <c:pt idx="40">
                  <c:v>82000</c:v>
                </c:pt>
                <c:pt idx="41">
                  <c:v>84000</c:v>
                </c:pt>
                <c:pt idx="42">
                  <c:v>86000</c:v>
                </c:pt>
                <c:pt idx="43">
                  <c:v>88000</c:v>
                </c:pt>
                <c:pt idx="44">
                  <c:v>90000</c:v>
                </c:pt>
                <c:pt idx="45">
                  <c:v>92000</c:v>
                </c:pt>
                <c:pt idx="46">
                  <c:v>94000</c:v>
                </c:pt>
                <c:pt idx="47">
                  <c:v>96000</c:v>
                </c:pt>
                <c:pt idx="48">
                  <c:v>98000</c:v>
                </c:pt>
                <c:pt idx="49">
                  <c:v>100000</c:v>
                </c:pt>
                <c:pt idx="50">
                  <c:v>102000</c:v>
                </c:pt>
                <c:pt idx="51">
                  <c:v>104000</c:v>
                </c:pt>
                <c:pt idx="52">
                  <c:v>106000</c:v>
                </c:pt>
                <c:pt idx="53">
                  <c:v>108000</c:v>
                </c:pt>
                <c:pt idx="54">
                  <c:v>110000.00000000001</c:v>
                </c:pt>
                <c:pt idx="55">
                  <c:v>112000.00000000001</c:v>
                </c:pt>
                <c:pt idx="56">
                  <c:v>113999.99999999999</c:v>
                </c:pt>
                <c:pt idx="57">
                  <c:v>115999.99999999999</c:v>
                </c:pt>
                <c:pt idx="58">
                  <c:v>118000</c:v>
                </c:pt>
                <c:pt idx="59">
                  <c:v>120000</c:v>
                </c:pt>
                <c:pt idx="60">
                  <c:v>122000</c:v>
                </c:pt>
                <c:pt idx="61">
                  <c:v>124000</c:v>
                </c:pt>
                <c:pt idx="62">
                  <c:v>126000</c:v>
                </c:pt>
                <c:pt idx="63">
                  <c:v>128000</c:v>
                </c:pt>
                <c:pt idx="64">
                  <c:v>130000</c:v>
                </c:pt>
                <c:pt idx="65">
                  <c:v>132000</c:v>
                </c:pt>
                <c:pt idx="66">
                  <c:v>134000</c:v>
                </c:pt>
                <c:pt idx="67">
                  <c:v>136000</c:v>
                </c:pt>
                <c:pt idx="68">
                  <c:v>138000</c:v>
                </c:pt>
                <c:pt idx="69">
                  <c:v>140000</c:v>
                </c:pt>
                <c:pt idx="70">
                  <c:v>142000</c:v>
                </c:pt>
                <c:pt idx="71">
                  <c:v>144000</c:v>
                </c:pt>
                <c:pt idx="72">
                  <c:v>146000</c:v>
                </c:pt>
                <c:pt idx="73">
                  <c:v>148000</c:v>
                </c:pt>
                <c:pt idx="74">
                  <c:v>150000</c:v>
                </c:pt>
                <c:pt idx="75">
                  <c:v>152000</c:v>
                </c:pt>
                <c:pt idx="76">
                  <c:v>154000</c:v>
                </c:pt>
                <c:pt idx="77">
                  <c:v>156000</c:v>
                </c:pt>
                <c:pt idx="78">
                  <c:v>158000</c:v>
                </c:pt>
                <c:pt idx="79">
                  <c:v>160000</c:v>
                </c:pt>
                <c:pt idx="80">
                  <c:v>162000</c:v>
                </c:pt>
                <c:pt idx="81">
                  <c:v>164000</c:v>
                </c:pt>
                <c:pt idx="82">
                  <c:v>166000</c:v>
                </c:pt>
                <c:pt idx="83">
                  <c:v>168000</c:v>
                </c:pt>
                <c:pt idx="84">
                  <c:v>170000</c:v>
                </c:pt>
                <c:pt idx="85">
                  <c:v>172000</c:v>
                </c:pt>
                <c:pt idx="86">
                  <c:v>174000</c:v>
                </c:pt>
                <c:pt idx="87">
                  <c:v>176000</c:v>
                </c:pt>
                <c:pt idx="88">
                  <c:v>178000</c:v>
                </c:pt>
                <c:pt idx="89">
                  <c:v>180000</c:v>
                </c:pt>
                <c:pt idx="90">
                  <c:v>182000</c:v>
                </c:pt>
                <c:pt idx="91">
                  <c:v>184000</c:v>
                </c:pt>
                <c:pt idx="92">
                  <c:v>186000</c:v>
                </c:pt>
                <c:pt idx="93">
                  <c:v>188000</c:v>
                </c:pt>
                <c:pt idx="94">
                  <c:v>190000</c:v>
                </c:pt>
                <c:pt idx="95">
                  <c:v>192000</c:v>
                </c:pt>
                <c:pt idx="96">
                  <c:v>194000</c:v>
                </c:pt>
                <c:pt idx="97">
                  <c:v>196000</c:v>
                </c:pt>
                <c:pt idx="98">
                  <c:v>198000</c:v>
                </c:pt>
                <c:pt idx="99">
                  <c:v>200000</c:v>
                </c:pt>
              </c:numCache>
            </c:numRef>
          </c:xVal>
          <c:yVal>
            <c:numRef>
              <c:f>'Voltage Loop'!$M$2:$M$101</c:f>
              <c:numCache>
                <c:formatCode>General</c:formatCode>
                <c:ptCount val="100"/>
                <c:pt idx="0">
                  <c:v>61.45798712651672</c:v>
                </c:pt>
                <c:pt idx="1">
                  <c:v>27.674244480654593</c:v>
                </c:pt>
                <c:pt idx="2">
                  <c:v>3.988685684597006</c:v>
                </c:pt>
                <c:pt idx="3">
                  <c:v>1.060811485731848</c:v>
                </c:pt>
                <c:pt idx="4">
                  <c:v>-1.180717116081818</c:v>
                </c:pt>
                <c:pt idx="5">
                  <c:v>-3.0275533774655012</c:v>
                </c:pt>
                <c:pt idx="6">
                  <c:v>-4.6185550167605776</c:v>
                </c:pt>
                <c:pt idx="7">
                  <c:v>-6.0295208928506439</c:v>
                </c:pt>
                <c:pt idx="8">
                  <c:v>-7.3057767888384886</c:v>
                </c:pt>
                <c:pt idx="9">
                  <c:v>-8.4762716698309344</c:v>
                </c:pt>
                <c:pt idx="10">
                  <c:v>-9.5604752829287669</c:v>
                </c:pt>
                <c:pt idx="11">
                  <c:v>-10.572066725536892</c:v>
                </c:pt>
                <c:pt idx="12">
                  <c:v>-11.521039566836391</c:v>
                </c:pt>
                <c:pt idx="13">
                  <c:v>-12.414963109285843</c:v>
                </c:pt>
                <c:pt idx="14">
                  <c:v>-13.259766835172673</c:v>
                </c:pt>
                <c:pt idx="15">
                  <c:v>-14.060243148879856</c:v>
                </c:pt>
                <c:pt idx="16">
                  <c:v>-14.820377879572144</c:v>
                </c:pt>
                <c:pt idx="17">
                  <c:v>-15.543572596178905</c:v>
                </c:pt>
                <c:pt idx="18">
                  <c:v>-16.232797457770779</c:v>
                </c:pt>
                <c:pt idx="19">
                  <c:v>-16.890698611505442</c:v>
                </c:pt>
                <c:pt idx="20">
                  <c:v>-17.519675325752154</c:v>
                </c:pt>
                <c:pt idx="21">
                  <c:v>-18.121936613215205</c:v>
                </c:pt>
                <c:pt idx="22">
                  <c:v>-18.699543681900565</c:v>
                </c:pt>
                <c:pt idx="23">
                  <c:v>-19.254442362933094</c:v>
                </c:pt>
                <c:pt idx="24">
                  <c:v>-19.788488238865085</c:v>
                </c:pt>
                <c:pt idx="25">
                  <c:v>-20.303466253713253</c:v>
                </c:pt>
                <c:pt idx="26">
                  <c:v>-20.801105954304283</c:v>
                </c:pt>
                <c:pt idx="27">
                  <c:v>-21.283093084827833</c:v>
                </c:pt>
                <c:pt idx="28">
                  <c:v>-21.751077966484221</c:v>
                </c:pt>
                <c:pt idx="29">
                  <c:v>-22.206680900954158</c:v>
                </c:pt>
                <c:pt idx="30">
                  <c:v>-22.651494715529537</c:v>
                </c:pt>
                <c:pt idx="31">
                  <c:v>-23.087084504802373</c:v>
                </c:pt>
                <c:pt idx="32">
                  <c:v>-23.514984610642159</c:v>
                </c:pt>
                <c:pt idx="33">
                  <c:v>-23.936692913722148</c:v>
                </c:pt>
                <c:pt idx="34">
                  <c:v>-24.353662581663226</c:v>
                </c:pt>
                <c:pt idx="35">
                  <c:v>-24.767291525149858</c:v>
                </c:pt>
                <c:pt idx="36">
                  <c:v>-25.178909945412848</c:v>
                </c:pt>
                <c:pt idx="37">
                  <c:v>-25.589766501677293</c:v>
                </c:pt>
                <c:pt idx="38">
                  <c:v>-26.001013769003794</c:v>
                </c:pt>
                <c:pt idx="39">
                  <c:v>-26.413693775979283</c:v>
                </c:pt>
                <c:pt idx="40">
                  <c:v>-26.82872448775267</c:v>
                </c:pt>
                <c:pt idx="41">
                  <c:v>-27.246888115094304</c:v>
                </c:pt>
                <c:pt idx="42">
                  <c:v>-27.668822072466131</c:v>
                </c:pt>
                <c:pt idx="43">
                  <c:v>-28.095013274343621</c:v>
                </c:pt>
                <c:pt idx="44">
                  <c:v>-28.525796256814356</c:v>
                </c:pt>
                <c:pt idx="45">
                  <c:v>-28.961355358879839</c:v>
                </c:pt>
                <c:pt idx="46">
                  <c:v>-29.401730921284134</c:v>
                </c:pt>
                <c:pt idx="47">
                  <c:v>-29.846829190513937</c:v>
                </c:pt>
                <c:pt idx="48">
                  <c:v>-30.296435381278425</c:v>
                </c:pt>
                <c:pt idx="49">
                  <c:v>-30.750229175842165</c:v>
                </c:pt>
                <c:pt idx="50">
                  <c:v>-31.207801837229372</c:v>
                </c:pt>
                <c:pt idx="51">
                  <c:v>-31.668674088892658</c:v>
                </c:pt>
                <c:pt idx="52">
                  <c:v>-32.132313959187783</c:v>
                </c:pt>
                <c:pt idx="53">
                  <c:v>-32.598153890491879</c:v>
                </c:pt>
                <c:pt idx="54">
                  <c:v>-33.065606551327178</c:v>
                </c:pt>
                <c:pt idx="55">
                  <c:v>-33.534078945868458</c:v>
                </c:pt>
                <c:pt idx="56">
                  <c:v>-34.002984571240177</c:v>
                </c:pt>
                <c:pt idx="57">
                  <c:v>-34.471753515412885</c:v>
                </c:pt>
                <c:pt idx="58">
                  <c:v>-34.939840508380357</c:v>
                </c:pt>
                <c:pt idx="59">
                  <c:v>-35.406731032211468</c:v>
                </c:pt>
                <c:pt idx="60">
                  <c:v>-35.871945660938948</c:v>
                </c:pt>
                <c:pt idx="61">
                  <c:v>-36.33504284122229</c:v>
                </c:pt>
                <c:pt idx="62">
                  <c:v>-36.795620343140619</c:v>
                </c:pt>
                <c:pt idx="63">
                  <c:v>-37.253315611940977</c:v>
                </c:pt>
                <c:pt idx="64">
                  <c:v>-37.707805240695016</c:v>
                </c:pt>
                <c:pt idx="65">
                  <c:v>-38.158803764833365</c:v>
                </c:pt>
                <c:pt idx="66">
                  <c:v>-38.606061955915443</c:v>
                </c:pt>
                <c:pt idx="67">
                  <c:v>-39.049364766535589</c:v>
                </c:pt>
                <c:pt idx="68">
                  <c:v>-39.488529052932392</c:v>
                </c:pt>
                <c:pt idx="69">
                  <c:v>-39.923401178029749</c:v>
                </c:pt>
                <c:pt idx="70">
                  <c:v>-40.353854576080806</c:v>
                </c:pt>
                <c:pt idx="71">
                  <c:v>-40.779787341238091</c:v>
                </c:pt>
                <c:pt idx="72">
                  <c:v>-41.20111988631281</c:v>
                </c:pt>
                <c:pt idx="73">
                  <c:v>-41.617792704644984</c:v>
                </c:pt>
                <c:pt idx="74">
                  <c:v>-42.029764257152131</c:v>
                </c:pt>
                <c:pt idx="75">
                  <c:v>-42.437008997988698</c:v>
                </c:pt>
                <c:pt idx="76">
                  <c:v>-42.839515545520953</c:v>
                </c:pt>
                <c:pt idx="77">
                  <c:v>-43.237285000213163</c:v>
                </c:pt>
                <c:pt idx="78">
                  <c:v>-43.630329407227961</c:v>
                </c:pt>
                <c:pt idx="79">
                  <c:v>-44.018670358847565</c:v>
                </c:pt>
                <c:pt idx="80">
                  <c:v>-44.402337729966284</c:v>
                </c:pt>
                <c:pt idx="81">
                  <c:v>-44.781368538737837</c:v>
                </c:pt>
                <c:pt idx="82">
                  <c:v>-45.155805923792698</c:v>
                </c:pt>
                <c:pt idx="83">
                  <c:v>-45.525698229180243</c:v>
                </c:pt>
                <c:pt idx="84">
                  <c:v>-45.891098188201454</c:v>
                </c:pt>
                <c:pt idx="85">
                  <c:v>-46.252062197519088</c:v>
                </c:pt>
                <c:pt idx="86">
                  <c:v>-46.608649673300462</c:v>
                </c:pt>
                <c:pt idx="87">
                  <c:v>-46.960922481594096</c:v>
                </c:pt>
                <c:pt idx="88">
                  <c:v>-47.308944435654624</c:v>
                </c:pt>
                <c:pt idx="89">
                  <c:v>-47.652780853462872</c:v>
                </c:pt>
                <c:pt idx="90">
                  <c:v>-47.992498169225058</c:v>
                </c:pt>
                <c:pt idx="91">
                  <c:v>-48.328163593164966</c:v>
                </c:pt>
                <c:pt idx="92">
                  <c:v>-48.659844814434159</c:v>
                </c:pt>
                <c:pt idx="93">
                  <c:v>-48.98760974244621</c:v>
                </c:pt>
                <c:pt idx="94">
                  <c:v>-49.31152628239559</c:v>
                </c:pt>
                <c:pt idx="95">
                  <c:v>-49.631662141140829</c:v>
                </c:pt>
                <c:pt idx="96">
                  <c:v>-49.948084660021692</c:v>
                </c:pt>
                <c:pt idx="97">
                  <c:v>-50.260860671533436</c:v>
                </c:pt>
                <c:pt idx="98">
                  <c:v>-50.570056377103043</c:v>
                </c:pt>
                <c:pt idx="99">
                  <c:v>-50.875737243511225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7066192"/>
        <c:axId val="327066976"/>
      </c:scatterChart>
      <c:scatterChart>
        <c:scatterStyle val="lineMarker"/>
        <c:varyColors val="0"/>
        <c:ser>
          <c:idx val="2"/>
          <c:order val="1"/>
          <c:tx>
            <c:strRef>
              <c:f>'Voltage Loop'!$O$1</c:f>
              <c:strCache>
                <c:ptCount val="1"/>
                <c:pt idx="0">
                  <c:v>ӨTv(f)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'Voltage Loop'!$B$2:$B$101</c:f>
              <c:numCache>
                <c:formatCode>General</c:formatCode>
                <c:ptCount val="100"/>
                <c:pt idx="0">
                  <c:v>100</c:v>
                </c:pt>
                <c:pt idx="1">
                  <c:v>1000</c:v>
                </c:pt>
                <c:pt idx="2">
                  <c:v>6000</c:v>
                </c:pt>
                <c:pt idx="3">
                  <c:v>8000</c:v>
                </c:pt>
                <c:pt idx="4">
                  <c:v>10000</c:v>
                </c:pt>
                <c:pt idx="5">
                  <c:v>12000</c:v>
                </c:pt>
                <c:pt idx="6">
                  <c:v>14000.000000000002</c:v>
                </c:pt>
                <c:pt idx="7">
                  <c:v>16000</c:v>
                </c:pt>
                <c:pt idx="8">
                  <c:v>18000</c:v>
                </c:pt>
                <c:pt idx="9">
                  <c:v>20000</c:v>
                </c:pt>
                <c:pt idx="10">
                  <c:v>22000</c:v>
                </c:pt>
                <c:pt idx="11">
                  <c:v>24000</c:v>
                </c:pt>
                <c:pt idx="12">
                  <c:v>26000</c:v>
                </c:pt>
                <c:pt idx="13">
                  <c:v>28000.000000000004</c:v>
                </c:pt>
                <c:pt idx="14">
                  <c:v>30000</c:v>
                </c:pt>
                <c:pt idx="15">
                  <c:v>32000</c:v>
                </c:pt>
                <c:pt idx="16">
                  <c:v>34000</c:v>
                </c:pt>
                <c:pt idx="17">
                  <c:v>36000</c:v>
                </c:pt>
                <c:pt idx="18">
                  <c:v>38000</c:v>
                </c:pt>
                <c:pt idx="19">
                  <c:v>40000</c:v>
                </c:pt>
                <c:pt idx="20">
                  <c:v>42000</c:v>
                </c:pt>
                <c:pt idx="21">
                  <c:v>44000</c:v>
                </c:pt>
                <c:pt idx="22">
                  <c:v>46000</c:v>
                </c:pt>
                <c:pt idx="23">
                  <c:v>48000</c:v>
                </c:pt>
                <c:pt idx="24">
                  <c:v>50000</c:v>
                </c:pt>
                <c:pt idx="25">
                  <c:v>52000</c:v>
                </c:pt>
                <c:pt idx="26">
                  <c:v>54000</c:v>
                </c:pt>
                <c:pt idx="27">
                  <c:v>56000.000000000007</c:v>
                </c:pt>
                <c:pt idx="28">
                  <c:v>57999.999999999993</c:v>
                </c:pt>
                <c:pt idx="29">
                  <c:v>60000</c:v>
                </c:pt>
                <c:pt idx="30">
                  <c:v>62000</c:v>
                </c:pt>
                <c:pt idx="31">
                  <c:v>64000</c:v>
                </c:pt>
                <c:pt idx="32">
                  <c:v>66000</c:v>
                </c:pt>
                <c:pt idx="33">
                  <c:v>68000</c:v>
                </c:pt>
                <c:pt idx="34">
                  <c:v>70000</c:v>
                </c:pt>
                <c:pt idx="35">
                  <c:v>72000</c:v>
                </c:pt>
                <c:pt idx="36">
                  <c:v>74000</c:v>
                </c:pt>
                <c:pt idx="37">
                  <c:v>76000</c:v>
                </c:pt>
                <c:pt idx="38">
                  <c:v>78000</c:v>
                </c:pt>
                <c:pt idx="39">
                  <c:v>80000</c:v>
                </c:pt>
                <c:pt idx="40">
                  <c:v>82000</c:v>
                </c:pt>
                <c:pt idx="41">
                  <c:v>84000</c:v>
                </c:pt>
                <c:pt idx="42">
                  <c:v>86000</c:v>
                </c:pt>
                <c:pt idx="43">
                  <c:v>88000</c:v>
                </c:pt>
                <c:pt idx="44">
                  <c:v>90000</c:v>
                </c:pt>
                <c:pt idx="45">
                  <c:v>92000</c:v>
                </c:pt>
                <c:pt idx="46">
                  <c:v>94000</c:v>
                </c:pt>
                <c:pt idx="47">
                  <c:v>96000</c:v>
                </c:pt>
                <c:pt idx="48">
                  <c:v>98000</c:v>
                </c:pt>
                <c:pt idx="49">
                  <c:v>100000</c:v>
                </c:pt>
                <c:pt idx="50">
                  <c:v>102000</c:v>
                </c:pt>
                <c:pt idx="51">
                  <c:v>104000</c:v>
                </c:pt>
                <c:pt idx="52">
                  <c:v>106000</c:v>
                </c:pt>
                <c:pt idx="53">
                  <c:v>108000</c:v>
                </c:pt>
                <c:pt idx="54">
                  <c:v>110000.00000000001</c:v>
                </c:pt>
                <c:pt idx="55">
                  <c:v>112000.00000000001</c:v>
                </c:pt>
                <c:pt idx="56">
                  <c:v>113999.99999999999</c:v>
                </c:pt>
                <c:pt idx="57">
                  <c:v>115999.99999999999</c:v>
                </c:pt>
                <c:pt idx="58">
                  <c:v>118000</c:v>
                </c:pt>
                <c:pt idx="59">
                  <c:v>120000</c:v>
                </c:pt>
                <c:pt idx="60">
                  <c:v>122000</c:v>
                </c:pt>
                <c:pt idx="61">
                  <c:v>124000</c:v>
                </c:pt>
                <c:pt idx="62">
                  <c:v>126000</c:v>
                </c:pt>
                <c:pt idx="63">
                  <c:v>128000</c:v>
                </c:pt>
                <c:pt idx="64">
                  <c:v>130000</c:v>
                </c:pt>
                <c:pt idx="65">
                  <c:v>132000</c:v>
                </c:pt>
                <c:pt idx="66">
                  <c:v>134000</c:v>
                </c:pt>
                <c:pt idx="67">
                  <c:v>136000</c:v>
                </c:pt>
                <c:pt idx="68">
                  <c:v>138000</c:v>
                </c:pt>
                <c:pt idx="69">
                  <c:v>140000</c:v>
                </c:pt>
                <c:pt idx="70">
                  <c:v>142000</c:v>
                </c:pt>
                <c:pt idx="71">
                  <c:v>144000</c:v>
                </c:pt>
                <c:pt idx="72">
                  <c:v>146000</c:v>
                </c:pt>
                <c:pt idx="73">
                  <c:v>148000</c:v>
                </c:pt>
                <c:pt idx="74">
                  <c:v>150000</c:v>
                </c:pt>
                <c:pt idx="75">
                  <c:v>152000</c:v>
                </c:pt>
                <c:pt idx="76">
                  <c:v>154000</c:v>
                </c:pt>
                <c:pt idx="77">
                  <c:v>156000</c:v>
                </c:pt>
                <c:pt idx="78">
                  <c:v>158000</c:v>
                </c:pt>
                <c:pt idx="79">
                  <c:v>160000</c:v>
                </c:pt>
                <c:pt idx="80">
                  <c:v>162000</c:v>
                </c:pt>
                <c:pt idx="81">
                  <c:v>164000</c:v>
                </c:pt>
                <c:pt idx="82">
                  <c:v>166000</c:v>
                </c:pt>
                <c:pt idx="83">
                  <c:v>168000</c:v>
                </c:pt>
                <c:pt idx="84">
                  <c:v>170000</c:v>
                </c:pt>
                <c:pt idx="85">
                  <c:v>172000</c:v>
                </c:pt>
                <c:pt idx="86">
                  <c:v>174000</c:v>
                </c:pt>
                <c:pt idx="87">
                  <c:v>176000</c:v>
                </c:pt>
                <c:pt idx="88">
                  <c:v>178000</c:v>
                </c:pt>
                <c:pt idx="89">
                  <c:v>180000</c:v>
                </c:pt>
                <c:pt idx="90">
                  <c:v>182000</c:v>
                </c:pt>
                <c:pt idx="91">
                  <c:v>184000</c:v>
                </c:pt>
                <c:pt idx="92">
                  <c:v>186000</c:v>
                </c:pt>
                <c:pt idx="93">
                  <c:v>188000</c:v>
                </c:pt>
                <c:pt idx="94">
                  <c:v>190000</c:v>
                </c:pt>
                <c:pt idx="95">
                  <c:v>192000</c:v>
                </c:pt>
                <c:pt idx="96">
                  <c:v>194000</c:v>
                </c:pt>
                <c:pt idx="97">
                  <c:v>196000</c:v>
                </c:pt>
                <c:pt idx="98">
                  <c:v>198000</c:v>
                </c:pt>
                <c:pt idx="99">
                  <c:v>200000</c:v>
                </c:pt>
              </c:numCache>
            </c:numRef>
          </c:xVal>
          <c:yVal>
            <c:numRef>
              <c:f>'Voltage Loop'!$O$2:$O$101</c:f>
              <c:numCache>
                <c:formatCode>General</c:formatCode>
                <c:ptCount val="100"/>
                <c:pt idx="0">
                  <c:v>60.882502302631309</c:v>
                </c:pt>
                <c:pt idx="1">
                  <c:v>28.463497836267294</c:v>
                </c:pt>
                <c:pt idx="2">
                  <c:v>55.242690399865722</c:v>
                </c:pt>
                <c:pt idx="3">
                  <c:v>55.995376041881428</c:v>
                </c:pt>
                <c:pt idx="4">
                  <c:v>55.057080428385234</c:v>
                </c:pt>
                <c:pt idx="5">
                  <c:v>53.276688180158274</c:v>
                </c:pt>
                <c:pt idx="6">
                  <c:v>51.065430685907643</c:v>
                </c:pt>
                <c:pt idx="7">
                  <c:v>48.641803247364493</c:v>
                </c:pt>
                <c:pt idx="8">
                  <c:v>46.129156290974635</c:v>
                </c:pt>
                <c:pt idx="9">
                  <c:v>43.599305833370011</c:v>
                </c:pt>
                <c:pt idx="10">
                  <c:v>41.094118587737739</c:v>
                </c:pt>
                <c:pt idx="11">
                  <c:v>38.637159926074048</c:v>
                </c:pt>
                <c:pt idx="12">
                  <c:v>36.240437911577118</c:v>
                </c:pt>
                <c:pt idx="13">
                  <c:v>33.908528036065462</c:v>
                </c:pt>
                <c:pt idx="14">
                  <c:v>31.641200420117144</c:v>
                </c:pt>
                <c:pt idx="15">
                  <c:v>29.435141501620706</c:v>
                </c:pt>
                <c:pt idx="16">
                  <c:v>27.285103799101222</c:v>
                </c:pt>
                <c:pt idx="17">
                  <c:v>25.184682763355397</c:v>
                </c:pt>
                <c:pt idx="18">
                  <c:v>23.126845208172767</c:v>
                </c:pt>
                <c:pt idx="19">
                  <c:v>21.104290157625911</c:v>
                </c:pt>
                <c:pt idx="20">
                  <c:v>19.109696099722953</c:v>
                </c:pt>
                <c:pt idx="21">
                  <c:v>17.135891447707564</c:v>
                </c:pt>
                <c:pt idx="22">
                  <c:v>15.175973648417511</c:v>
                </c:pt>
                <c:pt idx="23">
                  <c:v>13.223394673062131</c:v>
                </c:pt>
                <c:pt idx="24">
                  <c:v>11.272025287909145</c:v>
                </c:pt>
                <c:pt idx="25">
                  <c:v>9.3162067256560306</c:v>
                </c:pt>
                <c:pt idx="26">
                  <c:v>7.3507956416120805</c:v>
                </c:pt>
                <c:pt idx="27">
                  <c:v>5.3712061955421575</c:v>
                </c:pt>
                <c:pt idx="28">
                  <c:v>3.3734515161002605</c:v>
                </c:pt>
                <c:pt idx="29">
                  <c:v>1.3541855231725322</c:v>
                </c:pt>
                <c:pt idx="30">
                  <c:v>-0.68925499686577041</c:v>
                </c:pt>
                <c:pt idx="31">
                  <c:v>-2.7588091045342367</c:v>
                </c:pt>
                <c:pt idx="32">
                  <c:v>-4.8556530653619916</c:v>
                </c:pt>
                <c:pt idx="33">
                  <c:v>-6.9801668928954541</c:v>
                </c:pt>
                <c:pt idx="34">
                  <c:v>-9.1319091372789671</c:v>
                </c:pt>
                <c:pt idx="35">
                  <c:v>-11.309603286477341</c:v>
                </c:pt>
                <c:pt idx="36">
                  <c:v>-13.51113918113424</c:v>
                </c:pt>
                <c:pt idx="37">
                  <c:v>-15.733592552372443</c:v>
                </c:pt>
                <c:pt idx="38">
                  <c:v>-17.973265141285651</c:v>
                </c:pt>
                <c:pt idx="39">
                  <c:v>-20.225746851420979</c:v>
                </c:pt>
                <c:pt idx="40">
                  <c:v>-22.486000069734246</c:v>
                </c:pt>
                <c:pt idx="41">
                  <c:v>-24.748464767663563</c:v>
                </c:pt>
                <c:pt idx="42">
                  <c:v>-27.007181408632846</c:v>
                </c:pt>
                <c:pt idx="43">
                  <c:v>-29.255927218067086</c:v>
                </c:pt>
                <c:pt idx="44">
                  <c:v>-31.488360197314819</c:v>
                </c:pt>
                <c:pt idx="45">
                  <c:v>-33.698164537545949</c:v>
                </c:pt>
                <c:pt idx="46">
                  <c:v>-35.87919091233465</c:v>
                </c:pt>
                <c:pt idx="47">
                  <c:v>-38.025585522554081</c:v>
                </c:pt>
                <c:pt idx="48">
                  <c:v>-40.131902679661607</c:v>
                </c:pt>
                <c:pt idx="49">
                  <c:v>-42.193197020571461</c:v>
                </c:pt>
                <c:pt idx="50">
                  <c:v>-44.205092981762959</c:v>
                </c:pt>
                <c:pt idx="51">
                  <c:v>-46.163830740770436</c:v>
                </c:pt>
                <c:pt idx="52">
                  <c:v>-48.066289293781324</c:v>
                </c:pt>
                <c:pt idx="53">
                  <c:v>-49.909988551447782</c:v>
                </c:pt>
                <c:pt idx="54">
                  <c:v>-51.693073224213549</c:v>
                </c:pt>
                <c:pt idx="55">
                  <c:v>-53.414281808608791</c:v>
                </c:pt>
                <c:pt idx="56">
                  <c:v>-55.072904196481602</c:v>
                </c:pt>
                <c:pt idx="57">
                  <c:v>-56.668731360987522</c:v>
                </c:pt>
                <c:pt idx="58">
                  <c:v>-58.202000294499044</c:v>
                </c:pt>
                <c:pt idx="59">
                  <c:v>-59.673336956746368</c:v>
                </c:pt>
                <c:pt idx="60">
                  <c:v>-61.083699503153298</c:v>
                </c:pt>
                <c:pt idx="61">
                  <c:v>-62.434323558582378</c:v>
                </c:pt>
                <c:pt idx="62">
                  <c:v>-63.726670821367406</c:v>
                </c:pt>
                <c:pt idx="63">
                  <c:v>-64.962381853340219</c:v>
                </c:pt>
                <c:pt idx="64">
                  <c:v>-66.143233547969373</c:v>
                </c:pt>
                <c:pt idx="65">
                  <c:v>-67.271101475377179</c:v>
                </c:pt>
                <c:pt idx="66">
                  <c:v>-68.347927077777456</c:v>
                </c:pt>
                <c:pt idx="67">
                  <c:v>-69.375689525138114</c:v>
                </c:pt>
                <c:pt idx="68">
                  <c:v>-70.356381929828785</c:v>
                </c:pt>
                <c:pt idx="69">
                  <c:v>-71.29199155104493</c:v>
                </c:pt>
                <c:pt idx="70">
                  <c:v>-72.184483585592091</c:v>
                </c:pt>
                <c:pt idx="71">
                  <c:v>-73.035788132740834</c:v>
                </c:pt>
                <c:pt idx="72">
                  <c:v>-73.847789930147769</c:v>
                </c:pt>
                <c:pt idx="73">
                  <c:v>-74.622320479344751</c:v>
                </c:pt>
                <c:pt idx="74">
                  <c:v>-75.361152208409408</c:v>
                </c:pt>
                <c:pt idx="75">
                  <c:v>-76.065994352560722</c:v>
                </c:pt>
                <c:pt idx="76">
                  <c:v>-76.738490268009741</c:v>
                </c:pt>
                <c:pt idx="77">
                  <c:v>-77.380215928610824</c:v>
                </c:pt>
                <c:pt idx="78">
                  <c:v>-77.992679387455553</c:v>
                </c:pt>
                <c:pt idx="79">
                  <c:v>-78.577321015826385</c:v>
                </c:pt>
                <c:pt idx="80">
                  <c:v>-79.135514359475565</c:v>
                </c:pt>
                <c:pt idx="81">
                  <c:v>-79.668567476784574</c:v>
                </c:pt>
                <c:pt idx="82">
                  <c:v>-80.177724645135697</c:v>
                </c:pt>
                <c:pt idx="83">
                  <c:v>-80.66416834080195</c:v>
                </c:pt>
                <c:pt idx="84">
                  <c:v>-81.129021414068802</c:v>
                </c:pt>
                <c:pt idx="85">
                  <c:v>-81.57334939540732</c:v>
                </c:pt>
                <c:pt idx="86">
                  <c:v>-81.998162880497262</c:v>
                </c:pt>
                <c:pt idx="87">
                  <c:v>-82.4044199520593</c:v>
                </c:pt>
                <c:pt idx="88">
                  <c:v>-82.793028604973074</c:v>
                </c:pt>
                <c:pt idx="89">
                  <c:v>-83.164849148311305</c:v>
                </c:pt>
                <c:pt idx="90">
                  <c:v>-83.520696563831962</c:v>
                </c:pt>
                <c:pt idx="91">
                  <c:v>-83.861342805386357</c:v>
                </c:pt>
                <c:pt idx="92">
                  <c:v>-84.187519027723852</c:v>
                </c:pt>
                <c:pt idx="93">
                  <c:v>-84.499917736470763</c:v>
                </c:pt>
                <c:pt idx="94">
                  <c:v>-84.799194853731365</c:v>
                </c:pt>
                <c:pt idx="95">
                  <c:v>-85.08597169591684</c:v>
                </c:pt>
                <c:pt idx="96">
                  <c:v>-85.360836862119982</c:v>
                </c:pt>
                <c:pt idx="97">
                  <c:v>-85.624348032736123</c:v>
                </c:pt>
                <c:pt idx="98">
                  <c:v>-85.877033679068518</c:v>
                </c:pt>
                <c:pt idx="99">
                  <c:v>-86.119394685509349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7071288"/>
        <c:axId val="327069328"/>
      </c:scatterChart>
      <c:valAx>
        <c:axId val="327066192"/>
        <c:scaling>
          <c:logBase val="10"/>
          <c:orientation val="minMax"/>
          <c:min val="1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ko-KR"/>
                  <a:t>Frequency in Hz</a:t>
                </a:r>
              </a:p>
            </c:rich>
          </c:tx>
          <c:layout>
            <c:manualLayout>
              <c:xMode val="edge"/>
              <c:yMode val="edge"/>
              <c:x val="0.41680429979201528"/>
              <c:y val="0.931122448979591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ko-KR"/>
          </a:p>
        </c:txPr>
        <c:crossAx val="327066976"/>
        <c:crossesAt val="-80"/>
        <c:crossBetween val="midCat"/>
      </c:valAx>
      <c:valAx>
        <c:axId val="327066976"/>
        <c:scaling>
          <c:orientation val="minMax"/>
          <c:max val="80"/>
          <c:min val="-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ko-KR"/>
                  <a:t>Gain in dB</a:t>
                </a:r>
              </a:p>
            </c:rich>
          </c:tx>
          <c:layout>
            <c:manualLayout>
              <c:xMode val="edge"/>
              <c:yMode val="edge"/>
              <c:x val="1.9769357495881382E-2"/>
              <c:y val="0.397959183673469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ko-KR"/>
          </a:p>
        </c:txPr>
        <c:crossAx val="327066192"/>
        <c:crosses val="autoZero"/>
        <c:crossBetween val="midCat"/>
      </c:valAx>
      <c:valAx>
        <c:axId val="327071288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7069328"/>
        <c:crosses val="autoZero"/>
        <c:crossBetween val="midCat"/>
      </c:valAx>
      <c:valAx>
        <c:axId val="327069328"/>
        <c:scaling>
          <c:orientation val="minMax"/>
          <c:max val="180"/>
          <c:min val="-18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ko-KR"/>
          </a:p>
        </c:txPr>
        <c:crossAx val="327071288"/>
        <c:crosses val="max"/>
        <c:crossBetween val="midCat"/>
        <c:majorUnit val="4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191121085152658"/>
          <c:y val="0.70408163265306123"/>
          <c:w val="0.16309737230127946"/>
          <c:h val="0.1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ko-KR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66675</xdr:rowOff>
    </xdr:from>
    <xdr:to>
      <xdr:col>12</xdr:col>
      <xdr:colOff>257175</xdr:colOff>
      <xdr:row>35</xdr:row>
      <xdr:rowOff>76200</xdr:rowOff>
    </xdr:to>
    <xdr:pic>
      <xdr:nvPicPr>
        <xdr:cNvPr id="419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66675"/>
          <a:ext cx="7400925" cy="5676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151</xdr:row>
      <xdr:rowOff>38100</xdr:rowOff>
    </xdr:from>
    <xdr:to>
      <xdr:col>3</xdr:col>
      <xdr:colOff>695325</xdr:colOff>
      <xdr:row>171</xdr:row>
      <xdr:rowOff>161925</xdr:rowOff>
    </xdr:to>
    <xdr:graphicFrame macro="">
      <xdr:nvGraphicFramePr>
        <xdr:cNvPr id="1135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8</xdr:col>
      <xdr:colOff>523875</xdr:colOff>
      <xdr:row>4</xdr:row>
      <xdr:rowOff>85725</xdr:rowOff>
    </xdr:to>
    <xdr:pic>
      <xdr:nvPicPr>
        <xdr:cNvPr id="52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5400675" cy="704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5</xdr:row>
          <xdr:rowOff>57150</xdr:rowOff>
        </xdr:from>
        <xdr:to>
          <xdr:col>8</xdr:col>
          <xdr:colOff>533400</xdr:colOff>
          <xdr:row>46</xdr:row>
          <xdr:rowOff>57150</xdr:rowOff>
        </xdr:to>
        <xdr:sp macro="" textlink="">
          <xdr:nvSpPr>
            <xdr:cNvPr id="5125" name="Object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352425</xdr:colOff>
      <xdr:row>34</xdr:row>
      <xdr:rowOff>123825</xdr:rowOff>
    </xdr:to>
    <xdr:pic>
      <xdr:nvPicPr>
        <xdr:cNvPr id="624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19625" cy="5629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390525</xdr:colOff>
      <xdr:row>34</xdr:row>
      <xdr:rowOff>133350</xdr:rowOff>
    </xdr:to>
    <xdr:pic>
      <xdr:nvPicPr>
        <xdr:cNvPr id="726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57725" cy="5638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85</xdr:row>
      <xdr:rowOff>114300</xdr:rowOff>
    </xdr:from>
    <xdr:to>
      <xdr:col>7</xdr:col>
      <xdr:colOff>57150</xdr:colOff>
      <xdr:row>105</xdr:row>
      <xdr:rowOff>152400</xdr:rowOff>
    </xdr:to>
    <xdr:graphicFrame macro="">
      <xdr:nvGraphicFramePr>
        <xdr:cNvPr id="317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0799388\My%20Documents\Applications%20Information\UCC28070\Design%20Tool\UCC28070%20Design%20Tool%208%2015%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ign Information"/>
      <sheetName val="Current Loop Calaculations"/>
      <sheetName val="Voltage Loop Calaclations"/>
    </sheetNames>
    <sheetDataSet>
      <sheetData sheetId="0">
        <row r="29">
          <cell r="C29">
            <v>2.4499999999999999E-4</v>
          </cell>
        </row>
        <row r="40">
          <cell r="C40">
            <v>50</v>
          </cell>
        </row>
        <row r="83">
          <cell r="C83">
            <v>4020</v>
          </cell>
        </row>
        <row r="85">
          <cell r="C85">
            <v>2.1999999999999998E-9</v>
          </cell>
        </row>
        <row r="87">
          <cell r="C87">
            <v>3.3E-10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Q4" sqref="Q4"/>
    </sheetView>
  </sheetViews>
  <sheetFormatPr defaultRowHeight="12.75" x14ac:dyDescent="0.2"/>
  <sheetData>
    <row r="1" spans="1:14" ht="33.75" x14ac:dyDescent="0.2">
      <c r="A1" s="114" t="s">
        <v>294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4" ht="25.5" x14ac:dyDescent="0.2">
      <c r="A2" s="115" t="s">
        <v>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x14ac:dyDescent="0.2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14" ht="25.5" x14ac:dyDescent="0.2">
      <c r="A4" s="113" t="s">
        <v>2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1:14" x14ac:dyDescent="0.2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</row>
    <row r="6" spans="1:14" ht="25.5" x14ac:dyDescent="0.2">
      <c r="A6" s="1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5.5" x14ac:dyDescent="0.2">
      <c r="A7" s="1"/>
      <c r="B7" s="113" t="s">
        <v>4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1:14" ht="25.5" x14ac:dyDescent="0.2">
      <c r="A8" s="1"/>
      <c r="B8" s="113" t="s">
        <v>5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</row>
    <row r="9" spans="1:14" ht="25.5" x14ac:dyDescent="0.2">
      <c r="A9" s="1"/>
      <c r="B9" s="113" t="s">
        <v>6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</row>
    <row r="10" spans="1:14" ht="25.5" x14ac:dyDescent="0.2">
      <c r="A10" s="1" t="s">
        <v>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5.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25.5" x14ac:dyDescent="0.2">
      <c r="A12" s="111" t="s">
        <v>298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</row>
    <row r="13" spans="1:14" ht="25.5" x14ac:dyDescent="0.2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</row>
    <row r="14" spans="1:14" ht="25.5" x14ac:dyDescent="0.2">
      <c r="A14" s="111" t="s">
        <v>8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</row>
    <row r="15" spans="1:14" ht="25.5" x14ac:dyDescent="0.2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</row>
    <row r="16" spans="1:14" ht="45.75" customHeight="1" x14ac:dyDescent="0.2">
      <c r="A16" s="111" t="s">
        <v>332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</row>
    <row r="17" spans="1:1" x14ac:dyDescent="0.2">
      <c r="A17" t="s">
        <v>20</v>
      </c>
    </row>
  </sheetData>
  <sheetProtection password="ECDD" sheet="1" objects="1" scenarios="1"/>
  <mergeCells count="11">
    <mergeCell ref="A1:N1"/>
    <mergeCell ref="A2:N2"/>
    <mergeCell ref="A3:N3"/>
    <mergeCell ref="A4:N4"/>
    <mergeCell ref="A12:N12"/>
    <mergeCell ref="A14:N14"/>
    <mergeCell ref="A16:N16"/>
    <mergeCell ref="A5:N5"/>
    <mergeCell ref="B7:N7"/>
    <mergeCell ref="B8:N8"/>
    <mergeCell ref="B9:N9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3"/>
  <sheetViews>
    <sheetView workbookViewId="0">
      <selection activeCell="F39" sqref="F39"/>
    </sheetView>
  </sheetViews>
  <sheetFormatPr defaultRowHeight="12.75" x14ac:dyDescent="0.2"/>
  <sheetData>
    <row r="43" spans="4:4" x14ac:dyDescent="0.2">
      <c r="D43" t="s">
        <v>20</v>
      </c>
    </row>
  </sheetData>
  <sheetProtection password="ECDD" sheet="1" objects="1" scenarios="1"/>
  <phoneticPr fontId="21" type="noConversion"/>
  <pageMargins left="0.75" right="0.75" top="1" bottom="1" header="0.5" footer="0.5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2"/>
  <sheetViews>
    <sheetView tabSelected="1" workbookViewId="0">
      <selection activeCell="G182" sqref="G182"/>
    </sheetView>
  </sheetViews>
  <sheetFormatPr defaultRowHeight="15.75" x14ac:dyDescent="0.25"/>
  <cols>
    <col min="1" max="1" width="66.140625" style="59" customWidth="1"/>
    <col min="2" max="2" width="15" style="59" customWidth="1"/>
    <col min="3" max="3" width="13.42578125" style="59" customWidth="1"/>
    <col min="4" max="5" width="11.5703125" style="59" customWidth="1"/>
    <col min="6" max="16384" width="9.140625" style="59"/>
  </cols>
  <sheetData>
    <row r="1" spans="1:8" x14ac:dyDescent="0.25">
      <c r="A1" s="59" t="s">
        <v>0</v>
      </c>
    </row>
    <row r="2" spans="1:8" x14ac:dyDescent="0.25">
      <c r="A2" s="59" t="s">
        <v>333</v>
      </c>
      <c r="B2" s="60">
        <v>40822</v>
      </c>
    </row>
    <row r="3" spans="1:8" x14ac:dyDescent="0.25">
      <c r="B3" s="60"/>
    </row>
    <row r="4" spans="1:8" x14ac:dyDescent="0.25">
      <c r="A4" s="92" t="s">
        <v>330</v>
      </c>
      <c r="B4" s="93"/>
      <c r="C4" s="92"/>
      <c r="D4" s="92"/>
      <c r="E4" s="92"/>
      <c r="F4" s="92"/>
    </row>
    <row r="5" spans="1:8" x14ac:dyDescent="0.25">
      <c r="A5" s="92" t="s">
        <v>290</v>
      </c>
      <c r="B5" s="93"/>
      <c r="C5" s="92"/>
      <c r="D5" s="92"/>
      <c r="E5" s="92"/>
      <c r="F5" s="92"/>
    </row>
    <row r="6" spans="1:8" x14ac:dyDescent="0.25">
      <c r="A6" s="99" t="s">
        <v>334</v>
      </c>
      <c r="B6" s="100"/>
      <c r="C6" s="99"/>
      <c r="D6" s="99"/>
      <c r="E6" s="99"/>
      <c r="F6" s="99"/>
    </row>
    <row r="7" spans="1:8" x14ac:dyDescent="0.25">
      <c r="A7" s="101" t="s">
        <v>304</v>
      </c>
      <c r="B7" s="102"/>
      <c r="C7" s="101"/>
      <c r="D7" s="101"/>
      <c r="E7" s="101"/>
      <c r="F7" s="101"/>
    </row>
    <row r="8" spans="1:8" s="55" customFormat="1" x14ac:dyDescent="0.25">
      <c r="A8" s="101" t="s">
        <v>303</v>
      </c>
      <c r="B8" s="102"/>
      <c r="C8" s="101"/>
      <c r="D8" s="101"/>
      <c r="E8" s="101"/>
      <c r="F8" s="101"/>
    </row>
    <row r="9" spans="1:8" s="55" customFormat="1" x14ac:dyDescent="0.25">
      <c r="A9" s="101" t="s">
        <v>301</v>
      </c>
      <c r="B9" s="102"/>
      <c r="C9" s="101"/>
      <c r="D9" s="101"/>
      <c r="E9" s="101"/>
      <c r="F9" s="101"/>
    </row>
    <row r="10" spans="1:8" s="55" customFormat="1" x14ac:dyDescent="0.25">
      <c r="A10" s="101" t="s">
        <v>302</v>
      </c>
      <c r="B10" s="102"/>
      <c r="C10" s="101"/>
      <c r="D10" s="101"/>
      <c r="E10" s="101"/>
      <c r="F10" s="101"/>
    </row>
    <row r="11" spans="1:8" x14ac:dyDescent="0.25">
      <c r="A11" s="59" t="s">
        <v>9</v>
      </c>
    </row>
    <row r="12" spans="1:8" x14ac:dyDescent="0.25">
      <c r="A12" s="59" t="s">
        <v>10</v>
      </c>
      <c r="B12" s="59" t="s">
        <v>11</v>
      </c>
      <c r="C12" s="59" t="s">
        <v>13</v>
      </c>
      <c r="D12" s="59" t="s">
        <v>12</v>
      </c>
      <c r="E12" s="59" t="s">
        <v>17</v>
      </c>
    </row>
    <row r="13" spans="1:8" x14ac:dyDescent="0.25">
      <c r="A13" s="59" t="s">
        <v>14</v>
      </c>
      <c r="B13" s="56">
        <v>350</v>
      </c>
      <c r="C13" s="56">
        <v>390</v>
      </c>
      <c r="D13" s="56">
        <v>410</v>
      </c>
      <c r="E13" s="59" t="s">
        <v>18</v>
      </c>
      <c r="F13" s="103" t="str">
        <f>IF(VINMAX/VINMIN&gt;3,"Please Keep Input Voltage &lt; 3:1","")</f>
        <v/>
      </c>
    </row>
    <row r="14" spans="1:8" x14ac:dyDescent="0.25">
      <c r="A14" s="59" t="s">
        <v>15</v>
      </c>
      <c r="B14" s="56">
        <v>27.5</v>
      </c>
      <c r="C14" s="56">
        <v>28.3</v>
      </c>
      <c r="D14" s="56">
        <v>29.2</v>
      </c>
      <c r="E14" s="59" t="s">
        <v>18</v>
      </c>
      <c r="F14" s="96" t="str">
        <f>IF(VOUT&lt;1.5,"The Minimum Output Voltage &gt; 1.5 V","")</f>
        <v/>
      </c>
      <c r="G14" s="55"/>
      <c r="H14" s="55"/>
    </row>
    <row r="15" spans="1:8" ht="31.5" x14ac:dyDescent="0.25">
      <c r="A15" s="61" t="s">
        <v>16</v>
      </c>
      <c r="D15" s="56">
        <v>0.9</v>
      </c>
      <c r="E15" s="59" t="s">
        <v>18</v>
      </c>
      <c r="F15" s="96"/>
    </row>
    <row r="16" spans="1:8" ht="18.75" x14ac:dyDescent="0.35">
      <c r="A16" s="61" t="s">
        <v>22</v>
      </c>
      <c r="D16" s="56">
        <v>1000</v>
      </c>
      <c r="E16" s="59" t="s">
        <v>19</v>
      </c>
    </row>
    <row r="17" spans="1:6" x14ac:dyDescent="0.25">
      <c r="A17" s="59" t="s">
        <v>24</v>
      </c>
      <c r="B17" s="57">
        <v>0.95</v>
      </c>
      <c r="D17" s="59" t="s">
        <v>20</v>
      </c>
      <c r="F17" s="96" t="str">
        <f>IF(Eff&gt;96%,"Please be Realistic with Efficiency Goal","")</f>
        <v/>
      </c>
    </row>
    <row r="18" spans="1:6" ht="18.75" x14ac:dyDescent="0.35">
      <c r="A18" s="59" t="s">
        <v>23</v>
      </c>
      <c r="C18" s="56">
        <v>400</v>
      </c>
      <c r="E18" s="59" t="s">
        <v>21</v>
      </c>
      <c r="F18" s="95" t="str">
        <f>IF(fs&gt;1000,"UCC28950 Can Only Achieve 1MHz Switching Frequency","")</f>
        <v/>
      </c>
    </row>
    <row r="19" spans="1:6" x14ac:dyDescent="0.25">
      <c r="A19" s="62"/>
      <c r="B19" s="62"/>
      <c r="C19" s="62"/>
      <c r="D19" s="62"/>
      <c r="E19" s="62"/>
      <c r="F19" s="62"/>
    </row>
    <row r="20" spans="1:6" x14ac:dyDescent="0.25">
      <c r="A20" s="91" t="s">
        <v>175</v>
      </c>
      <c r="B20" s="91"/>
      <c r="C20" s="91"/>
      <c r="D20" s="91"/>
      <c r="E20" s="91"/>
      <c r="F20" s="91"/>
    </row>
    <row r="21" spans="1:6" x14ac:dyDescent="0.25">
      <c r="A21" s="59" t="s">
        <v>10</v>
      </c>
      <c r="B21" s="59" t="s">
        <v>28</v>
      </c>
      <c r="D21" s="59" t="s">
        <v>17</v>
      </c>
    </row>
    <row r="22" spans="1:6" ht="18.75" x14ac:dyDescent="0.35">
      <c r="A22" s="59" t="s">
        <v>114</v>
      </c>
      <c r="B22" s="64" t="s">
        <v>25</v>
      </c>
      <c r="C22" s="64">
        <f>pout*(1-Eff)/Eff</f>
        <v>52.631578947368467</v>
      </c>
      <c r="D22" s="59" t="s">
        <v>19</v>
      </c>
    </row>
    <row r="23" spans="1:6" ht="18.75" x14ac:dyDescent="0.35">
      <c r="A23" s="59" t="s">
        <v>115</v>
      </c>
      <c r="B23" s="59" t="s">
        <v>26</v>
      </c>
      <c r="C23" s="59">
        <v>0.3</v>
      </c>
      <c r="D23" s="59" t="s">
        <v>18</v>
      </c>
    </row>
    <row r="24" spans="1:6" ht="18.75" x14ac:dyDescent="0.35">
      <c r="A24" s="59" t="s">
        <v>30</v>
      </c>
      <c r="B24" s="59" t="s">
        <v>32</v>
      </c>
      <c r="C24" s="70">
        <v>0.7</v>
      </c>
    </row>
    <row r="25" spans="1:6" ht="18.75" x14ac:dyDescent="0.35">
      <c r="A25" s="59" t="s">
        <v>29</v>
      </c>
      <c r="B25" s="59" t="s">
        <v>27</v>
      </c>
      <c r="C25" s="67">
        <f>((VINMIN-2*vrdson)*dmax)/(VOUT+vrdson)</f>
        <v>8.5517482517482506</v>
      </c>
      <c r="D25" s="59" t="s">
        <v>20</v>
      </c>
      <c r="E25" s="59" t="s">
        <v>20</v>
      </c>
    </row>
    <row r="26" spans="1:6" x14ac:dyDescent="0.25">
      <c r="A26" s="59" t="s">
        <v>305</v>
      </c>
      <c r="B26" s="59" t="s">
        <v>27</v>
      </c>
      <c r="C26" s="3">
        <v>9</v>
      </c>
    </row>
    <row r="27" spans="1:6" s="65" customFormat="1" ht="18.75" x14ac:dyDescent="0.35">
      <c r="A27" s="65" t="s">
        <v>31</v>
      </c>
      <c r="B27" s="65" t="s">
        <v>33</v>
      </c>
      <c r="C27" s="70">
        <f>((VOUT+vrdson)*_taa1)/((vin-2*vrdson))</f>
        <v>0.6610169491525425</v>
      </c>
      <c r="D27" s="104" t="str">
        <f>IF(dtyp&gt;1,"Turns Ratio a1 in Error, Pleast Adjust","")</f>
        <v/>
      </c>
    </row>
    <row r="28" spans="1:6" ht="18.75" x14ac:dyDescent="0.35">
      <c r="A28" s="59" t="s">
        <v>34</v>
      </c>
      <c r="B28" s="83" t="s">
        <v>244</v>
      </c>
      <c r="C28" s="59">
        <f>pout*0.2/VOUT</f>
        <v>7.0671378091872787</v>
      </c>
      <c r="D28" s="59" t="s">
        <v>35</v>
      </c>
    </row>
    <row r="29" spans="1:6" ht="18.75" x14ac:dyDescent="0.35">
      <c r="A29" s="59" t="s">
        <v>263</v>
      </c>
      <c r="B29" s="59" t="s">
        <v>36</v>
      </c>
      <c r="C29" s="65">
        <f>(vin*(1-dtyp)*_taa1)/(dilout*0.5*fs)</f>
        <v>0.84180508474576254</v>
      </c>
      <c r="D29" s="59" t="s">
        <v>37</v>
      </c>
    </row>
    <row r="30" spans="1:6" ht="18.75" x14ac:dyDescent="0.35">
      <c r="A30" s="59" t="s">
        <v>291</v>
      </c>
      <c r="B30" s="59" t="s">
        <v>38</v>
      </c>
      <c r="C30" s="64">
        <f>(pout/VOUT)+(dilout/2)</f>
        <v>38.869257950530034</v>
      </c>
      <c r="D30" s="59" t="s">
        <v>35</v>
      </c>
      <c r="E30" s="59" t="s">
        <v>20</v>
      </c>
    </row>
    <row r="31" spans="1:6" ht="18.75" x14ac:dyDescent="0.35">
      <c r="A31" s="59" t="s">
        <v>291</v>
      </c>
      <c r="B31" s="59" t="s">
        <v>39</v>
      </c>
      <c r="C31" s="64">
        <f>(pout/VOUT)-(dilout/2)</f>
        <v>31.802120141342758</v>
      </c>
      <c r="D31" s="59" t="s">
        <v>35</v>
      </c>
      <c r="E31" s="76"/>
    </row>
    <row r="32" spans="1:6" ht="18.75" x14ac:dyDescent="0.35">
      <c r="A32" s="59" t="s">
        <v>291</v>
      </c>
      <c r="B32" s="59" t="s">
        <v>41</v>
      </c>
      <c r="C32" s="64">
        <f>ips-(dilout/2)</f>
        <v>35.335689045936398</v>
      </c>
      <c r="D32" s="59" t="s">
        <v>35</v>
      </c>
      <c r="E32" s="65" t="s">
        <v>20</v>
      </c>
    </row>
    <row r="33" spans="1:5" ht="18.75" x14ac:dyDescent="0.35">
      <c r="A33" s="59" t="s">
        <v>245</v>
      </c>
      <c r="B33" s="59" t="s">
        <v>40</v>
      </c>
      <c r="C33" s="64">
        <f>((dmax/2)*(ips*ims+(((ips-ims)^2)/3)))^0.5</f>
        <v>20.939688031661262</v>
      </c>
      <c r="D33" s="59" t="s">
        <v>35</v>
      </c>
      <c r="E33" s="64" t="s">
        <v>20</v>
      </c>
    </row>
    <row r="34" spans="1:5" ht="18.75" x14ac:dyDescent="0.35">
      <c r="A34" s="59" t="s">
        <v>245</v>
      </c>
      <c r="B34" s="59" t="s">
        <v>42</v>
      </c>
      <c r="C34" s="64">
        <f>(((1-dmax)/2)*(ips*_ims2+(((ips-_ims2)^2)/3)))^0.5</f>
        <v>14.375155905871374</v>
      </c>
      <c r="D34" s="59" t="s">
        <v>35</v>
      </c>
      <c r="E34" s="59" t="s">
        <v>20</v>
      </c>
    </row>
    <row r="35" spans="1:5" ht="18.75" x14ac:dyDescent="0.35">
      <c r="A35" s="59" t="s">
        <v>245</v>
      </c>
      <c r="B35" s="59" t="s">
        <v>43</v>
      </c>
      <c r="C35" s="64">
        <f>(dilout/2)*((1-dmax)/6)^0.5</f>
        <v>0.79013002738508475</v>
      </c>
      <c r="D35" s="59" t="s">
        <v>35</v>
      </c>
      <c r="E35" s="59" t="s">
        <v>20</v>
      </c>
    </row>
    <row r="36" spans="1:5" ht="18.75" x14ac:dyDescent="0.35">
      <c r="A36" s="59" t="s">
        <v>264</v>
      </c>
      <c r="B36" s="59" t="s">
        <v>44</v>
      </c>
      <c r="C36" s="64">
        <f>(isrms1^2+isrms2^2+isrms3^2)^0.5</f>
        <v>25.41141372772444</v>
      </c>
      <c r="D36" s="59" t="s">
        <v>35</v>
      </c>
    </row>
    <row r="37" spans="1:5" ht="18.75" x14ac:dyDescent="0.35">
      <c r="A37" s="59" t="s">
        <v>292</v>
      </c>
      <c r="B37" s="83" t="s">
        <v>331</v>
      </c>
      <c r="C37" s="64">
        <f>(VINMIN*dmax)/(lmag*fs)</f>
        <v>0.72760311276212342</v>
      </c>
      <c r="D37" s="59" t="s">
        <v>35</v>
      </c>
    </row>
    <row r="38" spans="1:5" ht="18.75" x14ac:dyDescent="0.35">
      <c r="A38" s="59" t="s">
        <v>291</v>
      </c>
      <c r="B38" s="59" t="s">
        <v>46</v>
      </c>
      <c r="C38" s="64">
        <f>(((pout/(VOUT*Eff))+dilout/2)/_taa1)+dilmag</f>
        <v>5.2530510081188897</v>
      </c>
      <c r="D38" s="59" t="s">
        <v>35</v>
      </c>
    </row>
    <row r="39" spans="1:5" ht="18.75" x14ac:dyDescent="0.35">
      <c r="A39" s="59" t="s">
        <v>291</v>
      </c>
      <c r="B39" s="59" t="s">
        <v>47</v>
      </c>
      <c r="C39" s="64">
        <f>(((pout/(VOUT*Eff))-dilout/2)/_taa1)+dilmag</f>
        <v>4.4678134737647488</v>
      </c>
      <c r="D39" s="59" t="s">
        <v>35</v>
      </c>
    </row>
    <row r="40" spans="1:5" ht="18.75" x14ac:dyDescent="0.35">
      <c r="A40" s="59" t="s">
        <v>291</v>
      </c>
      <c r="B40" s="59" t="s">
        <v>48</v>
      </c>
      <c r="C40" s="64">
        <f>ipp-((dilout/2)/_ta1)</f>
        <v>4.8398525835895816</v>
      </c>
      <c r="D40" s="59" t="s">
        <v>35</v>
      </c>
    </row>
    <row r="41" spans="1:5" ht="18.75" x14ac:dyDescent="0.35">
      <c r="A41" s="59" t="s">
        <v>245</v>
      </c>
      <c r="B41" s="59" t="s">
        <v>49</v>
      </c>
      <c r="C41" s="64">
        <f>((dmax)*(ipp*imp+(((ipp-imp)^2)/3)))^0.5</f>
        <v>4.070949436429208</v>
      </c>
      <c r="D41" s="59" t="s">
        <v>35</v>
      </c>
    </row>
    <row r="42" spans="1:5" ht="18.75" x14ac:dyDescent="0.35">
      <c r="A42" s="59" t="s">
        <v>245</v>
      </c>
      <c r="B42" s="59" t="s">
        <v>50</v>
      </c>
      <c r="C42" s="64">
        <f>(((1-dmax))*(ipp*_imp2+(((ipp-_imp2)^2)/3)))^0.5</f>
        <v>2.7648274886175033</v>
      </c>
      <c r="D42" s="59" t="s">
        <v>35</v>
      </c>
    </row>
    <row r="43" spans="1:5" ht="18.75" x14ac:dyDescent="0.35">
      <c r="A43" s="59" t="s">
        <v>293</v>
      </c>
      <c r="B43" s="59" t="s">
        <v>52</v>
      </c>
      <c r="C43" s="64">
        <f>((iprms1)^2+(iprms2)^2)^0.5</f>
        <v>4.9210669936283384</v>
      </c>
      <c r="D43" s="59" t="s">
        <v>35</v>
      </c>
    </row>
    <row r="44" spans="1:5" ht="18.75" x14ac:dyDescent="0.35">
      <c r="A44" s="59" t="s">
        <v>73</v>
      </c>
      <c r="B44" s="59" t="s">
        <v>36</v>
      </c>
      <c r="C44" s="105">
        <v>1.1000000000000001</v>
      </c>
      <c r="D44" s="59" t="s">
        <v>37</v>
      </c>
      <c r="E44" s="95" t="str">
        <f>IF(lmag2&lt;lmag,"Please make Lmag &gt; or = Calculated Lmag","")</f>
        <v/>
      </c>
    </row>
    <row r="45" spans="1:5" ht="18.75" x14ac:dyDescent="0.35">
      <c r="A45" s="59" t="s">
        <v>55</v>
      </c>
      <c r="B45" s="59" t="s">
        <v>51</v>
      </c>
      <c r="C45" s="105">
        <v>40</v>
      </c>
      <c r="D45" s="59" t="s">
        <v>206</v>
      </c>
    </row>
    <row r="46" spans="1:5" ht="18.75" x14ac:dyDescent="0.35">
      <c r="A46" s="59" t="s">
        <v>56</v>
      </c>
      <c r="B46" s="59" t="s">
        <v>53</v>
      </c>
      <c r="C46" s="105">
        <v>0.65</v>
      </c>
      <c r="D46" s="59" t="s">
        <v>206</v>
      </c>
    </row>
    <row r="47" spans="1:5" ht="18.75" x14ac:dyDescent="0.35">
      <c r="A47" s="59" t="s">
        <v>300</v>
      </c>
      <c r="B47" s="59" t="s">
        <v>299</v>
      </c>
      <c r="C47" s="105">
        <v>4</v>
      </c>
      <c r="D47" s="59" t="s">
        <v>75</v>
      </c>
    </row>
    <row r="48" spans="1:5" ht="18.75" x14ac:dyDescent="0.35">
      <c r="A48" s="66" t="s">
        <v>57</v>
      </c>
      <c r="B48" s="59" t="s">
        <v>54</v>
      </c>
      <c r="C48" s="65">
        <f>2*((iprms^2*(dcrp/1000))+2*(isrms^2*(dcrs/1000)))</f>
        <v>3.6162758923303739</v>
      </c>
      <c r="D48" s="59" t="s">
        <v>19</v>
      </c>
    </row>
    <row r="49" spans="1:6" ht="18.75" x14ac:dyDescent="0.35">
      <c r="A49" s="59" t="s">
        <v>58</v>
      </c>
      <c r="B49" s="59" t="s">
        <v>25</v>
      </c>
      <c r="C49" s="65">
        <f>pbudget-C48</f>
        <v>49.015303055038096</v>
      </c>
      <c r="D49" s="59" t="s">
        <v>19</v>
      </c>
      <c r="E49" s="95" t="str">
        <f>IF(C49&lt;0,"PBudget Cannot be Made with Selected Components","")</f>
        <v/>
      </c>
    </row>
    <row r="50" spans="1:6" x14ac:dyDescent="0.25">
      <c r="A50" s="91" t="s">
        <v>59</v>
      </c>
      <c r="B50" s="91"/>
      <c r="C50" s="91" t="s">
        <v>20</v>
      </c>
      <c r="D50" s="91"/>
      <c r="E50" s="91"/>
      <c r="F50" s="91"/>
    </row>
    <row r="51" spans="1:6" ht="18.75" x14ac:dyDescent="0.35">
      <c r="A51" s="66" t="s">
        <v>280</v>
      </c>
      <c r="B51" s="59" t="s">
        <v>70</v>
      </c>
      <c r="C51" s="4">
        <v>12.8</v>
      </c>
      <c r="D51" s="59" t="s">
        <v>18</v>
      </c>
    </row>
    <row r="52" spans="1:6" ht="18.75" x14ac:dyDescent="0.35">
      <c r="A52" s="59" t="s">
        <v>61</v>
      </c>
      <c r="B52" s="59" t="s">
        <v>60</v>
      </c>
      <c r="C52" s="4">
        <v>100</v>
      </c>
      <c r="D52" s="59" t="s">
        <v>206</v>
      </c>
    </row>
    <row r="53" spans="1:6" ht="18.75" x14ac:dyDescent="0.35">
      <c r="A53" s="59" t="s">
        <v>62</v>
      </c>
      <c r="B53" s="59" t="s">
        <v>64</v>
      </c>
      <c r="C53" s="4">
        <v>750</v>
      </c>
      <c r="D53" s="59" t="s">
        <v>63</v>
      </c>
    </row>
    <row r="54" spans="1:6" ht="18.75" x14ac:dyDescent="0.35">
      <c r="A54" s="59" t="s">
        <v>116</v>
      </c>
      <c r="B54" s="59" t="s">
        <v>71</v>
      </c>
      <c r="C54" s="4">
        <v>45</v>
      </c>
      <c r="D54" s="59" t="s">
        <v>72</v>
      </c>
    </row>
    <row r="55" spans="1:6" ht="36" x14ac:dyDescent="0.35">
      <c r="A55" s="61" t="s">
        <v>117</v>
      </c>
      <c r="B55" s="59" t="s">
        <v>65</v>
      </c>
      <c r="C55" s="4">
        <v>25</v>
      </c>
      <c r="D55" s="59" t="s">
        <v>18</v>
      </c>
    </row>
    <row r="56" spans="1:6" ht="18.75" x14ac:dyDescent="0.35">
      <c r="A56" s="59" t="s">
        <v>66</v>
      </c>
      <c r="B56" s="59" t="s">
        <v>67</v>
      </c>
      <c r="C56" s="67">
        <f>C53*((C55/VINMAX)^0.5)</f>
        <v>185.19929937179805</v>
      </c>
      <c r="D56" s="59" t="s">
        <v>63</v>
      </c>
    </row>
    <row r="57" spans="1:6" ht="18.75" x14ac:dyDescent="0.35">
      <c r="A57" s="59" t="s">
        <v>69</v>
      </c>
      <c r="B57" s="59" t="s">
        <v>68</v>
      </c>
      <c r="C57" s="64">
        <f>((iprms^2)*(rdsonqa/1000))+(2*(QAg*0.000000001)*vg*(fs*1000/2))</f>
        <v>2.6520900355778254</v>
      </c>
      <c r="D57" s="59" t="s">
        <v>19</v>
      </c>
    </row>
    <row r="58" spans="1:6" ht="18.75" x14ac:dyDescent="0.35">
      <c r="A58" s="59" t="s">
        <v>58</v>
      </c>
      <c r="B58" s="59" t="s">
        <v>25</v>
      </c>
      <c r="C58" s="64">
        <f>C49-4*C57</f>
        <v>38.406942912726791</v>
      </c>
      <c r="D58" s="59" t="s">
        <v>19</v>
      </c>
      <c r="E58" s="95" t="str">
        <f>IF(C58&lt;0,"PBudget Cannot be Made with Selected Components","")</f>
        <v/>
      </c>
    </row>
    <row r="59" spans="1:6" ht="18.75" x14ac:dyDescent="0.35">
      <c r="A59" s="91" t="s">
        <v>283</v>
      </c>
      <c r="B59" s="63"/>
      <c r="C59" s="68"/>
      <c r="D59" s="63"/>
      <c r="E59" s="91"/>
      <c r="F59" s="91"/>
    </row>
    <row r="60" spans="1:6" ht="18.75" x14ac:dyDescent="0.35">
      <c r="A60" s="59" t="s">
        <v>86</v>
      </c>
      <c r="B60" s="59" t="s">
        <v>74</v>
      </c>
      <c r="C60" s="65">
        <f>(((2*cossqaavg*0.000000000001)*((vin)^2)/((ipp/2)-(dilout/(2*_ta1)))^2)*1000000)-llk</f>
        <v>7.500251921571067</v>
      </c>
      <c r="D60" s="59" t="s">
        <v>75</v>
      </c>
      <c r="E60" s="95" t="str">
        <f>IF(C60&lt;0,"Calculated Ls is Negative and Ls Might Not be Needed, However, Leave a Place Holder for Ls Just in Case","")</f>
        <v/>
      </c>
    </row>
    <row r="61" spans="1:6" ht="18.75" x14ac:dyDescent="0.35">
      <c r="A61" s="59" t="s">
        <v>173</v>
      </c>
      <c r="B61" s="59" t="s">
        <v>74</v>
      </c>
      <c r="C61" s="105">
        <v>10</v>
      </c>
      <c r="D61" s="59" t="s">
        <v>75</v>
      </c>
    </row>
    <row r="62" spans="1:6" ht="18.75" x14ac:dyDescent="0.35">
      <c r="A62" s="59" t="s">
        <v>77</v>
      </c>
      <c r="B62" s="59" t="s">
        <v>76</v>
      </c>
      <c r="C62" s="105">
        <v>3.7</v>
      </c>
      <c r="D62" s="59" t="s">
        <v>206</v>
      </c>
    </row>
    <row r="63" spans="1:6" ht="18.75" x14ac:dyDescent="0.35">
      <c r="A63" s="59" t="s">
        <v>78</v>
      </c>
      <c r="B63" s="59" t="s">
        <v>79</v>
      </c>
      <c r="C63" s="64">
        <f>2*iprms^2*(C62*0.001)</f>
        <v>0.17920506263275909</v>
      </c>
      <c r="D63" s="59" t="s">
        <v>19</v>
      </c>
    </row>
    <row r="64" spans="1:6" ht="18.75" x14ac:dyDescent="0.35">
      <c r="A64" s="59" t="s">
        <v>58</v>
      </c>
      <c r="B64" s="59" t="s">
        <v>25</v>
      </c>
      <c r="C64" s="64">
        <f>C58-C63</f>
        <v>38.22773785009403</v>
      </c>
      <c r="D64" s="59" t="s">
        <v>19</v>
      </c>
      <c r="E64" s="95" t="str">
        <f>IF(C64&lt;0,"PBudget Cannot be Made with Selected Components","")</f>
        <v/>
      </c>
    </row>
    <row r="65" spans="1:6" ht="18.75" x14ac:dyDescent="0.35">
      <c r="A65" s="91" t="s">
        <v>284</v>
      </c>
      <c r="B65" s="63"/>
      <c r="C65" s="68"/>
      <c r="D65" s="63"/>
      <c r="E65" s="91"/>
      <c r="F65" s="91"/>
    </row>
    <row r="66" spans="1:6" ht="18.75" x14ac:dyDescent="0.35">
      <c r="A66" s="59" t="s">
        <v>87</v>
      </c>
      <c r="B66" s="59" t="s">
        <v>80</v>
      </c>
      <c r="C66" s="65">
        <f>((VOUT*(1-dtyp))/(dilout*fs))*1000</f>
        <v>3.3936016949152537</v>
      </c>
      <c r="D66" s="59" t="s">
        <v>75</v>
      </c>
    </row>
    <row r="67" spans="1:6" ht="18.75" x14ac:dyDescent="0.35">
      <c r="A67" s="59" t="s">
        <v>84</v>
      </c>
      <c r="B67" s="59" t="s">
        <v>85</v>
      </c>
      <c r="C67" s="64">
        <f>((pout/VOUT)^2+(dilout/(3^0.5))^2)^0.5</f>
        <v>35.570480260404004</v>
      </c>
      <c r="D67" s="59" t="s">
        <v>35</v>
      </c>
    </row>
    <row r="68" spans="1:6" ht="18.75" x14ac:dyDescent="0.35">
      <c r="A68" s="59" t="s">
        <v>174</v>
      </c>
      <c r="B68" s="59" t="s">
        <v>80</v>
      </c>
      <c r="C68" s="105">
        <v>4.7</v>
      </c>
      <c r="D68" s="59" t="s">
        <v>75</v>
      </c>
      <c r="E68" s="59" t="str">
        <f>IF(lout&lt;(C66*0.9),"Lout needs to be &gt; or = Lout Calculated","")</f>
        <v/>
      </c>
    </row>
    <row r="69" spans="1:6" ht="18.75" x14ac:dyDescent="0.35">
      <c r="A69" s="59" t="s">
        <v>265</v>
      </c>
      <c r="B69" s="59" t="s">
        <v>81</v>
      </c>
      <c r="C69" s="105">
        <v>1.86</v>
      </c>
      <c r="D69" s="59" t="s">
        <v>206</v>
      </c>
    </row>
    <row r="70" spans="1:6" ht="18.75" x14ac:dyDescent="0.35">
      <c r="A70" s="59" t="s">
        <v>82</v>
      </c>
      <c r="B70" s="59" t="s">
        <v>83</v>
      </c>
      <c r="C70" s="59">
        <f>2*iloutrms^2*dcrlout*0.001</f>
        <v>4.7067637253555423</v>
      </c>
      <c r="D70" s="59" t="s">
        <v>19</v>
      </c>
    </row>
    <row r="71" spans="1:6" ht="18.75" x14ac:dyDescent="0.35">
      <c r="A71" s="59" t="s">
        <v>58</v>
      </c>
      <c r="B71" s="59" t="s">
        <v>25</v>
      </c>
      <c r="C71" s="64">
        <f>C64-C70</f>
        <v>33.520974124738487</v>
      </c>
      <c r="D71" s="59" t="s">
        <v>19</v>
      </c>
      <c r="E71" s="95" t="str">
        <f>IF(C71&lt;0,"PBudget Cannot be Made with Selected Components","")</f>
        <v/>
      </c>
    </row>
    <row r="72" spans="1:6" ht="18.75" x14ac:dyDescent="0.35">
      <c r="A72" s="91" t="s">
        <v>285</v>
      </c>
      <c r="B72" s="63"/>
      <c r="C72" s="68"/>
      <c r="D72" s="63"/>
      <c r="E72" s="91"/>
      <c r="F72" s="91"/>
    </row>
    <row r="73" spans="1:6" ht="18.75" x14ac:dyDescent="0.35">
      <c r="A73" s="59" t="s">
        <v>89</v>
      </c>
      <c r="B73" s="59" t="s">
        <v>88</v>
      </c>
      <c r="C73" s="59">
        <f>((lout*pout*0.9)/VOUT)/VOUT</f>
        <v>5.281624193085193</v>
      </c>
      <c r="D73" s="59" t="s">
        <v>90</v>
      </c>
    </row>
    <row r="74" spans="1:6" ht="18.75" x14ac:dyDescent="0.35">
      <c r="A74" s="59" t="s">
        <v>207</v>
      </c>
      <c r="B74" s="59" t="s">
        <v>91</v>
      </c>
      <c r="C74" s="59">
        <f>((VTRAN*0.9)/((pout*0.9)/VOUT))*10^3</f>
        <v>25.470000000000002</v>
      </c>
      <c r="D74" s="59" t="s">
        <v>206</v>
      </c>
    </row>
    <row r="75" spans="1:6" ht="18.75" x14ac:dyDescent="0.35">
      <c r="A75" s="59" t="s">
        <v>208</v>
      </c>
      <c r="B75" s="59" t="s">
        <v>92</v>
      </c>
      <c r="C75" s="59">
        <f>(pout*0.9*thu)/(VOUT*VTRAN*0.1)</f>
        <v>1866.2983014435308</v>
      </c>
      <c r="D75" s="59" t="s">
        <v>93</v>
      </c>
    </row>
    <row r="76" spans="1:6" ht="18.75" x14ac:dyDescent="0.35">
      <c r="A76" s="59" t="s">
        <v>99</v>
      </c>
      <c r="B76" s="59" t="s">
        <v>98</v>
      </c>
      <c r="C76" s="64">
        <f>dilout/(3^0.5)</f>
        <v>4.0802139165344578</v>
      </c>
      <c r="D76" s="59" t="s">
        <v>35</v>
      </c>
    </row>
    <row r="77" spans="1:6" x14ac:dyDescent="0.25">
      <c r="A77" s="59" t="s">
        <v>176</v>
      </c>
      <c r="B77" s="59" t="s">
        <v>94</v>
      </c>
      <c r="C77" s="4">
        <v>8</v>
      </c>
    </row>
    <row r="78" spans="1:6" x14ac:dyDescent="0.25">
      <c r="A78" s="59" t="s">
        <v>95</v>
      </c>
      <c r="C78" s="4">
        <v>15</v>
      </c>
      <c r="D78" s="59" t="s">
        <v>93</v>
      </c>
    </row>
    <row r="79" spans="1:6" x14ac:dyDescent="0.25">
      <c r="A79" s="59" t="s">
        <v>96</v>
      </c>
      <c r="C79" s="4">
        <v>70</v>
      </c>
      <c r="D79" s="59" t="s">
        <v>206</v>
      </c>
    </row>
    <row r="80" spans="1:6" ht="18.75" x14ac:dyDescent="0.35">
      <c r="A80" s="59" t="s">
        <v>97</v>
      </c>
      <c r="B80" s="59" t="s">
        <v>92</v>
      </c>
      <c r="C80" s="59">
        <f>C77*C78</f>
        <v>120</v>
      </c>
      <c r="D80" s="59" t="s">
        <v>93</v>
      </c>
    </row>
    <row r="81" spans="1:6" ht="18.75" x14ac:dyDescent="0.35">
      <c r="A81" s="59" t="s">
        <v>266</v>
      </c>
      <c r="B81" s="59" t="s">
        <v>91</v>
      </c>
      <c r="C81" s="65">
        <f>C79/C77</f>
        <v>8.75</v>
      </c>
      <c r="D81" s="59" t="s">
        <v>206</v>
      </c>
    </row>
    <row r="82" spans="1:6" ht="18.75" x14ac:dyDescent="0.35">
      <c r="A82" s="59" t="s">
        <v>100</v>
      </c>
      <c r="B82" s="59" t="s">
        <v>101</v>
      </c>
      <c r="C82" s="64">
        <f>(C76^2)*C81*0.001</f>
        <v>0.14567127404096278</v>
      </c>
      <c r="D82" s="59" t="s">
        <v>19</v>
      </c>
    </row>
    <row r="83" spans="1:6" ht="18.75" x14ac:dyDescent="0.35">
      <c r="A83" s="59" t="s">
        <v>58</v>
      </c>
      <c r="B83" s="59" t="s">
        <v>25</v>
      </c>
      <c r="C83" s="64">
        <f>C71-C82</f>
        <v>33.375302850697523</v>
      </c>
      <c r="D83" s="59" t="s">
        <v>19</v>
      </c>
      <c r="E83" s="95" t="str">
        <f>IF(C83&lt;0,"PBudget Cannot be Made with Selected Components","")</f>
        <v/>
      </c>
    </row>
    <row r="84" spans="1:6" x14ac:dyDescent="0.25">
      <c r="A84" s="91" t="s">
        <v>110</v>
      </c>
      <c r="B84" s="63"/>
      <c r="C84" s="63"/>
      <c r="D84" s="63"/>
      <c r="E84" s="91"/>
      <c r="F84" s="91"/>
    </row>
    <row r="85" spans="1:6" ht="18.75" x14ac:dyDescent="0.35">
      <c r="A85" s="59" t="s">
        <v>136</v>
      </c>
      <c r="B85" s="59" t="s">
        <v>118</v>
      </c>
      <c r="C85" s="5">
        <f>VINMAX/_taa1</f>
        <v>45.555555555555557</v>
      </c>
      <c r="D85" s="59" t="s">
        <v>18</v>
      </c>
    </row>
    <row r="86" spans="1:6" ht="18.75" x14ac:dyDescent="0.35">
      <c r="A86" s="59" t="s">
        <v>113</v>
      </c>
      <c r="B86" s="59" t="s">
        <v>111</v>
      </c>
      <c r="C86" s="4">
        <v>35</v>
      </c>
      <c r="D86" s="59" t="s">
        <v>72</v>
      </c>
    </row>
    <row r="87" spans="1:6" ht="18.75" x14ac:dyDescent="0.35">
      <c r="A87" s="59" t="s">
        <v>267</v>
      </c>
      <c r="B87" s="59" t="s">
        <v>112</v>
      </c>
      <c r="C87" s="4">
        <v>5.5</v>
      </c>
      <c r="D87" s="59" t="s">
        <v>206</v>
      </c>
    </row>
    <row r="88" spans="1:6" ht="18.75" x14ac:dyDescent="0.35">
      <c r="A88" s="59" t="s">
        <v>120</v>
      </c>
      <c r="B88" s="59" t="s">
        <v>119</v>
      </c>
      <c r="C88" s="4">
        <v>75</v>
      </c>
      <c r="D88" s="59" t="s">
        <v>18</v>
      </c>
    </row>
    <row r="89" spans="1:6" ht="18.75" x14ac:dyDescent="0.35">
      <c r="A89" s="59" t="s">
        <v>122</v>
      </c>
      <c r="B89" s="59" t="s">
        <v>121</v>
      </c>
      <c r="C89" s="4">
        <v>685</v>
      </c>
      <c r="D89" s="59" t="s">
        <v>63</v>
      </c>
    </row>
    <row r="90" spans="1:6" ht="18.75" x14ac:dyDescent="0.35">
      <c r="A90" s="59" t="s">
        <v>124</v>
      </c>
      <c r="B90" s="59" t="s">
        <v>123</v>
      </c>
      <c r="C90" s="67">
        <f>C89*((C85/C88)^0.5)</f>
        <v>533.86397213217219</v>
      </c>
      <c r="D90" s="59" t="s">
        <v>63</v>
      </c>
    </row>
    <row r="91" spans="1:6" ht="18.75" x14ac:dyDescent="0.35">
      <c r="A91" s="59" t="s">
        <v>125</v>
      </c>
      <c r="B91" s="59" t="s">
        <v>126</v>
      </c>
      <c r="C91" s="64">
        <f>isrms</f>
        <v>25.41141372772444</v>
      </c>
      <c r="D91" s="59" t="s">
        <v>35</v>
      </c>
    </row>
    <row r="92" spans="1:6" ht="18.75" x14ac:dyDescent="0.35">
      <c r="A92" s="59" t="s">
        <v>129</v>
      </c>
      <c r="B92" s="59" t="s">
        <v>127</v>
      </c>
      <c r="C92" s="4">
        <v>18.5</v>
      </c>
      <c r="D92" s="59" t="s">
        <v>72</v>
      </c>
    </row>
    <row r="93" spans="1:6" ht="18.75" x14ac:dyDescent="0.35">
      <c r="A93" s="59" t="s">
        <v>268</v>
      </c>
      <c r="B93" s="59" t="s">
        <v>128</v>
      </c>
      <c r="C93" s="4">
        <v>12</v>
      </c>
      <c r="D93" s="59" t="s">
        <v>72</v>
      </c>
    </row>
    <row r="94" spans="1:6" ht="18.75" x14ac:dyDescent="0.35">
      <c r="A94" s="59" t="s">
        <v>130</v>
      </c>
      <c r="B94" s="59" t="s">
        <v>131</v>
      </c>
      <c r="C94" s="3">
        <v>4</v>
      </c>
      <c r="D94" s="59" t="s">
        <v>35</v>
      </c>
    </row>
    <row r="95" spans="1:6" ht="18.75" x14ac:dyDescent="0.35">
      <c r="A95" s="59" t="s">
        <v>269</v>
      </c>
      <c r="B95" s="59" t="s">
        <v>132</v>
      </c>
      <c r="C95" s="59">
        <f>(C92-C93)/(C94/2)</f>
        <v>3.25</v>
      </c>
      <c r="D95" s="59" t="s">
        <v>133</v>
      </c>
    </row>
    <row r="96" spans="1:6" ht="18.75" x14ac:dyDescent="0.35">
      <c r="A96" s="59" t="s">
        <v>134</v>
      </c>
      <c r="B96" s="59" t="s">
        <v>135</v>
      </c>
      <c r="C96" s="64">
        <f>((isrms^2)*(rdsonqe*0.001))+(pout/VOUT)*vdsqe*(2*tr*0.000000001)*((fs*1000)/2)+(2*(cossqeavg*0.000000000001)*(vdsqe^2)*((fs*1000)/2))+(2*(qeg*0.000000001)*vg*((fs*1000)/2))</f>
        <v>6.2666007470845555</v>
      </c>
      <c r="D96" s="59" t="s">
        <v>19</v>
      </c>
    </row>
    <row r="97" spans="1:6" ht="18.75" x14ac:dyDescent="0.35">
      <c r="A97" s="61" t="s">
        <v>58</v>
      </c>
      <c r="B97" s="59" t="s">
        <v>25</v>
      </c>
      <c r="C97" s="64">
        <f>C83-2*C96</f>
        <v>20.84210135652841</v>
      </c>
      <c r="D97" s="59" t="s">
        <v>19</v>
      </c>
      <c r="E97" s="95" t="str">
        <f>IF(C97&lt;0,"PBudget Cannot be Made with Selected Components","")</f>
        <v/>
      </c>
    </row>
    <row r="98" spans="1:6" ht="18.75" x14ac:dyDescent="0.35">
      <c r="A98" s="91" t="s">
        <v>286</v>
      </c>
      <c r="B98" s="63"/>
      <c r="C98" s="68"/>
      <c r="D98" s="63"/>
      <c r="E98" s="91"/>
      <c r="F98" s="91"/>
    </row>
    <row r="99" spans="1:6" hidden="1" x14ac:dyDescent="0.25">
      <c r="A99" s="61" t="s">
        <v>167</v>
      </c>
      <c r="B99" s="59" t="s">
        <v>166</v>
      </c>
      <c r="C99" s="64">
        <f>1/(2*PI()*(ls*0.000001*2*cossqaavg*0.000000000001)^0.5)</f>
        <v>2615082.9196207519</v>
      </c>
      <c r="D99" s="59" t="s">
        <v>20</v>
      </c>
    </row>
    <row r="100" spans="1:6" ht="18.75" x14ac:dyDescent="0.35">
      <c r="A100" s="61" t="s">
        <v>168</v>
      </c>
      <c r="B100" s="59" t="s">
        <v>165</v>
      </c>
      <c r="C100" s="67">
        <f>2.2*1000000000/(C99*4)</f>
        <v>210.3183787685642</v>
      </c>
      <c r="D100" s="59" t="s">
        <v>133</v>
      </c>
    </row>
    <row r="101" spans="1:6" hidden="1" x14ac:dyDescent="0.25">
      <c r="A101" s="61" t="s">
        <v>171</v>
      </c>
      <c r="B101" s="59" t="s">
        <v>172</v>
      </c>
      <c r="C101" s="69">
        <f>1/(fs*1000)</f>
        <v>2.5000000000000002E-6</v>
      </c>
      <c r="E101" s="59" t="s">
        <v>20</v>
      </c>
    </row>
    <row r="102" spans="1:6" ht="18.75" x14ac:dyDescent="0.35">
      <c r="A102" s="61" t="s">
        <v>170</v>
      </c>
      <c r="B102" s="59" t="s">
        <v>169</v>
      </c>
      <c r="C102" s="70">
        <f>(C101-C100*0.000000001)/C101</f>
        <v>0.91587264849257433</v>
      </c>
    </row>
    <row r="103" spans="1:6" ht="18.75" x14ac:dyDescent="0.35">
      <c r="A103" s="59" t="s">
        <v>103</v>
      </c>
      <c r="B103" s="59" t="s">
        <v>102</v>
      </c>
      <c r="C103" s="64">
        <f>((2*dclamp*vrdson)+(_taa1*(VOUT+vrdson)))/dclamp</f>
        <v>281.64344029014529</v>
      </c>
      <c r="D103" s="59" t="s">
        <v>18</v>
      </c>
    </row>
    <row r="104" spans="1:6" ht="18.75" x14ac:dyDescent="0.35">
      <c r="A104" s="59" t="s">
        <v>105</v>
      </c>
      <c r="B104" s="59" t="s">
        <v>104</v>
      </c>
      <c r="C104" s="67">
        <f>((2*pout*(1/60))/(vin^2-C103^2))*1000000</f>
        <v>458.02033485675884</v>
      </c>
      <c r="D104" s="59" t="s">
        <v>93</v>
      </c>
      <c r="E104" s="95" t="str">
        <f>IF(VINMIN&lt;200,"Non-PFC Cin Capacitance Cannot Be Calculated, Use Other Method","")</f>
        <v/>
      </c>
    </row>
    <row r="105" spans="1:6" ht="18.75" x14ac:dyDescent="0.35">
      <c r="A105" s="59" t="s">
        <v>106</v>
      </c>
      <c r="B105" s="59" t="s">
        <v>107</v>
      </c>
      <c r="C105" s="64">
        <f>(    (iprms1^2)    -(        ( pout/(VINMIN*Eff)       )   ^2)           )^0.5</f>
        <v>2.7436216939841005</v>
      </c>
      <c r="D105" s="59" t="s">
        <v>35</v>
      </c>
    </row>
    <row r="106" spans="1:6" ht="18.75" x14ac:dyDescent="0.35">
      <c r="A106" s="59" t="s">
        <v>177</v>
      </c>
      <c r="B106" s="59" t="s">
        <v>104</v>
      </c>
      <c r="C106" s="4">
        <v>720</v>
      </c>
      <c r="D106" s="59" t="s">
        <v>93</v>
      </c>
    </row>
    <row r="107" spans="1:6" ht="18.75" x14ac:dyDescent="0.35">
      <c r="A107" s="59" t="s">
        <v>270</v>
      </c>
      <c r="B107" s="59" t="s">
        <v>108</v>
      </c>
      <c r="C107" s="4">
        <v>100</v>
      </c>
      <c r="D107" s="59" t="s">
        <v>206</v>
      </c>
    </row>
    <row r="108" spans="1:6" ht="18.75" x14ac:dyDescent="0.35">
      <c r="A108" s="59" t="s">
        <v>271</v>
      </c>
      <c r="B108" s="59" t="s">
        <v>109</v>
      </c>
      <c r="C108" s="64">
        <f>(C105^2)*(C107*0.001)</f>
        <v>0.75274599997001856</v>
      </c>
      <c r="D108" s="59" t="s">
        <v>19</v>
      </c>
    </row>
    <row r="109" spans="1:6" ht="54.75" customHeight="1" x14ac:dyDescent="0.35">
      <c r="A109" s="61" t="s">
        <v>287</v>
      </c>
      <c r="B109" s="59" t="s">
        <v>25</v>
      </c>
      <c r="C109" s="64">
        <f>C97-C108</f>
        <v>20.089355356558393</v>
      </c>
      <c r="D109" s="59" t="s">
        <v>19</v>
      </c>
      <c r="E109" s="95" t="str">
        <f>IF(C109&lt;0,"PBudget Cannot be Made with Selected Components","")</f>
        <v/>
      </c>
    </row>
    <row r="110" spans="1:6" ht="18.75" x14ac:dyDescent="0.35">
      <c r="A110" s="91" t="s">
        <v>295</v>
      </c>
      <c r="B110" s="91"/>
      <c r="C110" s="94" t="s">
        <v>20</v>
      </c>
      <c r="D110" s="91" t="s">
        <v>20</v>
      </c>
      <c r="E110" s="91" t="s">
        <v>20</v>
      </c>
      <c r="F110" s="91"/>
    </row>
    <row r="111" spans="1:6" ht="18.75" x14ac:dyDescent="0.35">
      <c r="A111" s="59" t="s">
        <v>138</v>
      </c>
      <c r="B111" s="59" t="s">
        <v>137</v>
      </c>
      <c r="C111" s="4">
        <v>100</v>
      </c>
    </row>
    <row r="112" spans="1:6" ht="18.75" x14ac:dyDescent="0.35">
      <c r="A112" s="59" t="s">
        <v>159</v>
      </c>
      <c r="B112" s="59" t="s">
        <v>158</v>
      </c>
      <c r="C112" s="5">
        <f>((pout/(VOUT)+(dilout/2))/(Eff*_taa1))+((VINMIN*dmax)/(lmag2*fs))</f>
        <v>5.1029302228158473</v>
      </c>
      <c r="D112" s="59" t="s">
        <v>35</v>
      </c>
      <c r="E112" s="59" t="s">
        <v>20</v>
      </c>
    </row>
    <row r="113" spans="1:6" ht="18.75" x14ac:dyDescent="0.35">
      <c r="A113" s="59" t="s">
        <v>156</v>
      </c>
      <c r="B113" s="59" t="s">
        <v>155</v>
      </c>
      <c r="C113" s="64">
        <f>(2-0.2)/((_ipp1/_ta2)*1.1)</f>
        <v>32.067137211621024</v>
      </c>
      <c r="D113" s="59" t="s">
        <v>157</v>
      </c>
    </row>
    <row r="114" spans="1:6" ht="18.75" x14ac:dyDescent="0.35">
      <c r="A114" s="59" t="s">
        <v>297</v>
      </c>
      <c r="B114" s="59" t="s">
        <v>155</v>
      </c>
      <c r="C114" s="59">
        <f>(IF((10^(LOG(C113)-INT(LOG(C113)))*100)-VLOOKUP((10^(LOG(C113)-INT(LOG(C113)))*100),E48_s:E48_f,1)&lt;VLOOKUP((10^(LOG(C113)-INT(LOG(C113)))*100),E48_s:E48_f,2)-(10^(LOG(C113)-INT(LOG(C113)))*100),VLOOKUP((10^(LOG(C113)-INT(LOG(C113)))*100),E48_s:E48_f,1),VLOOKUP((10^(LOG(C113)-INT(LOG(C113)))*100),E48_s:E48_f,2)))*10^INT(LOG(C113))/100</f>
        <v>31.6</v>
      </c>
      <c r="D114" s="59" t="s">
        <v>157</v>
      </c>
    </row>
    <row r="115" spans="1:6" ht="18.75" x14ac:dyDescent="0.35">
      <c r="A115" s="59" t="s">
        <v>160</v>
      </c>
      <c r="B115" s="59" t="s">
        <v>155</v>
      </c>
      <c r="C115" s="4">
        <v>33</v>
      </c>
      <c r="D115" s="59" t="s">
        <v>157</v>
      </c>
      <c r="E115" s="59" t="s">
        <v>20</v>
      </c>
    </row>
    <row r="116" spans="1:6" ht="18.75" x14ac:dyDescent="0.35">
      <c r="A116" s="59" t="s">
        <v>161</v>
      </c>
      <c r="B116" s="59" t="s">
        <v>162</v>
      </c>
      <c r="C116" s="65">
        <f>((iprms1/_ta2)^2)*C115</f>
        <v>5.468967673607885E-2</v>
      </c>
      <c r="D116" s="59" t="s">
        <v>19</v>
      </c>
    </row>
    <row r="117" spans="1:6" ht="18.75" x14ac:dyDescent="0.35">
      <c r="A117" s="59" t="s">
        <v>164</v>
      </c>
      <c r="B117" s="59" t="s">
        <v>163</v>
      </c>
      <c r="C117" s="64">
        <f>(2*(dclamp))/(1-dclamp)</f>
        <v>21.773481087461381</v>
      </c>
      <c r="D117" s="59" t="s">
        <v>18</v>
      </c>
    </row>
    <row r="118" spans="1:6" ht="18.75" x14ac:dyDescent="0.35">
      <c r="A118" s="59" t="s">
        <v>178</v>
      </c>
      <c r="B118" s="59" t="s">
        <v>179</v>
      </c>
      <c r="C118" s="65">
        <f>(pout*0.6)/(VINMIN*Eff*_ta2)</f>
        <v>1.8045112781954888E-2</v>
      </c>
      <c r="D118" s="59" t="s">
        <v>19</v>
      </c>
    </row>
    <row r="119" spans="1:6" ht="18.75" x14ac:dyDescent="0.35">
      <c r="A119" s="91" t="s">
        <v>288</v>
      </c>
      <c r="B119" s="63"/>
      <c r="C119" s="63"/>
      <c r="D119" s="63"/>
      <c r="E119" s="91" t="s">
        <v>20</v>
      </c>
      <c r="F119" s="91"/>
    </row>
    <row r="120" spans="1:6" x14ac:dyDescent="0.25">
      <c r="A120" s="59" t="s">
        <v>272</v>
      </c>
      <c r="B120" s="59" t="s">
        <v>180</v>
      </c>
      <c r="C120" s="4">
        <v>2.5</v>
      </c>
      <c r="D120" s="59" t="s">
        <v>18</v>
      </c>
      <c r="E120" s="95" t="str">
        <f>IF(_va1&gt;VOUT,"V1 Needs to be &lt; VOUT",IF(_va1=VOUT,"V1 Needs to be &lt; VOUT",""))</f>
        <v/>
      </c>
      <c r="F120" s="95"/>
    </row>
    <row r="121" spans="1:6" ht="18.75" x14ac:dyDescent="0.35">
      <c r="A121" s="59" t="s">
        <v>182</v>
      </c>
      <c r="B121" s="59" t="s">
        <v>181</v>
      </c>
      <c r="C121" s="4">
        <v>10</v>
      </c>
      <c r="D121" s="59" t="s">
        <v>209</v>
      </c>
      <c r="E121" s="95" t="str">
        <f>IF(_va1&lt;0.5,"V1 Needs to be Greater than 0.5","")</f>
        <v/>
      </c>
    </row>
    <row r="122" spans="1:6" ht="18.75" x14ac:dyDescent="0.35">
      <c r="A122" s="59" t="s">
        <v>184</v>
      </c>
      <c r="B122" s="59" t="s">
        <v>183</v>
      </c>
      <c r="C122" s="59">
        <f>C121*(5-C120)/C120</f>
        <v>10</v>
      </c>
      <c r="D122" s="59" t="s">
        <v>209</v>
      </c>
    </row>
    <row r="123" spans="1:6" ht="18.75" x14ac:dyDescent="0.35">
      <c r="A123" s="59" t="s">
        <v>297</v>
      </c>
      <c r="B123" s="59" t="s">
        <v>183</v>
      </c>
      <c r="C123" s="59">
        <f>(IF((10^(LOG(C122)-INT(LOG(C122)))*100)-VLOOKUP((10^(LOG(C122)-INT(LOG(C122)))*100),E48_s:E48_f,1)&lt;VLOOKUP((10^(LOG(C122)-INT(LOG(C122)))*100),E48_s:E48_f,2)-(10^(LOG(C122)-INT(LOG(C122)))*100),VLOOKUP((10^(LOG(C122)-INT(LOG(C122)))*100),E48_s:E48_f,1),VLOOKUP((10^(LOG(C122)-INT(LOG(C122)))*100),E48_s:E48_f,2)))*10^INT(LOG(C122))/100</f>
        <v>10</v>
      </c>
      <c r="D123" s="59" t="s">
        <v>209</v>
      </c>
    </row>
    <row r="124" spans="1:6" ht="18.75" x14ac:dyDescent="0.35">
      <c r="A124" s="59" t="s">
        <v>325</v>
      </c>
      <c r="B124" s="59" t="s">
        <v>183</v>
      </c>
      <c r="C124" s="4">
        <v>10</v>
      </c>
      <c r="D124" s="59" t="s">
        <v>209</v>
      </c>
    </row>
    <row r="125" spans="1:6" ht="18.75" x14ac:dyDescent="0.35">
      <c r="A125" s="59" t="s">
        <v>182</v>
      </c>
      <c r="B125" s="59" t="s">
        <v>185</v>
      </c>
      <c r="C125" s="4">
        <v>2.1</v>
      </c>
      <c r="D125" s="59" t="s">
        <v>209</v>
      </c>
    </row>
    <row r="126" spans="1:6" ht="18.75" x14ac:dyDescent="0.35">
      <c r="A126" s="59" t="s">
        <v>184</v>
      </c>
      <c r="B126" s="59" t="s">
        <v>186</v>
      </c>
      <c r="C126" s="65">
        <f>C125*(VOUT-_va1)/_va1</f>
        <v>21.672000000000004</v>
      </c>
      <c r="D126" s="59" t="s">
        <v>209</v>
      </c>
    </row>
    <row r="127" spans="1:6" ht="18.75" x14ac:dyDescent="0.35">
      <c r="A127" s="59" t="s">
        <v>297</v>
      </c>
      <c r="B127" s="59" t="s">
        <v>186</v>
      </c>
      <c r="C127" s="59">
        <f>(IF((10^(LOG(C126)-INT(LOG(C126)))*100)-VLOOKUP((10^(LOG(C126)-INT(LOG(C126)))*100),E48_s:E48_f,1)&lt;VLOOKUP((10^(LOG(C126)-INT(LOG(C126)))*100),E48_s:E48_f,2)-(10^(LOG(C126)-INT(LOG(C126)))*100),VLOOKUP((10^(LOG(C126)-INT(LOG(C126)))*100),E48_s:E48_f,1),VLOOKUP((10^(LOG(C126)-INT(LOG(C126)))*100),E48_s:E48_f,2)))*10^INT(LOG(C126))/100</f>
        <v>21.5</v>
      </c>
      <c r="D127" s="59" t="s">
        <v>209</v>
      </c>
    </row>
    <row r="128" spans="1:6" ht="18.75" x14ac:dyDescent="0.35">
      <c r="A128" s="59" t="s">
        <v>325</v>
      </c>
      <c r="B128" s="59" t="s">
        <v>186</v>
      </c>
      <c r="C128" s="4">
        <v>21.75</v>
      </c>
      <c r="D128" s="59" t="s">
        <v>209</v>
      </c>
    </row>
    <row r="129" spans="1:5" ht="18.75" x14ac:dyDescent="0.35">
      <c r="A129" s="59" t="s">
        <v>281</v>
      </c>
      <c r="B129" s="59" t="s">
        <v>282</v>
      </c>
      <c r="C129" s="59">
        <f>fs/4</f>
        <v>100</v>
      </c>
      <c r="D129" s="59" t="s">
        <v>21</v>
      </c>
    </row>
    <row r="130" spans="1:5" ht="18.75" x14ac:dyDescent="0.35">
      <c r="A130" s="59" t="s">
        <v>188</v>
      </c>
      <c r="B130" s="59" t="s">
        <v>187</v>
      </c>
      <c r="C130" s="59">
        <f>fs/40</f>
        <v>10</v>
      </c>
      <c r="D130" s="59" t="s">
        <v>21</v>
      </c>
    </row>
    <row r="131" spans="1:5" ht="18.75" x14ac:dyDescent="0.35">
      <c r="A131" s="59" t="s">
        <v>273</v>
      </c>
      <c r="B131" s="59" t="s">
        <v>189</v>
      </c>
      <c r="C131" s="59">
        <f>(VOUT^2)/(pout*0.1)</f>
        <v>8.0089000000000006</v>
      </c>
      <c r="D131" s="59" t="s">
        <v>157</v>
      </c>
    </row>
    <row r="132" spans="1:5" hidden="1" x14ac:dyDescent="0.25">
      <c r="A132" s="58" t="s">
        <v>190</v>
      </c>
      <c r="B132" s="58" t="s">
        <v>191</v>
      </c>
      <c r="C132" s="58">
        <f>_ta1*_ta2*(rload/RS)</f>
        <v>207.54574719220173</v>
      </c>
      <c r="D132" s="59" t="s">
        <v>20</v>
      </c>
    </row>
    <row r="133" spans="1:5" hidden="1" x14ac:dyDescent="0.25">
      <c r="A133" s="86" t="s">
        <v>198</v>
      </c>
      <c r="B133" s="58"/>
      <c r="C133" s="58" t="str">
        <f>(COMPLEX(1,2*PI()*fc*1000*esrcout*0.001*cout*0.000001))</f>
        <v>1+0.0659734457253857i</v>
      </c>
    </row>
    <row r="134" spans="1:5" hidden="1" x14ac:dyDescent="0.25">
      <c r="A134" s="58" t="s">
        <v>192</v>
      </c>
      <c r="B134" s="58" t="s">
        <v>193</v>
      </c>
      <c r="C134" s="58" t="str">
        <f>IMDIV((COMPLEX(1,2*PI()*fc*1000*esrcout*0.001*cout*0.000001)),(COMPLEX(1,2*PI()*fc*1000*rload*cout*0.000001)))</f>
        <v>0.00136640060851482-0.0165375887742393i</v>
      </c>
    </row>
    <row r="135" spans="1:5" hidden="1" x14ac:dyDescent="0.25">
      <c r="A135" s="58" t="s">
        <v>194</v>
      </c>
      <c r="B135" s="58" t="s">
        <v>194</v>
      </c>
      <c r="C135" s="58" t="str">
        <f>IMDIV(1,(COMPLEX((1-(fc/fpp)^2),(fc/fpp))))</f>
        <v>0.999899000101-0.100999899000101i</v>
      </c>
    </row>
    <row r="136" spans="1:5" hidden="1" x14ac:dyDescent="0.25">
      <c r="A136" s="58" t="s">
        <v>195</v>
      </c>
      <c r="C136" s="58" t="str">
        <f>IMPRODUCT(n1divd1,d2a)</f>
        <v>-0.000304032193712007-0.0166739248028971i</v>
      </c>
      <c r="E136" s="58"/>
    </row>
    <row r="137" spans="1:5" hidden="1" x14ac:dyDescent="0.25">
      <c r="A137" s="58" t="s">
        <v>196</v>
      </c>
      <c r="C137" s="58" t="str">
        <f>IMPRODUCT(constant,C136)</f>
        <v>-0.0631005888144427-3.46060218184386i</v>
      </c>
    </row>
    <row r="138" spans="1:5" hidden="1" x14ac:dyDescent="0.25">
      <c r="A138" s="58" t="s">
        <v>197</v>
      </c>
      <c r="B138" s="58" t="s">
        <v>199</v>
      </c>
      <c r="C138" s="58">
        <f>IMABS(C137)</f>
        <v>3.4611774218163407</v>
      </c>
    </row>
    <row r="139" spans="1:5" ht="18.75" x14ac:dyDescent="0.35">
      <c r="A139" s="59" t="s">
        <v>201</v>
      </c>
      <c r="B139" s="59" t="s">
        <v>200</v>
      </c>
      <c r="C139" s="64">
        <f>RII/C138</f>
        <v>6.2839887556489771</v>
      </c>
      <c r="D139" s="59" t="s">
        <v>209</v>
      </c>
    </row>
    <row r="140" spans="1:5" ht="18.75" x14ac:dyDescent="0.35">
      <c r="A140" s="59" t="s">
        <v>297</v>
      </c>
      <c r="B140" s="59" t="s">
        <v>200</v>
      </c>
      <c r="C140" s="59">
        <f>(IF((10^(LOG(C139)-INT(LOG(C139)))*100)-VLOOKUP((10^(LOG(C139)-INT(LOG(C139)))*100),E48_s:E48_f,1)&lt;VLOOKUP((10^(LOG(C139)-INT(LOG(C139)))*100),E48_s:E48_f,2)-(10^(LOG(C139)-INT(LOG(C139)))*100),VLOOKUP((10^(LOG(C139)-INT(LOG(C139)))*100),E48_s:E48_f,1),VLOOKUP((10^(LOG(C139)-INT(LOG(C139)))*100),E48_s:E48_f,2)))*10^INT(LOG(C139))/100</f>
        <v>6.19</v>
      </c>
      <c r="D140" s="59" t="s">
        <v>209</v>
      </c>
    </row>
    <row r="141" spans="1:5" ht="18.75" x14ac:dyDescent="0.35">
      <c r="A141" s="59" t="s">
        <v>325</v>
      </c>
      <c r="B141" s="59" t="s">
        <v>200</v>
      </c>
      <c r="C141" s="4">
        <v>6.2</v>
      </c>
      <c r="D141" s="59" t="s">
        <v>209</v>
      </c>
    </row>
    <row r="142" spans="1:5" ht="18.75" x14ac:dyDescent="0.35">
      <c r="A142" s="59" t="s">
        <v>205</v>
      </c>
      <c r="B142" s="59" t="s">
        <v>202</v>
      </c>
      <c r="C142" s="64">
        <f>(1/(2*PI()*C141*(fc/5)))*10^3</f>
        <v>12.835076055798011</v>
      </c>
      <c r="D142" s="59" t="s">
        <v>203</v>
      </c>
      <c r="E142" s="64"/>
    </row>
    <row r="143" spans="1:5" ht="18" customHeight="1" x14ac:dyDescent="0.25">
      <c r="A143" s="59" t="s">
        <v>296</v>
      </c>
      <c r="B143" s="59" t="s">
        <v>211</v>
      </c>
      <c r="C143" s="71">
        <f>IF(C142&lt;10000,C144*10^INT(LOG(C142)),C145*10^INT(LOG(C142)))</f>
        <v>12</v>
      </c>
      <c r="D143" s="59" t="s">
        <v>203</v>
      </c>
    </row>
    <row r="144" spans="1:5" ht="18" hidden="1" customHeight="1" x14ac:dyDescent="0.25">
      <c r="A144" s="58" t="s">
        <v>212</v>
      </c>
      <c r="C144" s="72">
        <f>IF((10^(LOG(C142)-INT(LOG(C142))))-VLOOKUP((10^(LOG(C142)-INT(LOG(C142)))),c_s1:C_f1,1)&lt;VLOOKUP((10^(LOG(C142)-INT(LOG(C142)))),c_s1:C_f1,2)-(10^(LOG(C142)-INT(LOG(C142)))),VLOOKUP((10^(LOG(C142)-INT(LOG(C142)))),c_s1:C_f1,1),VLOOKUP((10^(LOG(C142)-INT(LOG(C142)))),c_s1:C_f1,2))</f>
        <v>1.2</v>
      </c>
    </row>
    <row r="145" spans="1:5" ht="18" hidden="1" customHeight="1" x14ac:dyDescent="0.25">
      <c r="A145" s="58" t="s">
        <v>213</v>
      </c>
      <c r="C145" s="72">
        <f>IF((10^(LOG(C142)-INT(LOG(C142))))-VLOOKUP((10^(LOG(C142)-INT(LOG(C142)))),C_s2:C_f2,1)&lt;VLOOKUP((10^(LOG(C142)-INT(LOG(C142)))),C_s2:C_f2,2)-(10^(LOG(C142)-INT(LOG(C142)))),VLOOKUP((10^(LOG(C142)-INT(LOG(C142)))),C_s2:C_f2,1),VLOOKUP((10^(LOG(C142)-INT(LOG(C142)))),C_s2:C_f2,2))</f>
        <v>1.5</v>
      </c>
    </row>
    <row r="146" spans="1:5" ht="18.75" x14ac:dyDescent="0.35">
      <c r="A146" s="59" t="s">
        <v>327</v>
      </c>
      <c r="B146" s="59" t="s">
        <v>202</v>
      </c>
      <c r="C146" s="4">
        <v>10</v>
      </c>
      <c r="D146" s="59" t="s">
        <v>203</v>
      </c>
    </row>
    <row r="147" spans="1:5" ht="18.75" x14ac:dyDescent="0.35">
      <c r="A147" s="73" t="s">
        <v>204</v>
      </c>
      <c r="B147" s="73" t="s">
        <v>210</v>
      </c>
      <c r="C147" s="74">
        <f>1000000/(2*PI()*rf*fc*2)</f>
        <v>1283.5076055798013</v>
      </c>
      <c r="D147" s="59" t="s">
        <v>63</v>
      </c>
      <c r="E147" s="74" t="s">
        <v>20</v>
      </c>
    </row>
    <row r="148" spans="1:5" ht="18.75" x14ac:dyDescent="0.35">
      <c r="A148" s="59" t="s">
        <v>296</v>
      </c>
      <c r="B148" s="73" t="s">
        <v>210</v>
      </c>
      <c r="C148" s="71">
        <f>IF(C147&lt;10000,C149*10^INT(LOG(C147)),C150*10^INT(LOG(C147)))</f>
        <v>1200</v>
      </c>
      <c r="D148" s="59" t="s">
        <v>63</v>
      </c>
      <c r="E148" s="71"/>
    </row>
    <row r="149" spans="1:5" hidden="1" x14ac:dyDescent="0.25">
      <c r="A149" s="58" t="s">
        <v>212</v>
      </c>
      <c r="B149" s="75"/>
      <c r="C149" s="72">
        <f>IF((10^(LOG(C147)-INT(LOG(C147))))-VLOOKUP((10^(LOG(C147)-INT(LOG(C147)))),c_s1:C_f1,1)&lt;VLOOKUP((10^(LOG(C147)-INT(LOG(C147)))),c_s1:C_f1,2)-(10^(LOG(C147)-INT(LOG(C147)))),VLOOKUP((10^(LOG(C147)-INT(LOG(C147)))),c_s1:C_f1,1),VLOOKUP((10^(LOG(C147)-INT(LOG(C147)))),c_s1:C_f1,2))</f>
        <v>1.2</v>
      </c>
    </row>
    <row r="150" spans="1:5" hidden="1" x14ac:dyDescent="0.25">
      <c r="A150" s="58" t="s">
        <v>213</v>
      </c>
      <c r="B150" s="75"/>
      <c r="C150" s="72">
        <f>IF((10^(LOG(C147)-INT(LOG(C147))))-VLOOKUP((10^(LOG(C147)-INT(LOG(C147)))),C_s2:C_f2,1)&lt;VLOOKUP((10^(LOG(C147)-INT(LOG(C147)))),C_s2:C_f2,2)-(10^(LOG(C147)-INT(LOG(C147)))),VLOOKUP((10^(LOG(C147)-INT(LOG(C147)))),C_s2:C_f2,1),VLOOKUP((10^(LOG(C147)-INT(LOG(C147)))),C_s2:C_f2,2))</f>
        <v>1.5</v>
      </c>
    </row>
    <row r="151" spans="1:5" ht="18.75" x14ac:dyDescent="0.35">
      <c r="A151" s="59" t="s">
        <v>327</v>
      </c>
      <c r="B151" s="59" t="s">
        <v>210</v>
      </c>
      <c r="C151" s="4">
        <v>1000</v>
      </c>
      <c r="D151" s="59" t="s">
        <v>63</v>
      </c>
    </row>
    <row r="152" spans="1:5" x14ac:dyDescent="0.25">
      <c r="C152" s="4"/>
    </row>
    <row r="153" spans="1:5" x14ac:dyDescent="0.25">
      <c r="C153" s="4"/>
    </row>
    <row r="154" spans="1:5" x14ac:dyDescent="0.25">
      <c r="C154" s="4"/>
    </row>
    <row r="155" spans="1:5" x14ac:dyDescent="0.25">
      <c r="C155" s="4"/>
    </row>
    <row r="156" spans="1:5" x14ac:dyDescent="0.25">
      <c r="C156" s="4"/>
    </row>
    <row r="157" spans="1:5" x14ac:dyDescent="0.25">
      <c r="C157" s="4"/>
    </row>
    <row r="158" spans="1:5" x14ac:dyDescent="0.25">
      <c r="C158" s="4"/>
    </row>
    <row r="159" spans="1:5" x14ac:dyDescent="0.25">
      <c r="C159" s="4"/>
    </row>
    <row r="160" spans="1:5" x14ac:dyDescent="0.25">
      <c r="C160" s="4"/>
    </row>
    <row r="161" spans="1:6" x14ac:dyDescent="0.25">
      <c r="C161" s="4"/>
    </row>
    <row r="162" spans="1:6" x14ac:dyDescent="0.25">
      <c r="C162" s="4"/>
    </row>
    <row r="163" spans="1:6" x14ac:dyDescent="0.25">
      <c r="C163" s="4"/>
    </row>
    <row r="164" spans="1:6" x14ac:dyDescent="0.25">
      <c r="C164" s="4"/>
    </row>
    <row r="165" spans="1:6" x14ac:dyDescent="0.25">
      <c r="C165" s="4"/>
    </row>
    <row r="166" spans="1:6" x14ac:dyDescent="0.25">
      <c r="C166" s="4"/>
    </row>
    <row r="167" spans="1:6" x14ac:dyDescent="0.25">
      <c r="C167" s="4"/>
    </row>
    <row r="168" spans="1:6" x14ac:dyDescent="0.25">
      <c r="C168" s="4"/>
    </row>
    <row r="169" spans="1:6" x14ac:dyDescent="0.25">
      <c r="C169" s="4"/>
    </row>
    <row r="170" spans="1:6" x14ac:dyDescent="0.25">
      <c r="C170" s="4"/>
    </row>
    <row r="171" spans="1:6" x14ac:dyDescent="0.25">
      <c r="C171" s="4"/>
    </row>
    <row r="172" spans="1:6" x14ac:dyDescent="0.25">
      <c r="C172" s="4"/>
    </row>
    <row r="173" spans="1:6" ht="18.75" x14ac:dyDescent="0.35">
      <c r="A173" s="91" t="s">
        <v>289</v>
      </c>
      <c r="B173" s="63"/>
      <c r="C173" s="63"/>
      <c r="D173" s="63"/>
      <c r="E173" s="91" t="s">
        <v>20</v>
      </c>
      <c r="F173" s="91"/>
    </row>
    <row r="174" spans="1:6" ht="18.75" x14ac:dyDescent="0.35">
      <c r="A174" s="73" t="s">
        <v>215</v>
      </c>
      <c r="B174" s="73" t="s">
        <v>214</v>
      </c>
      <c r="C174" s="4">
        <v>25</v>
      </c>
      <c r="D174" s="59" t="s">
        <v>216</v>
      </c>
    </row>
    <row r="175" spans="1:6" ht="18.75" x14ac:dyDescent="0.35">
      <c r="A175" s="73" t="s">
        <v>274</v>
      </c>
      <c r="B175" s="73" t="s">
        <v>217</v>
      </c>
      <c r="C175" s="74">
        <f>(C174)*(25)/(_va1+0.55)</f>
        <v>204.91803278688525</v>
      </c>
      <c r="D175" s="59" t="s">
        <v>203</v>
      </c>
    </row>
    <row r="176" spans="1:6" ht="18.75" x14ac:dyDescent="0.35">
      <c r="A176" s="59" t="s">
        <v>296</v>
      </c>
      <c r="B176" s="73" t="s">
        <v>217</v>
      </c>
      <c r="C176" s="71">
        <f>IF(C175&lt;10000,C177*10^INT(LOG(C175)),C178*10^INT(LOG(C175)))</f>
        <v>220.00000000000003</v>
      </c>
      <c r="D176" s="59" t="s">
        <v>203</v>
      </c>
    </row>
    <row r="177" spans="1:6" hidden="1" x14ac:dyDescent="0.25">
      <c r="A177" s="58" t="s">
        <v>212</v>
      </c>
      <c r="B177" s="75"/>
      <c r="C177" s="72">
        <f>IF((10^(LOG(C175)-INT(LOG(C175))))-VLOOKUP((10^(LOG(C175)-INT(LOG(C175)))),c_s1:C_f1,1)&lt;VLOOKUP((10^(LOG(C175)-INT(LOG(C175)))),c_s1:C_f1,2)-(10^(LOG(C175)-INT(LOG(C175)))),VLOOKUP((10^(LOG(C175)-INT(LOG(C175)))),c_s1:C_f1,1),VLOOKUP((10^(LOG(C175)-INT(LOG(C175)))),c_s1:C_f1,2))</f>
        <v>2.2000000000000002</v>
      </c>
    </row>
    <row r="178" spans="1:6" hidden="1" x14ac:dyDescent="0.25">
      <c r="A178" s="58" t="s">
        <v>218</v>
      </c>
      <c r="B178" s="75"/>
      <c r="C178" s="72">
        <f>IF((10^(LOG(C175)-INT(LOG(C175))))-VLOOKUP((10^(LOG(C175)-INT(LOG(C175)))),C_s2:C_f2,1)&lt;VLOOKUP((10^(LOG(C175)-INT(LOG(C175)))),C_s2:C_f2,2)-(10^(LOG(C175)-INT(LOG(C175)))),VLOOKUP((10^(LOG(C175)-INT(LOG(C175)))),C_s2:C_f2,1),VLOOKUP((10^(LOG(C175)-INT(LOG(C175)))),C_s2:C_f2,2))</f>
        <v>2.2000000000000002</v>
      </c>
    </row>
    <row r="179" spans="1:6" ht="18.75" x14ac:dyDescent="0.35">
      <c r="A179" s="59" t="s">
        <v>327</v>
      </c>
      <c r="B179" s="59" t="s">
        <v>217</v>
      </c>
      <c r="C179" s="4">
        <v>220</v>
      </c>
      <c r="D179" s="59" t="s">
        <v>203</v>
      </c>
    </row>
    <row r="180" spans="1:6" ht="18.75" x14ac:dyDescent="0.35">
      <c r="A180" s="91" t="s">
        <v>315</v>
      </c>
      <c r="B180" s="63"/>
      <c r="C180" s="63"/>
      <c r="D180" s="63"/>
      <c r="E180" s="91" t="s">
        <v>20</v>
      </c>
      <c r="F180" s="91"/>
    </row>
    <row r="181" spans="1:6" ht="18.75" x14ac:dyDescent="0.35">
      <c r="A181" s="73" t="s">
        <v>275</v>
      </c>
      <c r="B181" s="73" t="s">
        <v>219</v>
      </c>
      <c r="C181" s="74">
        <f>tdelay</f>
        <v>210.3183787685642</v>
      </c>
      <c r="D181" s="59" t="s">
        <v>133</v>
      </c>
    </row>
    <row r="182" spans="1:6" ht="18.75" x14ac:dyDescent="0.35">
      <c r="A182" s="73" t="s">
        <v>314</v>
      </c>
      <c r="B182" s="73" t="s">
        <v>219</v>
      </c>
      <c r="C182" s="3">
        <v>250</v>
      </c>
      <c r="D182" s="59" t="s">
        <v>133</v>
      </c>
    </row>
    <row r="183" spans="1:6" ht="18.75" x14ac:dyDescent="0.35">
      <c r="A183" s="73" t="s">
        <v>309</v>
      </c>
      <c r="B183" s="73" t="s">
        <v>306</v>
      </c>
      <c r="C183" s="105">
        <v>8.1999999999999993</v>
      </c>
      <c r="D183" s="59" t="s">
        <v>209</v>
      </c>
    </row>
    <row r="184" spans="1:6" ht="18.75" x14ac:dyDescent="0.35">
      <c r="A184" s="73" t="s">
        <v>308</v>
      </c>
      <c r="B184" s="73" t="s">
        <v>307</v>
      </c>
      <c r="C184" s="5">
        <f>IF(tabset&gt;155, 0.2, 1.8)</f>
        <v>0.2</v>
      </c>
      <c r="D184" s="59" t="s">
        <v>18</v>
      </c>
    </row>
    <row r="185" spans="1:6" ht="18.75" x14ac:dyDescent="0.35">
      <c r="A185" s="73" t="s">
        <v>310</v>
      </c>
      <c r="B185" s="73" t="s">
        <v>311</v>
      </c>
      <c r="C185" s="107">
        <f>C183*C184/(5-C184)</f>
        <v>0.34166666666666667</v>
      </c>
      <c r="D185" s="59" t="s">
        <v>209</v>
      </c>
    </row>
    <row r="186" spans="1:6" ht="18.75" x14ac:dyDescent="0.35">
      <c r="A186" s="59" t="s">
        <v>297</v>
      </c>
      <c r="B186" s="73" t="s">
        <v>311</v>
      </c>
      <c r="C186" s="59">
        <f>(IF((10^(LOG(C185)-INT(LOG(C185)))*100)-VLOOKUP((10^(LOG(C185)-INT(LOG(C185)))*100),E48_s:E48_f,1)&lt;VLOOKUP((10^(LOG(C185)-INT(LOG(C185)))*100),E48_s:E48_f,2)-(10^(LOG(C185)-INT(LOG(C185)))*100),VLOOKUP((10^(LOG(C185)-INT(LOG(C185)))*100),E48_s:E48_f,1),VLOOKUP((10^(LOG(C185)-INT(LOG(C185)))*100),E48_s:E48_f,2)))*10^INT(LOG(C185))/100</f>
        <v>0.34800000000000003</v>
      </c>
      <c r="D186" s="59" t="s">
        <v>209</v>
      </c>
    </row>
    <row r="187" spans="1:6" ht="18.75" x14ac:dyDescent="0.35">
      <c r="A187" s="73" t="s">
        <v>312</v>
      </c>
      <c r="B187" s="73" t="s">
        <v>311</v>
      </c>
      <c r="C187" s="108">
        <v>0.33</v>
      </c>
      <c r="D187" s="59" t="s">
        <v>209</v>
      </c>
    </row>
    <row r="188" spans="1:6" ht="18.75" x14ac:dyDescent="0.35">
      <c r="A188" s="73" t="s">
        <v>313</v>
      </c>
      <c r="B188" s="73" t="s">
        <v>307</v>
      </c>
      <c r="C188" s="107">
        <f>5*C187/(C183+C187)</f>
        <v>0.19343493552168819</v>
      </c>
      <c r="D188" s="59" t="s">
        <v>18</v>
      </c>
    </row>
    <row r="189" spans="1:6" ht="18.75" x14ac:dyDescent="0.35">
      <c r="A189" s="59" t="s">
        <v>276</v>
      </c>
      <c r="B189" s="73" t="s">
        <v>220</v>
      </c>
      <c r="C189" s="5">
        <f>(tabset-5)*(0.15+(C188*1.46))/5</f>
        <v>21.18833528722157</v>
      </c>
      <c r="D189" s="59" t="s">
        <v>209</v>
      </c>
    </row>
    <row r="190" spans="1:6" ht="18.75" x14ac:dyDescent="0.35">
      <c r="A190" s="59" t="s">
        <v>297</v>
      </c>
      <c r="B190" s="73" t="s">
        <v>220</v>
      </c>
      <c r="C190" s="59">
        <f>(IF((10^(LOG(C189)-INT(LOG(C189)))*100)-VLOOKUP((10^(LOG(C189)-INT(LOG(C189)))*100),E48_s:E48_f,1)&lt;VLOOKUP((10^(LOG(C189)-INT(LOG(C189)))*100),E48_s:E48_f,2)-(10^(LOG(C189)-INT(LOG(C189)))*100),VLOOKUP((10^(LOG(C189)-INT(LOG(C189)))*100),E48_s:E48_f,1),VLOOKUP((10^(LOG(C189)-INT(LOG(C189)))*100),E48_s:E48_f,2)))*10^INT(LOG(C189))/100</f>
        <v>21.5</v>
      </c>
      <c r="D190" s="59" t="s">
        <v>209</v>
      </c>
    </row>
    <row r="191" spans="1:6" ht="18.75" x14ac:dyDescent="0.35">
      <c r="A191" s="59" t="s">
        <v>328</v>
      </c>
      <c r="B191" s="73" t="s">
        <v>220</v>
      </c>
      <c r="C191" s="4">
        <v>22</v>
      </c>
      <c r="D191" s="59" t="s">
        <v>209</v>
      </c>
    </row>
    <row r="192" spans="1:6" ht="18.75" x14ac:dyDescent="0.35">
      <c r="A192" s="91" t="s">
        <v>316</v>
      </c>
      <c r="B192" s="63"/>
      <c r="C192" s="63"/>
      <c r="D192" s="63"/>
      <c r="E192" s="91" t="s">
        <v>20</v>
      </c>
      <c r="F192" s="91"/>
    </row>
    <row r="193" spans="1:6" ht="18.75" x14ac:dyDescent="0.35">
      <c r="A193" s="59" t="s">
        <v>277</v>
      </c>
      <c r="B193" s="73" t="s">
        <v>222</v>
      </c>
      <c r="C193" s="74">
        <f>tdelay</f>
        <v>210.3183787685642</v>
      </c>
      <c r="D193" s="59" t="s">
        <v>133</v>
      </c>
    </row>
    <row r="194" spans="1:6" ht="18.75" x14ac:dyDescent="0.35">
      <c r="A194" s="73" t="s">
        <v>314</v>
      </c>
      <c r="B194" s="73" t="s">
        <v>222</v>
      </c>
      <c r="C194" s="3">
        <v>250</v>
      </c>
      <c r="D194" s="59" t="s">
        <v>133</v>
      </c>
    </row>
    <row r="195" spans="1:6" ht="18.75" x14ac:dyDescent="0.35">
      <c r="A195" s="59" t="s">
        <v>276</v>
      </c>
      <c r="B195" s="73" t="s">
        <v>221</v>
      </c>
      <c r="C195" s="5">
        <f>(tcdset-5)*(0.15+(vadel*1.46))/5</f>
        <v>21.18833528722157</v>
      </c>
      <c r="D195" s="59" t="s">
        <v>209</v>
      </c>
    </row>
    <row r="196" spans="1:6" ht="18.75" x14ac:dyDescent="0.35">
      <c r="A196" s="59" t="s">
        <v>297</v>
      </c>
      <c r="B196" s="73" t="s">
        <v>221</v>
      </c>
      <c r="C196" s="59">
        <f>(IF((10^(LOG(C195)-INT(LOG(C195)))*100)-VLOOKUP((10^(LOG(C195)-INT(LOG(C195)))*100),E48_s:E48_f,1)&lt;VLOOKUP((10^(LOG(C195)-INT(LOG(C195)))*100),E48_s:E48_f,2)-(10^(LOG(C195)-INT(LOG(C195)))*100),VLOOKUP((10^(LOG(C195)-INT(LOG(C195)))*100),E48_s:E48_f,1),VLOOKUP((10^(LOG(C195)-INT(LOG(C195)))*100),E48_s:E48_f,2)))*10^INT(LOG(C195))/100</f>
        <v>21.5</v>
      </c>
      <c r="D196" s="59" t="s">
        <v>209</v>
      </c>
    </row>
    <row r="197" spans="1:6" ht="18.75" x14ac:dyDescent="0.35">
      <c r="A197" s="59" t="s">
        <v>328</v>
      </c>
      <c r="B197" s="73" t="s">
        <v>221</v>
      </c>
      <c r="C197" s="4">
        <v>22</v>
      </c>
      <c r="D197" s="59" t="s">
        <v>209</v>
      </c>
    </row>
    <row r="198" spans="1:6" ht="18.75" x14ac:dyDescent="0.35">
      <c r="A198" s="91" t="s">
        <v>326</v>
      </c>
      <c r="B198" s="63"/>
      <c r="C198" s="63"/>
      <c r="D198" s="63"/>
      <c r="E198" s="91" t="s">
        <v>20</v>
      </c>
      <c r="F198" s="91"/>
    </row>
    <row r="199" spans="1:6" ht="18.75" x14ac:dyDescent="0.35">
      <c r="A199" s="59" t="s">
        <v>223</v>
      </c>
      <c r="B199" s="59" t="s">
        <v>323</v>
      </c>
      <c r="C199" s="59">
        <f>C182/2</f>
        <v>125</v>
      </c>
      <c r="D199" s="59" t="s">
        <v>133</v>
      </c>
    </row>
    <row r="200" spans="1:6" ht="18.75" x14ac:dyDescent="0.35">
      <c r="A200" s="59" t="s">
        <v>324</v>
      </c>
      <c r="B200" s="59" t="s">
        <v>323</v>
      </c>
      <c r="C200" s="4">
        <v>125</v>
      </c>
      <c r="D200" s="59" t="s">
        <v>133</v>
      </c>
    </row>
    <row r="201" spans="1:6" ht="18.75" x14ac:dyDescent="0.35">
      <c r="A201" s="73" t="s">
        <v>318</v>
      </c>
      <c r="B201" s="59" t="s">
        <v>317</v>
      </c>
      <c r="C201" s="4">
        <v>8.1999999999999993</v>
      </c>
      <c r="D201" s="59" t="s">
        <v>209</v>
      </c>
    </row>
    <row r="202" spans="1:6" ht="18.75" x14ac:dyDescent="0.35">
      <c r="A202" s="73" t="s">
        <v>321</v>
      </c>
      <c r="B202" s="59" t="s">
        <v>322</v>
      </c>
      <c r="C202" s="55">
        <f>IF(tafset&lt;170, 0.2,1.7)</f>
        <v>0.2</v>
      </c>
      <c r="D202" s="59" t="s">
        <v>18</v>
      </c>
    </row>
    <row r="203" spans="1:6" ht="18.75" x14ac:dyDescent="0.35">
      <c r="A203" s="73" t="s">
        <v>319</v>
      </c>
      <c r="B203" s="59" t="s">
        <v>320</v>
      </c>
      <c r="C203" s="106">
        <f>C202*C201/(5-C202)</f>
        <v>0.34166666666666667</v>
      </c>
      <c r="D203" s="59" t="s">
        <v>209</v>
      </c>
    </row>
    <row r="204" spans="1:6" ht="18.75" x14ac:dyDescent="0.35">
      <c r="A204" s="59" t="s">
        <v>297</v>
      </c>
      <c r="B204" s="59" t="s">
        <v>320</v>
      </c>
      <c r="C204" s="59">
        <f>(IF((10^(LOG(C203)-INT(LOG(C203)))*100)-VLOOKUP((10^(LOG(C203)-INT(LOG(C203)))*100),E48_s:E48_f,1)&lt;VLOOKUP((10^(LOG(C203)-INT(LOG(C203)))*100),E48_s:E48_f,2)-(10^(LOG(C203)-INT(LOG(C203)))*100),VLOOKUP((10^(LOG(C203)-INT(LOG(C203)))*100),E48_s:E48_f,1),VLOOKUP((10^(LOG(C203)-INT(LOG(C203)))*100),E48_s:E48_f,2)))*10^INT(LOG(C203))/100</f>
        <v>0.34800000000000003</v>
      </c>
      <c r="D204" s="59" t="s">
        <v>209</v>
      </c>
    </row>
    <row r="205" spans="1:6" ht="18.75" x14ac:dyDescent="0.35">
      <c r="A205" s="59" t="s">
        <v>325</v>
      </c>
      <c r="B205" s="59" t="s">
        <v>320</v>
      </c>
      <c r="C205" s="4">
        <v>0.33</v>
      </c>
      <c r="D205" s="59" t="s">
        <v>209</v>
      </c>
    </row>
    <row r="206" spans="1:6" ht="18.75" x14ac:dyDescent="0.35">
      <c r="A206" s="73" t="s">
        <v>321</v>
      </c>
      <c r="B206" s="59" t="s">
        <v>322</v>
      </c>
      <c r="C206" s="79">
        <f>5*C205/(C205+C201)</f>
        <v>0.19343493552168819</v>
      </c>
      <c r="D206" s="59" t="s">
        <v>18</v>
      </c>
    </row>
    <row r="207" spans="1:6" ht="18.75" x14ac:dyDescent="0.35">
      <c r="A207" s="59" t="s">
        <v>276</v>
      </c>
      <c r="B207" s="73" t="s">
        <v>224</v>
      </c>
      <c r="C207" s="5">
        <f>(tafset-4)*(2.65-(C206*1.32))/5</f>
        <v>57.950914419695188</v>
      </c>
      <c r="D207" s="59" t="s">
        <v>209</v>
      </c>
    </row>
    <row r="208" spans="1:6" ht="18.75" x14ac:dyDescent="0.35">
      <c r="A208" s="59" t="s">
        <v>297</v>
      </c>
      <c r="B208" s="73" t="s">
        <v>224</v>
      </c>
      <c r="C208" s="64">
        <f>(IF((10^(LOG(C207)-INT(LOG(C207)))*100)-VLOOKUP((10^(LOG(C207)-INT(LOG(C207)))*100),E48_s:E48_f,1)&lt;VLOOKUP((10^(LOG(C207)-INT(LOG(C207)))*100),E48_s:E48_f,2)-(10^(LOG(C207)-INT(LOG(C207)))*100),VLOOKUP((10^(LOG(C207)-INT(LOG(C207)))*100),E48_s:E48_f,1),VLOOKUP((10^(LOG(C207)-INT(LOG(C207)))*100),E48_s:E48_f,2)))*10^INT(LOG(C207))/100</f>
        <v>59</v>
      </c>
      <c r="D208" s="59" t="s">
        <v>209</v>
      </c>
    </row>
    <row r="209" spans="1:6" ht="18.75" x14ac:dyDescent="0.35">
      <c r="A209" s="59" t="s">
        <v>329</v>
      </c>
      <c r="B209" s="73" t="s">
        <v>224</v>
      </c>
      <c r="C209" s="2">
        <v>56</v>
      </c>
      <c r="D209" s="59" t="s">
        <v>209</v>
      </c>
    </row>
    <row r="210" spans="1:6" x14ac:dyDescent="0.25">
      <c r="A210" s="91" t="s">
        <v>225</v>
      </c>
      <c r="B210" s="77"/>
      <c r="C210" s="63"/>
      <c r="D210" s="63"/>
      <c r="E210" s="91" t="s">
        <v>20</v>
      </c>
      <c r="F210" s="91"/>
    </row>
    <row r="211" spans="1:6" ht="18.75" x14ac:dyDescent="0.35">
      <c r="A211" s="59" t="s">
        <v>226</v>
      </c>
      <c r="B211" s="59" t="s">
        <v>227</v>
      </c>
      <c r="C211" s="4">
        <v>80</v>
      </c>
      <c r="D211" s="59" t="s">
        <v>133</v>
      </c>
    </row>
    <row r="212" spans="1:6" ht="18.75" x14ac:dyDescent="0.35">
      <c r="A212" s="59" t="s">
        <v>229</v>
      </c>
      <c r="B212" s="59" t="s">
        <v>228</v>
      </c>
      <c r="C212" s="78">
        <f>(C211-15)/6.6</f>
        <v>9.8484848484848495</v>
      </c>
      <c r="D212" s="59" t="s">
        <v>209</v>
      </c>
    </row>
    <row r="213" spans="1:6" ht="18.75" x14ac:dyDescent="0.35">
      <c r="A213" s="59" t="s">
        <v>297</v>
      </c>
      <c r="B213" s="59" t="s">
        <v>228</v>
      </c>
      <c r="C213" s="59">
        <f>(IF((10^(LOG(C212)-INT(LOG(C212)))*100)-VLOOKUP((10^(LOG(C212)-INT(LOG(C212)))*100),E48_s:E48_f,1)&lt;VLOOKUP((10^(LOG(C212)-INT(LOG(C212)))*100),E48_s:E48_f,2)-(10^(LOG(C212)-INT(LOG(C212)))*100),VLOOKUP((10^(LOG(C212)-INT(LOG(C212)))*100),E48_s:E48_f,1),VLOOKUP((10^(LOG(C212)-INT(LOG(C212)))*100),E48_s:E48_f,2)))*10^INT(LOG(C212))/100</f>
        <v>10</v>
      </c>
      <c r="D213" s="59" t="s">
        <v>209</v>
      </c>
    </row>
    <row r="214" spans="1:6" ht="18.75" x14ac:dyDescent="0.35">
      <c r="A214" s="59" t="s">
        <v>325</v>
      </c>
      <c r="B214" s="59" t="s">
        <v>228</v>
      </c>
      <c r="C214" s="4">
        <v>10</v>
      </c>
      <c r="D214" s="59" t="s">
        <v>209</v>
      </c>
    </row>
    <row r="215" spans="1:6" x14ac:dyDescent="0.25">
      <c r="A215" s="91" t="s">
        <v>230</v>
      </c>
      <c r="B215" s="77"/>
      <c r="C215" s="63"/>
      <c r="D215" s="63"/>
      <c r="E215" s="91" t="s">
        <v>20</v>
      </c>
      <c r="F215" s="91"/>
    </row>
    <row r="216" spans="1:6" ht="18.75" x14ac:dyDescent="0.35">
      <c r="A216" s="59" t="s">
        <v>231</v>
      </c>
      <c r="B216" s="59" t="s">
        <v>232</v>
      </c>
      <c r="C216" s="59">
        <f>(((2.5*10^3)/(fs/2))-1)*2.5</f>
        <v>28.75</v>
      </c>
      <c r="D216" s="59" t="s">
        <v>209</v>
      </c>
      <c r="E216" s="59" t="s">
        <v>20</v>
      </c>
    </row>
    <row r="217" spans="1:6" ht="18.75" x14ac:dyDescent="0.35">
      <c r="A217" s="59" t="s">
        <v>297</v>
      </c>
      <c r="B217" s="59" t="s">
        <v>232</v>
      </c>
      <c r="C217" s="59">
        <f>(IF((10^(LOG(C216)-INT(LOG(C216)))*100)-VLOOKUP((10^(LOG(C216)-INT(LOG(C216)))*100),E48_s:E48_f,1)&lt;VLOOKUP((10^(LOG(C216)-INT(LOG(C216)))*100),E48_s:E48_f,2)-(10^(LOG(C216)-INT(LOG(C216)))*100),VLOOKUP((10^(LOG(C216)-INT(LOG(C216)))*100),E48_s:E48_f,1),VLOOKUP((10^(LOG(C216)-INT(LOG(C216)))*100),E48_s:E48_f,2)))*10^INT(LOG(C216))/100</f>
        <v>28.7</v>
      </c>
      <c r="D217" s="59" t="s">
        <v>209</v>
      </c>
    </row>
    <row r="218" spans="1:6" ht="18.75" x14ac:dyDescent="0.35">
      <c r="A218" s="59" t="s">
        <v>325</v>
      </c>
      <c r="B218" s="59" t="s">
        <v>232</v>
      </c>
      <c r="C218" s="4">
        <v>27</v>
      </c>
      <c r="D218" s="59" t="s">
        <v>209</v>
      </c>
    </row>
    <row r="219" spans="1:6" x14ac:dyDescent="0.25">
      <c r="A219" s="91" t="s">
        <v>233</v>
      </c>
      <c r="B219" s="77"/>
      <c r="C219" s="63"/>
      <c r="D219" s="63"/>
      <c r="E219" s="91" t="s">
        <v>20</v>
      </c>
      <c r="F219" s="91"/>
    </row>
    <row r="220" spans="1:6" ht="18.75" x14ac:dyDescent="0.35">
      <c r="A220" s="59" t="s">
        <v>278</v>
      </c>
      <c r="B220" s="59" t="s">
        <v>45</v>
      </c>
      <c r="C220" s="79">
        <f>(vin*(1-dtyp))/(lmag2*fs)</f>
        <v>0.30046224961479184</v>
      </c>
      <c r="D220" s="59" t="s">
        <v>35</v>
      </c>
    </row>
    <row r="221" spans="1:6" ht="18.75" x14ac:dyDescent="0.35">
      <c r="A221" s="59" t="s">
        <v>337</v>
      </c>
      <c r="B221" s="59" t="s">
        <v>335</v>
      </c>
      <c r="C221" s="109">
        <f>fs*0.2*0.001</f>
        <v>0.08</v>
      </c>
      <c r="D221" s="59" t="s">
        <v>234</v>
      </c>
    </row>
    <row r="222" spans="1:6" ht="18.75" x14ac:dyDescent="0.35">
      <c r="A222" s="59" t="s">
        <v>338</v>
      </c>
      <c r="B222" s="59" t="s">
        <v>336</v>
      </c>
      <c r="C222" s="109">
        <f>((((dilout/(_taa1*2))-C220)*RS*(1-dtyp)*fs)/_ta2)*0.001</f>
        <v>4.1236136671935096E-3</v>
      </c>
      <c r="D222" s="59" t="s">
        <v>234</v>
      </c>
      <c r="E222" s="59" t="s">
        <v>20</v>
      </c>
    </row>
    <row r="223" spans="1:6" ht="18.75" x14ac:dyDescent="0.35">
      <c r="A223" s="59" t="s">
        <v>235</v>
      </c>
      <c r="B223" s="59" t="s">
        <v>236</v>
      </c>
      <c r="C223" s="110">
        <f>IF(Vslope1&gt;Vslope2, Vslope1, Vslope2)</f>
        <v>0.08</v>
      </c>
      <c r="D223" s="59" t="s">
        <v>234</v>
      </c>
      <c r="E223" s="59" t="s">
        <v>20</v>
      </c>
    </row>
    <row r="224" spans="1:6" ht="18.75" x14ac:dyDescent="0.35">
      <c r="A224" s="59" t="s">
        <v>237</v>
      </c>
      <c r="B224" s="59" t="s">
        <v>238</v>
      </c>
      <c r="C224" s="64">
        <f>2.5/(C223*0.5)</f>
        <v>62.5</v>
      </c>
      <c r="D224" s="59" t="s">
        <v>209</v>
      </c>
      <c r="E224" s="64"/>
    </row>
    <row r="225" spans="1:6" ht="18.75" x14ac:dyDescent="0.35">
      <c r="A225" s="59" t="s">
        <v>297</v>
      </c>
      <c r="B225" s="59" t="s">
        <v>238</v>
      </c>
      <c r="C225" s="97">
        <f>(IF((10^(LOG(C224)-INT(LOG(C224)))*100)-VLOOKUP((10^(LOG(C224)-INT(LOG(C224)))*100),E48_s:E48_f,1)&lt;VLOOKUP((10^(LOG(C224)-INT(LOG(C224)))*100),E48_s:E48_f,2)-(10^(LOG(C224)-INT(LOG(C224)))*100),VLOOKUP((10^(LOG(C224)-INT(LOG(C224)))*100),E48_s:E48_f,1),VLOOKUP((10^(LOG(C224)-INT(LOG(C224)))*100),E48_s:E48_f,2)))*10^INT(LOG(C224))/100</f>
        <v>61.9</v>
      </c>
      <c r="D225" s="59" t="s">
        <v>209</v>
      </c>
    </row>
    <row r="226" spans="1:6" ht="18.75" x14ac:dyDescent="0.35">
      <c r="A226" s="59" t="s">
        <v>325</v>
      </c>
      <c r="B226" s="59" t="s">
        <v>238</v>
      </c>
      <c r="C226" s="4">
        <v>62</v>
      </c>
      <c r="D226" s="59" t="s">
        <v>209</v>
      </c>
    </row>
    <row r="227" spans="1:6" x14ac:dyDescent="0.25">
      <c r="A227" s="91" t="s">
        <v>279</v>
      </c>
      <c r="B227" s="77"/>
      <c r="C227" s="63"/>
      <c r="D227" s="63"/>
      <c r="E227" s="91" t="s">
        <v>20</v>
      </c>
      <c r="F227" s="91"/>
    </row>
    <row r="228" spans="1:6" ht="18.75" x14ac:dyDescent="0.35">
      <c r="A228" s="59" t="s">
        <v>239</v>
      </c>
      <c r="B228" s="59" t="s">
        <v>240</v>
      </c>
      <c r="C228" s="65">
        <f>(((pout*0.15/VOUT)+(dilout/2))*RS)/(_ta1*_ta2)</f>
        <v>0.34088870023667889</v>
      </c>
      <c r="D228" s="59" t="s">
        <v>18</v>
      </c>
    </row>
    <row r="229" spans="1:6" ht="18.75" x14ac:dyDescent="0.35">
      <c r="A229" s="59" t="s">
        <v>182</v>
      </c>
      <c r="B229" s="59" t="s">
        <v>241</v>
      </c>
      <c r="C229" s="4">
        <v>2</v>
      </c>
      <c r="D229" s="59" t="s">
        <v>209</v>
      </c>
    </row>
    <row r="230" spans="1:6" ht="18.75" x14ac:dyDescent="0.35">
      <c r="A230" s="59" t="s">
        <v>243</v>
      </c>
      <c r="B230" s="59" t="s">
        <v>242</v>
      </c>
      <c r="C230" s="64">
        <f>(C229*(5-C228)/C228)</f>
        <v>27.335087942360669</v>
      </c>
      <c r="D230" s="59" t="s">
        <v>209</v>
      </c>
    </row>
    <row r="231" spans="1:6" ht="18.75" x14ac:dyDescent="0.35">
      <c r="A231" s="59" t="s">
        <v>297</v>
      </c>
      <c r="B231" s="59" t="s">
        <v>242</v>
      </c>
      <c r="C231" s="97">
        <f>(IF((10^(LOG(C230)-INT(LOG(C230)))*100)-VLOOKUP((10^(LOG(C230)-INT(LOG(C230)))*100),E48_s:E48_f,1)&lt;VLOOKUP((10^(LOG(C230)-INT(LOG(C230)))*100),E48_s:E48_f,2)-(10^(LOG(C230)-INT(LOG(C230)))*100),VLOOKUP((10^(LOG(C230)-INT(LOG(C230)))*100),E48_s:E48_f,1),VLOOKUP((10^(LOG(C230)-INT(LOG(C230)))*100),E48_s:E48_f,2)))*10^INT(LOG(C230))/100</f>
        <v>27.4</v>
      </c>
      <c r="D231" s="59" t="s">
        <v>209</v>
      </c>
    </row>
    <row r="232" spans="1:6" ht="18.75" x14ac:dyDescent="0.35">
      <c r="A232" s="59" t="s">
        <v>325</v>
      </c>
      <c r="B232" s="59" t="s">
        <v>242</v>
      </c>
      <c r="C232" s="2">
        <v>27</v>
      </c>
      <c r="D232" s="59" t="s">
        <v>209</v>
      </c>
    </row>
  </sheetData>
  <sheetProtection password="ECDD" sheet="1" objects="1" scenarios="1"/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L30"/>
  <sheetViews>
    <sheetView topLeftCell="A7" workbookViewId="0">
      <selection activeCell="L52" sqref="L52"/>
    </sheetView>
  </sheetViews>
  <sheetFormatPr defaultRowHeight="12.75" x14ac:dyDescent="0.2"/>
  <sheetData>
    <row r="30" spans="12:12" x14ac:dyDescent="0.2">
      <c r="L30" t="s">
        <v>20</v>
      </c>
    </row>
  </sheetData>
  <sheetProtection password="ECDD" sheet="1" objects="1" scenarios="1"/>
  <phoneticPr fontId="21" type="noConversion"/>
  <pageMargins left="0.75" right="0.75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6" shapeId="5125" r:id="rId4">
          <objectPr defaultSize="0" autoPict="0" r:id="rId5">
            <anchor moveWithCells="1">
              <from>
                <xdr:col>0</xdr:col>
                <xdr:colOff>47625</xdr:colOff>
                <xdr:row>5</xdr:row>
                <xdr:rowOff>57150</xdr:rowOff>
              </from>
              <to>
                <xdr:col>8</xdr:col>
                <xdr:colOff>533400</xdr:colOff>
                <xdr:row>46</xdr:row>
                <xdr:rowOff>57150</xdr:rowOff>
              </to>
            </anchor>
          </objectPr>
        </oleObject>
      </mc:Choice>
      <mc:Fallback>
        <oleObject progId="Visio.Drawing.6" shapeId="512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1" sqref="M31"/>
    </sheetView>
  </sheetViews>
  <sheetFormatPr defaultRowHeight="12.75" x14ac:dyDescent="0.2"/>
  <sheetData/>
  <sheetProtection password="ECDD" sheet="1" objects="1" scenarios="1"/>
  <phoneticPr fontId="21" type="noConversion"/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31"/>
  <sheetViews>
    <sheetView workbookViewId="0">
      <selection activeCell="I3" sqref="I3"/>
    </sheetView>
  </sheetViews>
  <sheetFormatPr defaultRowHeight="12.75" x14ac:dyDescent="0.2"/>
  <sheetData>
    <row r="31" spans="7:7" x14ac:dyDescent="0.2">
      <c r="G31" t="s">
        <v>20</v>
      </c>
    </row>
  </sheetData>
  <sheetProtection password="ECDD" sheet="1" objects="1" scenarios="1"/>
  <phoneticPr fontId="21" type="noConversion"/>
  <pageMargins left="0.75" right="0.75" top="1" bottom="1" header="0.5" footer="0.5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"/>
  <sheetViews>
    <sheetView workbookViewId="0">
      <selection sqref="A1:IV65536"/>
    </sheetView>
  </sheetViews>
  <sheetFormatPr defaultRowHeight="12.75" x14ac:dyDescent="0.2"/>
  <cols>
    <col min="1" max="1" width="9.140625" style="84"/>
    <col min="2" max="2" width="10.140625" style="84" customWidth="1"/>
    <col min="3" max="3" width="9.140625" style="84"/>
    <col min="4" max="4" width="12.42578125" style="84" customWidth="1"/>
    <col min="5" max="5" width="21.5703125" style="84" customWidth="1"/>
    <col min="6" max="6" width="15.42578125" style="84" customWidth="1"/>
    <col min="7" max="7" width="21.140625" style="84" customWidth="1"/>
    <col min="8" max="8" width="9.140625" style="84"/>
    <col min="9" max="9" width="14.28515625" style="84" customWidth="1"/>
    <col min="10" max="10" width="17.140625" style="84" customWidth="1"/>
    <col min="11" max="11" width="11.85546875" style="84" customWidth="1"/>
    <col min="12" max="12" width="13.5703125" style="84" customWidth="1"/>
    <col min="13" max="16384" width="9.140625" style="84"/>
  </cols>
  <sheetData>
    <row r="1" spans="1:18" ht="42.75" x14ac:dyDescent="0.3">
      <c r="A1" s="84" t="s">
        <v>246</v>
      </c>
      <c r="B1" s="84" t="s">
        <v>261</v>
      </c>
      <c r="C1" s="84" t="s">
        <v>191</v>
      </c>
      <c r="D1" s="84" t="s">
        <v>247</v>
      </c>
      <c r="E1" s="58" t="s">
        <v>248</v>
      </c>
      <c r="F1" s="84" t="s">
        <v>249</v>
      </c>
      <c r="G1" s="84" t="s">
        <v>250</v>
      </c>
      <c r="H1" s="84" t="s">
        <v>251</v>
      </c>
      <c r="I1" s="88" t="s">
        <v>252</v>
      </c>
      <c r="J1" s="88" t="s">
        <v>253</v>
      </c>
      <c r="K1" s="88" t="s">
        <v>254</v>
      </c>
      <c r="L1" s="84" t="s">
        <v>255</v>
      </c>
      <c r="M1" s="84" t="s">
        <v>256</v>
      </c>
      <c r="N1" s="84" t="s">
        <v>257</v>
      </c>
      <c r="O1" s="84" t="s">
        <v>262</v>
      </c>
      <c r="P1" s="90" t="s">
        <v>259</v>
      </c>
      <c r="Q1" s="90" t="s">
        <v>260</v>
      </c>
      <c r="R1" s="84" t="s">
        <v>258</v>
      </c>
    </row>
    <row r="2" spans="1:18" ht="15" x14ac:dyDescent="0.2">
      <c r="A2" s="85">
        <f>1</f>
        <v>1</v>
      </c>
      <c r="B2" s="84">
        <v>100</v>
      </c>
      <c r="C2" s="84">
        <f t="shared" ref="C2:C33" si="0">_ta1*_ta2*(rload/RS)</f>
        <v>207.54574719220173</v>
      </c>
      <c r="D2" s="58" t="str">
        <f t="shared" ref="D2:D33" si="1">IMDIV((COMPLEX(1,2*PI()*(B2)*(esrcout*0.001)*(cout*0.000001))),(COMPLEX(1,2*PI()*(B2)*rload*(cout*0.000001))))</f>
        <v>0.733084279003654-0.442018217082513i</v>
      </c>
      <c r="E2" s="58" t="str">
        <f t="shared" ref="E2:E33" si="2">IMDIV(1,(COMPLEX((1-(B2/(fpp*1000))^2),(B2/(fpp*1000)))))</f>
        <v>0.999999999999-0.001000001i</v>
      </c>
      <c r="F2" s="84" t="str">
        <f t="shared" ref="F2:F33" si="3">IMPRODUCT(D2,E2)</f>
        <v>0.73264226034382-0.442751302094159i</v>
      </c>
      <c r="G2" s="84" t="str">
        <f t="shared" ref="G2:G33" si="4">IMPRODUCT(C2,F2)</f>
        <v>152.056785347642-91.8911498134525i</v>
      </c>
      <c r="H2" s="87">
        <f t="shared" ref="H2:H33" si="5">IMABS(G2)</f>
        <v>177.666117716061</v>
      </c>
      <c r="I2" s="58" t="str">
        <f t="shared" ref="I2:I33" si="6">IMDIV((COMPLEX(1,(2*PI()*B2*(rf*1000)*(Cz*0.000000001)))),(COMPLEX(0,2*PI()*B2*((Cz*0.000000001)+(Cp*0.000000000001))*(RII*1000))))</f>
        <v>0.259143155694879-6.65224422536656i</v>
      </c>
      <c r="J2" s="89" t="str">
        <f t="shared" ref="J2:J33" si="7">IMDIV(1,(COMPLEX(1,2*PI()*B2*(((Cz*0.000000001)*(Cp*0.000000000001))/((Cz*0.000000001)+(Cp*0.000000000001)))*(rf*1000))))</f>
        <v>0.999987458418676-0.00354138730343823i</v>
      </c>
      <c r="K2" s="89" t="str">
        <f t="shared" ref="K2:K33" si="8">IMPRODUCT(I2,J2)</f>
        <v>0.235581732390834-6.65307852198597i</v>
      </c>
      <c r="L2" s="89" t="str">
        <f t="shared" ref="L2:L33" si="9">IMPRODUCT(G2,K2)</f>
        <v>-575.537234270497-1033.29360898307i</v>
      </c>
      <c r="M2" s="84">
        <f t="shared" ref="M2:M33" si="10">20*LOG(IMABS(L2))</f>
        <v>61.45798712651672</v>
      </c>
      <c r="N2" s="84">
        <f t="shared" ref="N2:N33" si="11">(180/PI())*IMARGUMENT(L2)+180</f>
        <v>60.882502302631309</v>
      </c>
      <c r="O2" s="84">
        <f t="shared" ref="O2:O55" si="12">IF(N2&gt;180,-(360-N2),N2)</f>
        <v>60.882502302631309</v>
      </c>
      <c r="P2" s="84">
        <v>48.311999999999998</v>
      </c>
      <c r="Q2" s="84">
        <v>11.617000000000001</v>
      </c>
      <c r="R2" s="84">
        <f>B2</f>
        <v>100</v>
      </c>
    </row>
    <row r="3" spans="1:18" ht="15" x14ac:dyDescent="0.2">
      <c r="A3" s="85">
        <f>1+A2</f>
        <v>2</v>
      </c>
      <c r="B3" s="84">
        <v>1000</v>
      </c>
      <c r="C3" s="84">
        <f t="shared" si="0"/>
        <v>207.54574719220173</v>
      </c>
      <c r="D3" s="58" t="str">
        <f t="shared" si="1"/>
        <v>0.0277554446836385-0.161005804867898i</v>
      </c>
      <c r="E3" s="58" t="str">
        <f t="shared" si="2"/>
        <v>0.999999989999-0.01000099999999i</v>
      </c>
      <c r="F3" s="84" t="str">
        <f t="shared" si="3"/>
        <v>0.0261452253515741-0.16128338545996i</v>
      </c>
      <c r="G3" s="84" t="str">
        <f t="shared" si="4"/>
        <v>5.42633033110094-33.4736807449753i</v>
      </c>
      <c r="H3" s="87">
        <f t="shared" si="5"/>
        <v>33.910652654862837</v>
      </c>
      <c r="I3" s="58" t="str">
        <f t="shared" si="6"/>
        <v>0.259143155694879-0.665224422536656i</v>
      </c>
      <c r="J3" s="89" t="str">
        <f t="shared" si="7"/>
        <v>0.998747397120046-0.0353699571102226i</v>
      </c>
      <c r="K3" s="89" t="str">
        <f t="shared" si="8"/>
        <v>0.235289592937941-0.673557042811507i</v>
      </c>
      <c r="L3" s="89" t="str">
        <f t="shared" si="9"/>
        <v>-21.2696743598505-11.5309517277546i</v>
      </c>
      <c r="M3" s="84">
        <f t="shared" si="10"/>
        <v>27.674244480654593</v>
      </c>
      <c r="N3" s="84">
        <f t="shared" si="11"/>
        <v>28.463497836267294</v>
      </c>
      <c r="O3" s="84">
        <f t="shared" si="12"/>
        <v>28.463497836267294</v>
      </c>
    </row>
    <row r="4" spans="1:18" ht="15" x14ac:dyDescent="0.2">
      <c r="A4" s="85">
        <f t="shared" ref="A4:A67" si="13">1+A3</f>
        <v>3</v>
      </c>
      <c r="B4" s="84">
        <f t="shared" ref="B4:B35" si="14">(fs*1000/2)*(A4/100)</f>
        <v>6000</v>
      </c>
      <c r="C4" s="84">
        <f t="shared" si="0"/>
        <v>207.54574719220173</v>
      </c>
      <c r="D4" s="58" t="str">
        <f t="shared" si="1"/>
        <v>0.00185290298424769-0.0275492203158158i</v>
      </c>
      <c r="E4" s="58" t="str">
        <f t="shared" si="2"/>
        <v>0.999986993344607-0.0602159971905624i</v>
      </c>
      <c r="F4" s="84" t="str">
        <f t="shared" si="3"/>
        <v>0.000193975111037749-0.0276604363934946i</v>
      </c>
      <c r="G4" s="84" t="str">
        <f t="shared" si="4"/>
        <v>0.0402587093570199-5.74080593895021i</v>
      </c>
      <c r="H4" s="87">
        <f t="shared" si="5"/>
        <v>5.7409470988997189</v>
      </c>
      <c r="I4" s="58" t="str">
        <f t="shared" si="6"/>
        <v>0.25914315569488-0.110870737089443i</v>
      </c>
      <c r="J4" s="89" t="str">
        <f t="shared" si="7"/>
        <v>0.956800222137403-0.203306559302004i</v>
      </c>
      <c r="K4" s="89" t="str">
        <f t="shared" si="8"/>
        <v>0.225407480849317-0.158766649226706i</v>
      </c>
      <c r="L4" s="89" t="str">
        <f t="shared" si="9"/>
        <v>-0.902373908529488-1.30041234513037i</v>
      </c>
      <c r="M4" s="84">
        <f t="shared" si="10"/>
        <v>3.988685684597006</v>
      </c>
      <c r="N4" s="84">
        <f t="shared" si="11"/>
        <v>55.242690399865722</v>
      </c>
      <c r="O4" s="84">
        <f t="shared" si="12"/>
        <v>55.242690399865722</v>
      </c>
    </row>
    <row r="5" spans="1:18" ht="15" x14ac:dyDescent="0.2">
      <c r="A5" s="85">
        <f t="shared" si="13"/>
        <v>4</v>
      </c>
      <c r="B5" s="84">
        <f t="shared" si="14"/>
        <v>8000</v>
      </c>
      <c r="C5" s="84">
        <f t="shared" si="0"/>
        <v>207.54574719220173</v>
      </c>
      <c r="D5" s="58" t="str">
        <f t="shared" si="1"/>
        <v>0.00152038428125363-0.02066879846407i</v>
      </c>
      <c r="E5" s="58" t="str">
        <f t="shared" si="2"/>
        <v>0.999958777866806-0.0805119788942678i</v>
      </c>
      <c r="F5" s="84" t="str">
        <f t="shared" si="3"/>
        <v>-0.000143764257938796-0.0207903555992702i</v>
      </c>
      <c r="G5" s="84" t="str">
        <f t="shared" si="4"/>
        <v>-0.0298376603334398-4.31494988724211i</v>
      </c>
      <c r="H5" s="87">
        <f t="shared" si="5"/>
        <v>4.3150530489653161</v>
      </c>
      <c r="I5" s="58" t="str">
        <f t="shared" si="6"/>
        <v>0.25914315569488-0.0831530528170824i</v>
      </c>
      <c r="J5" s="89" t="str">
        <f t="shared" si="7"/>
        <v>0.925696964080245-0.262263407231857i</v>
      </c>
      <c r="K5" s="89" t="str">
        <f t="shared" si="8"/>
        <v>0.218080029535386-0.144938295520132i</v>
      </c>
      <c r="L5" s="89" t="str">
        <f t="shared" si="9"/>
        <v>-0.631908479758441-0.936679779222433i</v>
      </c>
      <c r="M5" s="84">
        <f t="shared" si="10"/>
        <v>1.060811485731848</v>
      </c>
      <c r="N5" s="84">
        <f t="shared" si="11"/>
        <v>55.995376041881428</v>
      </c>
      <c r="O5" s="84">
        <f t="shared" si="12"/>
        <v>55.995376041881428</v>
      </c>
    </row>
    <row r="6" spans="1:18" ht="15" x14ac:dyDescent="0.2">
      <c r="A6" s="85">
        <f t="shared" si="13"/>
        <v>5</v>
      </c>
      <c r="B6" s="84">
        <f t="shared" si="14"/>
        <v>10000</v>
      </c>
      <c r="C6" s="84">
        <f t="shared" si="0"/>
        <v>207.54574719220173</v>
      </c>
      <c r="D6" s="58" t="str">
        <f t="shared" si="1"/>
        <v>0.00136640060851482-0.0165375887742393i</v>
      </c>
      <c r="E6" s="58" t="str">
        <f t="shared" si="2"/>
        <v>0.999899000101-0.100999899000101i</v>
      </c>
      <c r="F6" s="84" t="str">
        <f t="shared" si="3"/>
        <v>-0.000304032193712007-0.0166739248028971i</v>
      </c>
      <c r="G6" s="84" t="str">
        <f t="shared" si="4"/>
        <v>-0.0631005888144427-3.46060218184386i</v>
      </c>
      <c r="H6" s="87">
        <f t="shared" si="5"/>
        <v>3.4611774218163407</v>
      </c>
      <c r="I6" s="58" t="str">
        <f t="shared" si="6"/>
        <v>0.259143155694879-0.0665224422536656i</v>
      </c>
      <c r="J6" s="89" t="str">
        <f t="shared" si="7"/>
        <v>0.888559224590603-0.314677182181279i</v>
      </c>
      <c r="K6" s="89" t="str">
        <f t="shared" si="8"/>
        <v>0.209330946802003-0.140655567722419i</v>
      </c>
      <c r="L6" s="89" t="str">
        <f t="shared" si="9"/>
        <v>-0.499961870548981-0.715535682087138i</v>
      </c>
      <c r="M6" s="84">
        <f t="shared" si="10"/>
        <v>-1.180717116081818</v>
      </c>
      <c r="N6" s="84">
        <f t="shared" si="11"/>
        <v>55.057080428385234</v>
      </c>
      <c r="O6" s="84">
        <f t="shared" si="12"/>
        <v>55.057080428385234</v>
      </c>
    </row>
    <row r="7" spans="1:18" ht="15" x14ac:dyDescent="0.2">
      <c r="A7" s="85">
        <f t="shared" si="13"/>
        <v>6</v>
      </c>
      <c r="B7" s="84">
        <f t="shared" si="14"/>
        <v>12000</v>
      </c>
      <c r="C7" s="84">
        <f t="shared" si="0"/>
        <v>207.54574719220173</v>
      </c>
      <c r="D7" s="58" t="str">
        <f t="shared" si="1"/>
        <v>0.00128273524812733-0.0137824785756122i</v>
      </c>
      <c r="E7" s="58" t="str">
        <f t="shared" si="2"/>
        <v>0.999789654644088-0.121727636523225i</v>
      </c>
      <c r="F7" s="84" t="str">
        <f t="shared" si="3"/>
        <v>-0.000395243111716236-0.0139357238252904i</v>
      </c>
      <c r="G7" s="84" t="str">
        <f t="shared" si="4"/>
        <v>-0.0820310269437171-2.89230021398406i</v>
      </c>
      <c r="H7" s="87">
        <f t="shared" si="5"/>
        <v>2.8934632565826162</v>
      </c>
      <c r="I7" s="58" t="str">
        <f t="shared" si="6"/>
        <v>0.25914315569488-0.0554353685447214i</v>
      </c>
      <c r="J7" s="89" t="str">
        <f t="shared" si="7"/>
        <v>0.84702619210871-0.359962250785452i</v>
      </c>
      <c r="K7" s="89" t="str">
        <f t="shared" si="8"/>
        <v>0.19954640034479-0.140236962726152i</v>
      </c>
      <c r="L7" s="89" t="str">
        <f t="shared" si="9"/>
        <v>-0.421976393444529-0.565644314349091i</v>
      </c>
      <c r="M7" s="84">
        <f t="shared" si="10"/>
        <v>-3.0275533774655012</v>
      </c>
      <c r="N7" s="84">
        <f t="shared" si="11"/>
        <v>53.276688180158274</v>
      </c>
      <c r="O7" s="84">
        <f t="shared" si="12"/>
        <v>53.276688180158274</v>
      </c>
    </row>
    <row r="8" spans="1:18" ht="15" x14ac:dyDescent="0.2">
      <c r="A8" s="85">
        <f t="shared" si="13"/>
        <v>7</v>
      </c>
      <c r="B8" s="84">
        <f t="shared" si="14"/>
        <v>14000.000000000002</v>
      </c>
      <c r="C8" s="84">
        <f t="shared" si="0"/>
        <v>207.54574719220173</v>
      </c>
      <c r="D8" s="58" t="str">
        <f t="shared" si="1"/>
        <v>0.0012322808993382-0.0118141498754873i</v>
      </c>
      <c r="E8" s="58" t="str">
        <f t="shared" si="2"/>
        <v>0.999608313413218-0.142742925212006i</v>
      </c>
      <c r="F8" s="84" t="str">
        <f t="shared" si="3"/>
        <v>-0.000454588080681332-0.0119854218117013i</v>
      </c>
      <c r="G8" s="84" t="str">
        <f t="shared" si="4"/>
        <v>-0.0943478228696759-2.48752332532326i</v>
      </c>
      <c r="H8" s="87">
        <f t="shared" si="5"/>
        <v>2.4893119141054894</v>
      </c>
      <c r="I8" s="58" t="str">
        <f t="shared" si="6"/>
        <v>0.25914315569488-0.0475160301811899i</v>
      </c>
      <c r="J8" s="89" t="str">
        <f t="shared" si="7"/>
        <v>0.80268541494172-0.397971782393625i</v>
      </c>
      <c r="K8" s="89" t="str">
        <f t="shared" si="8"/>
        <v>0.189100392234774-0.141272087969372i</v>
      </c>
      <c r="L8" s="89" t="str">
        <f t="shared" si="9"/>
        <v>-0.369258824352085-0.457062922579614i</v>
      </c>
      <c r="M8" s="84">
        <f t="shared" si="10"/>
        <v>-4.6185550167605776</v>
      </c>
      <c r="N8" s="84">
        <f t="shared" si="11"/>
        <v>51.065430685907643</v>
      </c>
      <c r="O8" s="84">
        <f t="shared" si="12"/>
        <v>51.065430685907643</v>
      </c>
    </row>
    <row r="9" spans="1:18" ht="15" x14ac:dyDescent="0.2">
      <c r="A9" s="85">
        <f t="shared" si="13"/>
        <v>8</v>
      </c>
      <c r="B9" s="84">
        <f t="shared" si="14"/>
        <v>16000</v>
      </c>
      <c r="C9" s="84">
        <f t="shared" si="0"/>
        <v>207.54574719220173</v>
      </c>
      <c r="D9" s="58" t="str">
        <f t="shared" si="1"/>
        <v>0.00119953135826045-0.0103377201032364i</v>
      </c>
      <c r="E9" s="58" t="str">
        <f t="shared" si="2"/>
        <v>0.999327874060402-0.164093246972151i</v>
      </c>
      <c r="F9" s="84" t="str">
        <f t="shared" si="3"/>
        <v>-0.000497624935910139-0.0105276068488206i</v>
      </c>
      <c r="G9" s="84" t="str">
        <f t="shared" si="4"/>
        <v>-0.103279939144941-2.18496002958421i</v>
      </c>
      <c r="H9" s="87">
        <f t="shared" si="5"/>
        <v>2.1873996152304716</v>
      </c>
      <c r="I9" s="58" t="str">
        <f t="shared" si="6"/>
        <v>0.259143155694879-0.041576526408541i</v>
      </c>
      <c r="J9" s="89" t="str">
        <f t="shared" si="7"/>
        <v>0.756963014018594-0.428917252423448i</v>
      </c>
      <c r="K9" s="89" t="str">
        <f t="shared" si="8"/>
        <v>0.178328894724623-0.142622863067622i</v>
      </c>
      <c r="L9" s="89" t="str">
        <f t="shared" si="9"/>
        <v>-0.33004305250256-0.37491142647493i</v>
      </c>
      <c r="M9" s="84">
        <f t="shared" si="10"/>
        <v>-6.0295208928506439</v>
      </c>
      <c r="N9" s="84">
        <f t="shared" si="11"/>
        <v>48.641803247364493</v>
      </c>
      <c r="O9" s="84">
        <f t="shared" si="12"/>
        <v>48.641803247364493</v>
      </c>
    </row>
    <row r="10" spans="1:18" ht="15" x14ac:dyDescent="0.2">
      <c r="A10" s="85">
        <f t="shared" si="13"/>
        <v>9</v>
      </c>
      <c r="B10" s="84">
        <f t="shared" si="14"/>
        <v>18000</v>
      </c>
      <c r="C10" s="84">
        <f t="shared" si="0"/>
        <v>207.54574719220173</v>
      </c>
      <c r="D10" s="58" t="str">
        <f t="shared" si="1"/>
        <v>0.00117707713969692-0.00918929111772371i</v>
      </c>
      <c r="E10" s="58" t="str">
        <f t="shared" si="2"/>
        <v>0.99891626463625-0.185825679655359i</v>
      </c>
      <c r="F10" s="84" t="str">
        <f t="shared" si="3"/>
        <v>-0.000531804767927193-0.0093980635174626i</v>
      </c>
      <c r="G10" s="84" t="str">
        <f t="shared" si="4"/>
        <v>-0.110373817919825-1.95052811489155i</v>
      </c>
      <c r="H10" s="87">
        <f t="shared" si="5"/>
        <v>1.9536484603593818</v>
      </c>
      <c r="I10" s="58" t="str">
        <f t="shared" si="6"/>
        <v>0.25914315569488-0.0369569123631476i</v>
      </c>
      <c r="J10" s="89" t="str">
        <f t="shared" si="7"/>
        <v>0.711059368133513-0.453270276019818i</v>
      </c>
      <c r="K10" s="89" t="str">
        <f t="shared" si="8"/>
        <v>0.167514698676842-0.14374044846357i</v>
      </c>
      <c r="L10" s="89" t="str">
        <f t="shared" si="9"/>
        <v>-0.298859022825965-0.310876947340335i</v>
      </c>
      <c r="M10" s="84">
        <f t="shared" si="10"/>
        <v>-7.3057767888384886</v>
      </c>
      <c r="N10" s="84">
        <f t="shared" si="11"/>
        <v>46.129156290974635</v>
      </c>
      <c r="O10" s="84">
        <f t="shared" si="12"/>
        <v>46.129156290974635</v>
      </c>
    </row>
    <row r="11" spans="1:18" ht="15" x14ac:dyDescent="0.2">
      <c r="A11" s="85">
        <f t="shared" si="13"/>
        <v>10</v>
      </c>
      <c r="B11" s="84">
        <f t="shared" si="14"/>
        <v>20000</v>
      </c>
      <c r="C11" s="84">
        <f t="shared" si="0"/>
        <v>207.54574719220173</v>
      </c>
      <c r="D11" s="58" t="str">
        <f t="shared" si="1"/>
        <v>0.00116101514987601-0.00827049500096708i</v>
      </c>
      <c r="E11" s="58" t="str">
        <f t="shared" si="2"/>
        <v>0.998336106489185-0.207986688851913i</v>
      </c>
      <c r="F11" s="84" t="str">
        <f t="shared" si="3"/>
        <v>-0.000561069526115268-0.00849820947473336i</v>
      </c>
      <c r="G11" s="84" t="str">
        <f t="shared" si="4"/>
        <v>-0.116447594024368-1.76376723522938i</v>
      </c>
      <c r="H11" s="87">
        <f t="shared" si="5"/>
        <v>1.7676071119518484</v>
      </c>
      <c r="I11" s="58" t="str">
        <f t="shared" si="6"/>
        <v>0.25914315569488-0.0332612211268329i</v>
      </c>
      <c r="J11" s="89" t="str">
        <f t="shared" si="7"/>
        <v>0.665925471772885-0.471665917590985i</v>
      </c>
      <c r="K11" s="89" t="str">
        <f t="shared" si="8"/>
        <v>0.156881843829843-0.144378488688878i</v>
      </c>
      <c r="L11" s="89" t="str">
        <f t="shared" si="9"/>
        <v>-0.272918561081471-0.259890528312755i</v>
      </c>
      <c r="M11" s="84">
        <f t="shared" si="10"/>
        <v>-8.4762716698309344</v>
      </c>
      <c r="N11" s="84">
        <f t="shared" si="11"/>
        <v>43.599305833370011</v>
      </c>
      <c r="O11" s="84">
        <f t="shared" si="12"/>
        <v>43.599305833370011</v>
      </c>
    </row>
    <row r="12" spans="1:18" ht="15" x14ac:dyDescent="0.2">
      <c r="A12" s="85">
        <f t="shared" si="13"/>
        <v>11</v>
      </c>
      <c r="B12" s="84">
        <f t="shared" si="14"/>
        <v>22000</v>
      </c>
      <c r="C12" s="84">
        <f t="shared" si="0"/>
        <v>207.54574719220173</v>
      </c>
      <c r="D12" s="58" t="str">
        <f t="shared" si="1"/>
        <v>0.00114913076139381-0.0075187212772647i</v>
      </c>
      <c r="E12" s="58" t="str">
        <f t="shared" si="2"/>
        <v>0.997544338518663-0.230621852116547i</v>
      </c>
      <c r="F12" s="84" t="str">
        <f t="shared" si="3"/>
        <v>-0.000587672541264839-0.00776527250755195i</v>
      </c>
      <c r="G12" s="84" t="str">
        <f t="shared" si="4"/>
        <v>-0.121968936681151-1.61164928473093i</v>
      </c>
      <c r="H12" s="87">
        <f t="shared" si="5"/>
        <v>1.6162579739908012</v>
      </c>
      <c r="I12" s="58" t="str">
        <f t="shared" si="6"/>
        <v>0.25914315569488-0.0302374737516663i</v>
      </c>
      <c r="J12" s="89" t="str">
        <f t="shared" si="7"/>
        <v>0.622269733562224-0.48481966983057i</v>
      </c>
      <c r="K12" s="89" t="str">
        <f t="shared" si="8"/>
        <v>0.146597220407934-0.144453563917888i</v>
      </c>
      <c r="L12" s="89" t="str">
        <f t="shared" si="9"/>
        <v>-0.250688790058666-0.218644457823122i</v>
      </c>
      <c r="M12" s="84">
        <f t="shared" si="10"/>
        <v>-9.5604752829287669</v>
      </c>
      <c r="N12" s="84">
        <f t="shared" si="11"/>
        <v>41.094118587737739</v>
      </c>
      <c r="O12" s="84">
        <f t="shared" si="12"/>
        <v>41.094118587737739</v>
      </c>
    </row>
    <row r="13" spans="1:18" ht="15" x14ac:dyDescent="0.2">
      <c r="A13" s="85">
        <f t="shared" si="13"/>
        <v>12</v>
      </c>
      <c r="B13" s="84">
        <f t="shared" si="14"/>
        <v>24000</v>
      </c>
      <c r="C13" s="84">
        <f t="shared" si="0"/>
        <v>207.54574719220173</v>
      </c>
      <c r="D13" s="58" t="str">
        <f t="shared" si="1"/>
        <v>0.00114009151995786-0.00689222354240791i</v>
      </c>
      <c r="E13" s="58" t="str">
        <f t="shared" si="2"/>
        <v>0.996491807450037-0.253775502746189i</v>
      </c>
      <c r="F13" s="84" t="str">
        <f t="shared" si="3"/>
        <v>-0.000612985635132419-0.00715737159377773i</v>
      </c>
      <c r="G13" s="84" t="str">
        <f t="shared" si="4"/>
        <v>-0.127222561661644-1.48548203536284i</v>
      </c>
      <c r="H13" s="87">
        <f t="shared" si="5"/>
        <v>1.4909200037498578</v>
      </c>
      <c r="I13" s="58" t="str">
        <f t="shared" si="6"/>
        <v>0.25914315569488-0.0277176842723607i</v>
      </c>
      <c r="J13" s="89" t="str">
        <f t="shared" si="7"/>
        <v>0.580583832935787-0.493463520302542i</v>
      </c>
      <c r="K13" s="89" t="str">
        <f t="shared" si="8"/>
        <v>0.136776660556735-0.143970133246456i</v>
      </c>
      <c r="L13" s="89" t="str">
        <f t="shared" si="9"/>
        <v>-0.231266123697958-0.184863022959569i</v>
      </c>
      <c r="M13" s="84">
        <f t="shared" si="10"/>
        <v>-10.572066725536892</v>
      </c>
      <c r="N13" s="84">
        <f t="shared" si="11"/>
        <v>38.637159926074048</v>
      </c>
      <c r="O13" s="84">
        <f t="shared" si="12"/>
        <v>38.637159926074048</v>
      </c>
    </row>
    <row r="14" spans="1:18" ht="15" x14ac:dyDescent="0.2">
      <c r="A14" s="85">
        <f t="shared" si="13"/>
        <v>13</v>
      </c>
      <c r="B14" s="84">
        <f t="shared" si="14"/>
        <v>26000</v>
      </c>
      <c r="C14" s="84">
        <f t="shared" si="0"/>
        <v>207.54574719220173</v>
      </c>
      <c r="D14" s="58" t="str">
        <f t="shared" si="1"/>
        <v>0.00113305675140309-0.00636209730733478i</v>
      </c>
      <c r="E14" s="58" t="str">
        <f t="shared" si="2"/>
        <v>0.99512283085849-0.277490278875169i</v>
      </c>
      <c r="F14" s="84" t="str">
        <f t="shared" si="3"/>
        <v>-0.000637889514063723-0.0066454805166004i</v>
      </c>
      <c r="G14" s="84" t="str">
        <f t="shared" si="4"/>
        <v>-0.132391255822426-1.37924121926905i</v>
      </c>
      <c r="H14" s="87">
        <f t="shared" si="5"/>
        <v>1.3855806672832205</v>
      </c>
      <c r="I14" s="58" t="str">
        <f t="shared" si="6"/>
        <v>0.25914315569488-0.0255855547129484i</v>
      </c>
      <c r="J14" s="89" t="str">
        <f t="shared" si="7"/>
        <v>0.541177805038322-0.498301503481804i</v>
      </c>
      <c r="K14" s="89" t="str">
        <f t="shared" si="8"/>
        <v>0.127493203808781-0.142977758440019i</v>
      </c>
      <c r="L14" s="89" t="str">
        <f t="shared" si="9"/>
        <v>-0.214079803240237-0.156914876875191i</v>
      </c>
      <c r="M14" s="84">
        <f t="shared" si="10"/>
        <v>-11.521039566836391</v>
      </c>
      <c r="N14" s="84">
        <f t="shared" si="11"/>
        <v>36.240437911577118</v>
      </c>
      <c r="O14" s="84">
        <f t="shared" si="12"/>
        <v>36.240437911577118</v>
      </c>
    </row>
    <row r="15" spans="1:18" ht="15" x14ac:dyDescent="0.2">
      <c r="A15" s="85">
        <f t="shared" si="13"/>
        <v>14</v>
      </c>
      <c r="B15" s="84">
        <f t="shared" si="14"/>
        <v>28000.000000000004</v>
      </c>
      <c r="C15" s="84">
        <f t="shared" si="0"/>
        <v>207.54574719220173</v>
      </c>
      <c r="D15" s="58" t="str">
        <f t="shared" si="1"/>
        <v>0.00112747480739966-0.0059076947990259i</v>
      </c>
      <c r="E15" s="58" t="str">
        <f t="shared" si="2"/>
        <v>0.993374742343426-0.301806562343923i</v>
      </c>
      <c r="F15" s="84" t="str">
        <f t="shared" si="3"/>
        <v>-0.000662976062371739-0.00620883409457662i</v>
      </c>
      <c r="G15" s="84" t="str">
        <f t="shared" si="4"/>
        <v>-0.137597862235486-1.28861711135132i</v>
      </c>
      <c r="H15" s="87">
        <f t="shared" si="5"/>
        <v>1.2959426034200727</v>
      </c>
      <c r="I15" s="58" t="str">
        <f t="shared" si="6"/>
        <v>0.25914315569488-0.0237580150905949i</v>
      </c>
      <c r="J15" s="89" t="str">
        <f t="shared" si="7"/>
        <v>0.504217195068906-0.499982214949443i</v>
      </c>
      <c r="K15" s="89" t="str">
        <f t="shared" si="8"/>
        <v>0.118785850077979-0.141546168702699i</v>
      </c>
      <c r="L15" s="89" t="str">
        <f t="shared" si="9"/>
        <v>-0.198743494071073-0.133593028775781i</v>
      </c>
      <c r="M15" s="84">
        <f t="shared" si="10"/>
        <v>-12.414963109285843</v>
      </c>
      <c r="N15" s="84">
        <f t="shared" si="11"/>
        <v>33.908528036065462</v>
      </c>
      <c r="O15" s="84">
        <f t="shared" si="12"/>
        <v>33.908528036065462</v>
      </c>
    </row>
    <row r="16" spans="1:18" ht="15" x14ac:dyDescent="0.2">
      <c r="A16" s="85">
        <f t="shared" si="13"/>
        <v>15</v>
      </c>
      <c r="B16" s="84">
        <f t="shared" si="14"/>
        <v>30000</v>
      </c>
      <c r="C16" s="84">
        <f t="shared" si="0"/>
        <v>207.54574719220173</v>
      </c>
      <c r="D16" s="58" t="str">
        <f t="shared" si="1"/>
        <v>0.00112297153435009-0.00551387333748331i</v>
      </c>
      <c r="E16" s="58" t="str">
        <f t="shared" si="2"/>
        <v>0.991177431652325-0.326761790654613i</v>
      </c>
      <c r="F16" s="84" t="str">
        <f t="shared" si="3"/>
        <v>-0.000688659083962981-0.00583217100252133i</v>
      </c>
      <c r="G16" s="84" t="str">
        <f t="shared" si="4"/>
        <v>-0.142928264141794-1.21044228847098i</v>
      </c>
      <c r="H16" s="87">
        <f t="shared" si="5"/>
        <v>1.2188515177860877</v>
      </c>
      <c r="I16" s="58" t="str">
        <f t="shared" si="6"/>
        <v>0.259143155694879-0.0221741474178886i</v>
      </c>
      <c r="J16" s="89" t="str">
        <f t="shared" si="7"/>
        <v>0.469757819401106-0.499084572505126i</v>
      </c>
      <c r="K16" s="89" t="str">
        <f t="shared" si="8"/>
        <v>0.110667748847225-0.139750830215714i</v>
      </c>
      <c r="L16" s="89" t="str">
        <f t="shared" si="9"/>
        <v>-0.184977863981242-0.11398257959946i</v>
      </c>
      <c r="M16" s="84">
        <f t="shared" si="10"/>
        <v>-13.259766835172673</v>
      </c>
      <c r="N16" s="84">
        <f t="shared" si="11"/>
        <v>31.641200420117144</v>
      </c>
      <c r="O16" s="84">
        <f t="shared" si="12"/>
        <v>31.641200420117144</v>
      </c>
    </row>
    <row r="17" spans="1:18" ht="15" x14ac:dyDescent="0.2">
      <c r="A17" s="85">
        <f t="shared" si="13"/>
        <v>16</v>
      </c>
      <c r="B17" s="84">
        <f t="shared" si="14"/>
        <v>32000</v>
      </c>
      <c r="C17" s="84">
        <f t="shared" si="0"/>
        <v>207.54574719220173</v>
      </c>
      <c r="D17" s="58" t="str">
        <f t="shared" si="1"/>
        <v>0.00111928590512515-0.00516927532727138i</v>
      </c>
      <c r="E17" s="58" t="str">
        <f t="shared" si="2"/>
        <v>0.98845289678367-0.352389624521807i</v>
      </c>
      <c r="F17" s="84" t="str">
        <f t="shared" si="3"/>
        <v>-0.000715237596376916-0.00550400991135335i</v>
      </c>
      <c r="G17" s="84" t="str">
        <f t="shared" si="4"/>
        <v>-0.148444521360001-1.14233384960512i</v>
      </c>
      <c r="H17" s="87">
        <f t="shared" si="5"/>
        <v>1.1519385399731414</v>
      </c>
      <c r="I17" s="58" t="str">
        <f t="shared" si="6"/>
        <v>0.25914315569488-0.0207882632042706i</v>
      </c>
      <c r="J17" s="89" t="str">
        <f t="shared" si="7"/>
        <v>0.437775846911853-0.496113046363894i</v>
      </c>
      <c r="K17" s="89" t="str">
        <f t="shared" si="8"/>
        <v>0.103133285868851-0.137664899946216i</v>
      </c>
      <c r="L17" s="89" t="str">
        <f t="shared" si="9"/>
        <v>-0.17256884636815-0.0973770432884014i</v>
      </c>
      <c r="M17" s="84">
        <f t="shared" si="10"/>
        <v>-14.060243148879856</v>
      </c>
      <c r="N17" s="84">
        <f t="shared" si="11"/>
        <v>29.435141501620706</v>
      </c>
      <c r="O17" s="84">
        <f t="shared" si="12"/>
        <v>29.435141501620706</v>
      </c>
    </row>
    <row r="18" spans="1:18" ht="15" x14ac:dyDescent="0.2">
      <c r="A18" s="85">
        <f t="shared" si="13"/>
        <v>17</v>
      </c>
      <c r="B18" s="84">
        <f t="shared" si="14"/>
        <v>34000</v>
      </c>
      <c r="C18" s="84">
        <f t="shared" si="0"/>
        <v>207.54574719220173</v>
      </c>
      <c r="D18" s="58" t="str">
        <f t="shared" si="1"/>
        <v>0.00111623132518836-0.00486521518581588i</v>
      </c>
      <c r="E18" s="58" t="str">
        <f t="shared" si="2"/>
        <v>0.985114830259947-0.378718953288537i</v>
      </c>
      <c r="F18" s="84" t="str">
        <f t="shared" si="3"/>
        <v>-0.000742933170251918-0.00521553359105634i</v>
      </c>
      <c r="G18" s="84" t="str">
        <f t="shared" si="4"/>
        <v>-0.154192619933806-1.08246181616182i</v>
      </c>
      <c r="H18" s="87">
        <f t="shared" si="5"/>
        <v>1.0933887449074995</v>
      </c>
      <c r="I18" s="58" t="str">
        <f t="shared" si="6"/>
        <v>0.25914315569488-0.0195654241922546i</v>
      </c>
      <c r="J18" s="89" t="str">
        <f t="shared" si="7"/>
        <v>0.408192424544089-0.491499103853616i</v>
      </c>
      <c r="K18" s="89" t="str">
        <f t="shared" si="8"/>
        <v>0.0961638845700904-0.135355086732102i</v>
      </c>
      <c r="L18" s="89" t="str">
        <f t="shared" si="9"/>
        <v>-0.161344474315646-0.0832229776963253i</v>
      </c>
      <c r="M18" s="84">
        <f t="shared" si="10"/>
        <v>-14.820377879572144</v>
      </c>
      <c r="N18" s="84">
        <f t="shared" si="11"/>
        <v>27.285103799101222</v>
      </c>
      <c r="O18" s="84">
        <f t="shared" si="12"/>
        <v>27.285103799101222</v>
      </c>
    </row>
    <row r="19" spans="1:18" ht="15" x14ac:dyDescent="0.2">
      <c r="A19" s="85">
        <f t="shared" si="13"/>
        <v>18</v>
      </c>
      <c r="B19" s="84">
        <f t="shared" si="14"/>
        <v>36000</v>
      </c>
      <c r="C19" s="84">
        <f t="shared" si="0"/>
        <v>207.54574719220173</v>
      </c>
      <c r="D19" s="58" t="str">
        <f t="shared" si="1"/>
        <v>0.00111367154310217-0.00459493722842221i</v>
      </c>
      <c r="E19" s="58" t="str">
        <f t="shared" si="2"/>
        <v>0.981068267923973-0.405772721108261i</v>
      </c>
      <c r="F19" s="84" t="str">
        <f t="shared" si="3"/>
        <v>-0.000771912370671067-0.00495984464037296i</v>
      </c>
      <c r="G19" s="84" t="str">
        <f t="shared" si="4"/>
        <v>-0.16020712973783-1.02939466184344i</v>
      </c>
      <c r="H19" s="87">
        <f t="shared" si="5"/>
        <v>1.0417867796486016</v>
      </c>
      <c r="I19" s="58" t="str">
        <f t="shared" si="6"/>
        <v>0.259143155694879-0.0184784561815738i</v>
      </c>
      <c r="J19" s="89" t="str">
        <f t="shared" si="7"/>
        <v>0.380892987065154-0.485606342081462i</v>
      </c>
      <c r="K19" s="89" t="str">
        <f t="shared" si="8"/>
        <v>0.0897325551364661-0.132879874283789i</v>
      </c>
      <c r="L19" s="89" t="str">
        <f t="shared" si="9"/>
        <v>-0.151161628356615-0.0710819099921208i</v>
      </c>
      <c r="M19" s="84">
        <f t="shared" si="10"/>
        <v>-15.543572596178905</v>
      </c>
      <c r="N19" s="84">
        <f t="shared" si="11"/>
        <v>25.184682763355397</v>
      </c>
      <c r="O19" s="84">
        <f t="shared" si="12"/>
        <v>25.184682763355397</v>
      </c>
    </row>
    <row r="20" spans="1:18" ht="15" x14ac:dyDescent="0.2">
      <c r="A20" s="85">
        <f t="shared" si="13"/>
        <v>19</v>
      </c>
      <c r="B20" s="84">
        <f t="shared" si="14"/>
        <v>38000</v>
      </c>
      <c r="C20" s="84">
        <f t="shared" si="0"/>
        <v>207.54574719220173</v>
      </c>
      <c r="D20" s="58" t="str">
        <f t="shared" si="1"/>
        <v>0.00111150518937406-0.00435310786779133i</v>
      </c>
      <c r="E20" s="58" t="str">
        <f t="shared" si="2"/>
        <v>0.976209335792462-0.433566558673604i</v>
      </c>
      <c r="F20" s="84" t="str">
        <f t="shared" si="3"/>
        <v>-0.000802300255124551-0.00473145602015428i</v>
      </c>
      <c r="G20" s="84" t="str">
        <f t="shared" si="4"/>
        <v>-0.166514005922319-0.981993575009961i</v>
      </c>
      <c r="H20" s="87">
        <f t="shared" si="5"/>
        <v>0.99601119247182257</v>
      </c>
      <c r="I20" s="58" t="str">
        <f t="shared" si="6"/>
        <v>0.25914315569488-0.0175059058562278i</v>
      </c>
      <c r="J20" s="89" t="str">
        <f t="shared" si="7"/>
        <v>0.355741862298173-0.478737495614038i</v>
      </c>
      <c r="K20" s="89" t="str">
        <f t="shared" si="8"/>
        <v>0.0838073352806564-0.130289128913397i</v>
      </c>
      <c r="L20" s="89" t="str">
        <f t="shared" si="9"/>
        <v>-0.141898182609857-0.060603300000811i</v>
      </c>
      <c r="M20" s="84">
        <f t="shared" si="10"/>
        <v>-16.232797457770779</v>
      </c>
      <c r="N20" s="84">
        <f t="shared" si="11"/>
        <v>23.126845208172767</v>
      </c>
      <c r="O20" s="84">
        <f t="shared" si="12"/>
        <v>23.126845208172767</v>
      </c>
    </row>
    <row r="21" spans="1:18" ht="15" x14ac:dyDescent="0.2">
      <c r="A21" s="85">
        <f t="shared" si="13"/>
        <v>20</v>
      </c>
      <c r="B21" s="84">
        <f t="shared" si="14"/>
        <v>40000</v>
      </c>
      <c r="C21" s="84">
        <f t="shared" si="0"/>
        <v>207.54574719220173</v>
      </c>
      <c r="D21" s="58" t="str">
        <f t="shared" si="1"/>
        <v>0.00110965558425486-0.00413546013186714i</v>
      </c>
      <c r="E21" s="58" t="str">
        <f t="shared" si="2"/>
        <v>0.970425138632163-0.462107208872458i</v>
      </c>
      <c r="F21" s="84" t="str">
        <f t="shared" si="3"/>
        <v>-0.000834188264755975-0.0045259343166247i</v>
      </c>
      <c r="G21" s="84" t="str">
        <f t="shared" si="4"/>
        <v>-0.173132226707745-0.9393384194867i</v>
      </c>
      <c r="H21" s="87">
        <f t="shared" si="5"/>
        <v>0.95516042330519213</v>
      </c>
      <c r="I21" s="58" t="str">
        <f t="shared" si="6"/>
        <v>0.25914315569488-0.0166306105634164i</v>
      </c>
      <c r="J21" s="89" t="str">
        <f t="shared" si="7"/>
        <v>0.332592961579198-0.471142105406825i</v>
      </c>
      <c r="K21" s="89" t="str">
        <f t="shared" si="8"/>
        <v>0.0783538087504904-0.127624475996011i</v>
      </c>
      <c r="L21" s="89" t="str">
        <f t="shared" si="9"/>
        <v>-0.133448142949916-0.0515048331608503i</v>
      </c>
      <c r="M21" s="84">
        <f t="shared" si="10"/>
        <v>-16.890698611505442</v>
      </c>
      <c r="N21" s="84">
        <f t="shared" si="11"/>
        <v>21.104290157625911</v>
      </c>
      <c r="O21" s="84">
        <f t="shared" si="12"/>
        <v>21.104290157625911</v>
      </c>
    </row>
    <row r="22" spans="1:18" ht="15" x14ac:dyDescent="0.2">
      <c r="A22" s="85">
        <f t="shared" si="13"/>
        <v>21</v>
      </c>
      <c r="B22" s="84">
        <f t="shared" si="14"/>
        <v>42000</v>
      </c>
      <c r="C22" s="84">
        <f t="shared" si="0"/>
        <v>207.54574719220173</v>
      </c>
      <c r="D22" s="58" t="str">
        <f t="shared" si="1"/>
        <v>0.00110806385801008-0.00393853973495239i</v>
      </c>
      <c r="E22" s="58" t="str">
        <f t="shared" si="2"/>
        <v>0.963593842808501-0.491390740625996i</v>
      </c>
      <c r="F22" s="84" t="str">
        <f t="shared" si="3"/>
        <v>-0.000867638446326023-0.00433964495810522i</v>
      </c>
      <c r="G22" s="84" t="str">
        <f t="shared" si="4"/>
        <v>-0.180074669635415-0.900674855378819i</v>
      </c>
      <c r="H22" s="87">
        <f t="shared" si="5"/>
        <v>0.91849990841369189</v>
      </c>
      <c r="I22" s="58" t="str">
        <f t="shared" si="6"/>
        <v>0.259143155694879-0.0158386767270633i</v>
      </c>
      <c r="J22" s="89" t="str">
        <f t="shared" si="7"/>
        <v>0.311297352087164-0.463024092969992i</v>
      </c>
      <c r="K22" s="89" t="str">
        <f t="shared" si="8"/>
        <v>0.0733368892539341-0.124920062740702i</v>
      </c>
      <c r="L22" s="89" t="str">
        <f t="shared" si="9"/>
        <v>-0.125718475547386-0.0435577530938523i</v>
      </c>
      <c r="M22" s="84">
        <f t="shared" si="10"/>
        <v>-17.519675325752154</v>
      </c>
      <c r="N22" s="84">
        <f t="shared" si="11"/>
        <v>19.109696099722953</v>
      </c>
      <c r="O22" s="84">
        <f t="shared" si="12"/>
        <v>19.109696099722953</v>
      </c>
    </row>
    <row r="23" spans="1:18" ht="15" x14ac:dyDescent="0.2">
      <c r="A23" s="85">
        <f t="shared" si="13"/>
        <v>22</v>
      </c>
      <c r="B23" s="84">
        <f t="shared" si="14"/>
        <v>44000</v>
      </c>
      <c r="C23" s="84">
        <f t="shared" si="0"/>
        <v>207.54574719220173</v>
      </c>
      <c r="D23" s="58" t="str">
        <f t="shared" si="1"/>
        <v>0.00110668420809827-0.00375952039411398i</v>
      </c>
      <c r="E23" s="58" t="str">
        <f t="shared" si="2"/>
        <v>0.95558501521352-0.521400553935948i</v>
      </c>
      <c r="F23" s="84" t="str">
        <f t="shared" si="3"/>
        <v>-0.000902685170192375-0.00416956711213955i</v>
      </c>
      <c r="G23" s="84" t="str">
        <f t="shared" si="4"/>
        <v>-0.187348468126896-0.865375921757034i</v>
      </c>
      <c r="H23" s="87">
        <f t="shared" si="5"/>
        <v>0.88542359041666086</v>
      </c>
      <c r="I23" s="58" t="str">
        <f t="shared" si="6"/>
        <v>0.25914315569488-0.0151187368758331i</v>
      </c>
      <c r="J23" s="89" t="str">
        <f t="shared" si="7"/>
        <v>0.291708427470497-0.454548810154847i</v>
      </c>
      <c r="K23" s="89" t="str">
        <f t="shared" si="8"/>
        <v>0.0687220385795415-0.122203476040269i</v>
      </c>
      <c r="L23" s="89" t="str">
        <f t="shared" si="9"/>
        <v>-0.118626914374696-0.0365757634448669i</v>
      </c>
      <c r="M23" s="84">
        <f t="shared" si="10"/>
        <v>-18.121936613215205</v>
      </c>
      <c r="N23" s="84">
        <f t="shared" si="11"/>
        <v>17.135891447707564</v>
      </c>
      <c r="O23" s="84">
        <f t="shared" si="12"/>
        <v>17.135891447707564</v>
      </c>
    </row>
    <row r="24" spans="1:18" ht="15" x14ac:dyDescent="0.2">
      <c r="A24" s="85">
        <f t="shared" si="13"/>
        <v>23</v>
      </c>
      <c r="B24" s="84">
        <f t="shared" si="14"/>
        <v>46000</v>
      </c>
      <c r="C24" s="84">
        <f t="shared" si="0"/>
        <v>207.54574719220173</v>
      </c>
      <c r="D24" s="58" t="str">
        <f t="shared" si="1"/>
        <v>0.00110548056703322-0.00359606731883876i</v>
      </c>
      <c r="E24" s="58" t="str">
        <f t="shared" si="2"/>
        <v>0.946260289080358-0.552105191497926i</v>
      </c>
      <c r="F24" s="84" t="str">
        <f t="shared" si="3"/>
        <v>-0.000939335074773334-0.0040131572608359i</v>
      </c>
      <c r="G24" s="84" t="str">
        <f t="shared" si="4"/>
        <v>-0.194954999957674-0.832913722299996i</v>
      </c>
      <c r="H24" s="87">
        <f t="shared" si="5"/>
        <v>0.85542546186335344</v>
      </c>
      <c r="I24" s="58" t="str">
        <f t="shared" si="6"/>
        <v>0.25914315569488-0.0144614004899273i</v>
      </c>
      <c r="J24" s="89" t="str">
        <f t="shared" si="7"/>
        <v>0.273685278827229-0.44584935458122i</v>
      </c>
      <c r="K24" s="89" t="str">
        <f t="shared" si="8"/>
        <v>0.0644760607477466-0.119496681136021i</v>
      </c>
      <c r="L24" s="89" t="str">
        <f t="shared" si="9"/>
        <v>-0.112100355907847-0.0304065202908311i</v>
      </c>
      <c r="M24" s="84">
        <f t="shared" si="10"/>
        <v>-18.699543681900565</v>
      </c>
      <c r="N24" s="84">
        <f t="shared" si="11"/>
        <v>15.175973648417511</v>
      </c>
      <c r="O24" s="84">
        <f t="shared" si="12"/>
        <v>15.175973648417511</v>
      </c>
    </row>
    <row r="25" spans="1:18" ht="15" x14ac:dyDescent="0.2">
      <c r="A25" s="85">
        <f t="shared" si="13"/>
        <v>24</v>
      </c>
      <c r="B25" s="84">
        <f t="shared" si="14"/>
        <v>48000</v>
      </c>
      <c r="C25" s="84">
        <f t="shared" si="0"/>
        <v>207.54574719220173</v>
      </c>
      <c r="D25" s="58" t="str">
        <f t="shared" si="1"/>
        <v>0.00110442422101101-0.00344623482499527i</v>
      </c>
      <c r="E25" s="58" t="str">
        <f t="shared" si="2"/>
        <v>0.935474435292397-0.583455988747857i</v>
      </c>
      <c r="F25" s="84" t="str">
        <f t="shared" si="3"/>
        <v>-0.000977565722801393-0.0038682475026645i</v>
      </c>
      <c r="G25" s="84" t="str">
        <f t="shared" si="4"/>
        <v>-0.2028896083683-0.802838318264872i</v>
      </c>
      <c r="H25" s="87">
        <f t="shared" si="5"/>
        <v>0.82807823208813425</v>
      </c>
      <c r="I25" s="58" t="str">
        <f t="shared" si="6"/>
        <v>0.259143155694879-0.0138588421361804i</v>
      </c>
      <c r="J25" s="89" t="str">
        <f t="shared" si="7"/>
        <v>0.257094749594284-0.437032080430415i</v>
      </c>
      <c r="K25" s="89" t="str">
        <f t="shared" si="8"/>
        <v>0.0605675861113159-0.116816908011304i</v>
      </c>
      <c r="L25" s="89" t="str">
        <f t="shared" si="9"/>
        <v>-0.106073623798636-0.0249250422577625i</v>
      </c>
      <c r="M25" s="84">
        <f t="shared" si="10"/>
        <v>-19.254442362933094</v>
      </c>
      <c r="N25" s="84">
        <f t="shared" si="11"/>
        <v>13.223394673062131</v>
      </c>
      <c r="O25" s="84">
        <f t="shared" si="12"/>
        <v>13.223394673062131</v>
      </c>
      <c r="P25" s="84">
        <v>-9.1029999999999998</v>
      </c>
      <c r="Q25" s="84">
        <v>72.905000000000001</v>
      </c>
      <c r="R25" s="84">
        <f>B25</f>
        <v>48000</v>
      </c>
    </row>
    <row r="26" spans="1:18" ht="15" x14ac:dyDescent="0.2">
      <c r="A26" s="85">
        <f t="shared" si="13"/>
        <v>25</v>
      </c>
      <c r="B26" s="84">
        <f t="shared" si="14"/>
        <v>50000</v>
      </c>
      <c r="C26" s="84">
        <f t="shared" si="0"/>
        <v>207.54574719220173</v>
      </c>
      <c r="D26" s="58" t="str">
        <f t="shared" si="1"/>
        <v>0.00110349208144506-0.0033083885192821i</v>
      </c>
      <c r="E26" s="58" t="str">
        <f t="shared" si="2"/>
        <v>0.923076923076923-0.615384615384615i</v>
      </c>
      <c r="F26" s="84" t="str">
        <f t="shared" si="3"/>
        <v>-0.00101732332130124-0.00373296914484198i</v>
      </c>
      <c r="G26" s="84" t="str">
        <f t="shared" si="4"/>
        <v>-0.211141128855518-0.774761870411663i</v>
      </c>
      <c r="H26" s="87">
        <f t="shared" si="5"/>
        <v>0.80301714311598671</v>
      </c>
      <c r="I26" s="58" t="str">
        <f t="shared" si="6"/>
        <v>0.25914315569488-0.0133044884507332i</v>
      </c>
      <c r="J26" s="89" t="str">
        <f t="shared" si="7"/>
        <v>0.241812550210427-0.42818131763443i</v>
      </c>
      <c r="K26" s="89" t="str">
        <f t="shared" si="8"/>
        <v>0.0569673339528697-0.114177450142895i</v>
      </c>
      <c r="L26" s="89" t="str">
        <f t="shared" si="9"/>
        <v>-0.100488482030242-0.0200285624926757i</v>
      </c>
      <c r="M26" s="84">
        <f t="shared" si="10"/>
        <v>-19.788488238865085</v>
      </c>
      <c r="N26" s="84">
        <f t="shared" si="11"/>
        <v>11.272025287909145</v>
      </c>
      <c r="O26" s="84">
        <f t="shared" si="12"/>
        <v>11.272025287909145</v>
      </c>
    </row>
    <row r="27" spans="1:18" ht="15" x14ac:dyDescent="0.2">
      <c r="A27" s="85">
        <f t="shared" si="13"/>
        <v>26</v>
      </c>
      <c r="B27" s="84">
        <f t="shared" si="14"/>
        <v>52000</v>
      </c>
      <c r="C27" s="84">
        <f t="shared" si="0"/>
        <v>207.54574719220173</v>
      </c>
      <c r="D27" s="58" t="str">
        <f t="shared" si="1"/>
        <v>0.00110266541256138-0.00318114543965892i</v>
      </c>
      <c r="E27" s="58" t="str">
        <f t="shared" si="2"/>
        <v>0.908914055000462-0.647800587445505i</v>
      </c>
      <c r="F27" s="84" t="str">
        <f t="shared" si="3"/>
        <v>-0.00105851979312072-0.00360569510311972i</v>
      </c>
      <c r="G27" s="84" t="str">
        <f t="shared" si="4"/>
        <v>-0.219691281380975-0.748346684324245i</v>
      </c>
      <c r="H27" s="87">
        <f t="shared" si="5"/>
        <v>0.77992757295399284</v>
      </c>
      <c r="I27" s="58" t="str">
        <f t="shared" si="6"/>
        <v>0.25914315569488-0.0127927773564742i</v>
      </c>
      <c r="J27" s="89" t="str">
        <f t="shared" si="7"/>
        <v>0.227723717421637-0.419363357895402i</v>
      </c>
      <c r="K27" s="89" t="str">
        <f t="shared" si="8"/>
        <v>0.0536482206901928-0.11158836276358i</v>
      </c>
      <c r="L27" s="89" t="str">
        <f t="shared" si="9"/>
        <v>-0.0952928276305339-0.0156324776706652i</v>
      </c>
      <c r="M27" s="84">
        <f t="shared" si="10"/>
        <v>-20.303466253713253</v>
      </c>
      <c r="N27" s="84">
        <f t="shared" si="11"/>
        <v>9.3162067256560306</v>
      </c>
      <c r="O27" s="84">
        <f t="shared" si="12"/>
        <v>9.3162067256560306</v>
      </c>
    </row>
    <row r="28" spans="1:18" ht="15" x14ac:dyDescent="0.2">
      <c r="A28" s="85">
        <f t="shared" si="13"/>
        <v>27</v>
      </c>
      <c r="B28" s="84">
        <f t="shared" si="14"/>
        <v>54000</v>
      </c>
      <c r="C28" s="84">
        <f t="shared" si="0"/>
        <v>207.54574719220173</v>
      </c>
      <c r="D28" s="58" t="str">
        <f t="shared" si="1"/>
        <v>0.00110192888254107-0.00306332749691168i</v>
      </c>
      <c r="E28" s="58" t="str">
        <f t="shared" si="2"/>
        <v>0.89283175581238-0.680588859597241i</v>
      </c>
      <c r="F28" s="84" t="str">
        <f t="shared" si="3"/>
        <v>-0.00110102946871647-0.00348499658922189i</v>
      </c>
      <c r="G28" s="84" t="str">
        <f t="shared" si="4"/>
        <v>-0.228513983765393-0.723296221072332i</v>
      </c>
      <c r="H28" s="87">
        <f t="shared" si="5"/>
        <v>0.75853547326004878</v>
      </c>
      <c r="I28" s="58" t="str">
        <f t="shared" si="6"/>
        <v>0.25914315569488-0.0123189707877159i</v>
      </c>
      <c r="J28" s="89" t="str">
        <f t="shared" si="7"/>
        <v>0.214722629706372-0.410629787032495i</v>
      </c>
      <c r="K28" s="89" t="str">
        <f t="shared" si="8"/>
        <v>0.0505853635101931-0.109057060636732i</v>
      </c>
      <c r="L28" s="89" t="str">
        <f t="shared" si="9"/>
        <v>-0.0904400227757392-0.0116671388846492i</v>
      </c>
      <c r="M28" s="84">
        <f t="shared" si="10"/>
        <v>-20.801105954304283</v>
      </c>
      <c r="N28" s="84">
        <f t="shared" si="11"/>
        <v>7.3507956416120805</v>
      </c>
      <c r="O28" s="84">
        <f t="shared" si="12"/>
        <v>7.3507956416120805</v>
      </c>
    </row>
    <row r="29" spans="1:18" ht="15" x14ac:dyDescent="0.2">
      <c r="A29" s="85">
        <f t="shared" si="13"/>
        <v>28</v>
      </c>
      <c r="B29" s="84">
        <f t="shared" si="14"/>
        <v>56000.000000000007</v>
      </c>
      <c r="C29" s="84">
        <f t="shared" si="0"/>
        <v>207.54574719220173</v>
      </c>
      <c r="D29" s="58" t="str">
        <f t="shared" si="1"/>
        <v>0.00110126984749068-0.00295392489233684i</v>
      </c>
      <c r="E29" s="58" t="str">
        <f t="shared" si="2"/>
        <v>0.874679080449271-0.713607641392179i</v>
      </c>
      <c r="F29" s="84" t="str">
        <f t="shared" si="3"/>
        <v>-0.00114468567774048-0.00336961088694955i</v>
      </c>
      <c r="G29" s="84" t="str">
        <f t="shared" si="4"/>
        <v>-0.23757464428686-0.699348409278922i</v>
      </c>
      <c r="H29" s="87">
        <f t="shared" si="5"/>
        <v>0.73859996558961916</v>
      </c>
      <c r="I29" s="58" t="str">
        <f t="shared" si="6"/>
        <v>0.25914315569488-0.0118790075452975i</v>
      </c>
      <c r="J29" s="89" t="str">
        <f t="shared" si="7"/>
        <v>0.202712732993143-0.402020249335271i</v>
      </c>
      <c r="K29" s="89" t="str">
        <f t="shared" si="8"/>
        <v>0.0477560157521606-0.106588822150738i</v>
      </c>
      <c r="L29" s="89" t="str">
        <f t="shared" si="9"/>
        <v>-0.0858883416729098-0.00807529214235568i</v>
      </c>
      <c r="M29" s="84">
        <f t="shared" si="10"/>
        <v>-21.283093084827833</v>
      </c>
      <c r="N29" s="84">
        <f t="shared" si="11"/>
        <v>5.3712061955421575</v>
      </c>
      <c r="O29" s="84">
        <f t="shared" si="12"/>
        <v>5.3712061955421575</v>
      </c>
    </row>
    <row r="30" spans="1:18" ht="15" x14ac:dyDescent="0.2">
      <c r="A30" s="85">
        <f t="shared" si="13"/>
        <v>29</v>
      </c>
      <c r="B30" s="84">
        <f t="shared" si="14"/>
        <v>57999.999999999993</v>
      </c>
      <c r="C30" s="84">
        <f t="shared" si="0"/>
        <v>207.54574719220173</v>
      </c>
      <c r="D30" s="58" t="str">
        <f t="shared" si="1"/>
        <v>0.00110067780516559-0.00285206710369577i</v>
      </c>
      <c r="E30" s="58" t="str">
        <f t="shared" si="2"/>
        <v>0.854312480830752-0.74668661675985i</v>
      </c>
      <c r="F30" s="84" t="str">
        <f t="shared" si="3"/>
        <v>-0.0011892775501043-0.00325841790933586i</v>
      </c>
      <c r="G30" s="84" t="str">
        <f t="shared" si="4"/>
        <v>-0.246829497755308-0.676270779657563i</v>
      </c>
      <c r="H30" s="87">
        <f t="shared" si="5"/>
        <v>0.7199076110035133</v>
      </c>
      <c r="I30" s="58" t="str">
        <f t="shared" si="6"/>
        <v>0.25914315569488-0.0114693865954596i</v>
      </c>
      <c r="J30" s="89" t="str">
        <f t="shared" si="7"/>
        <v>0.191606087159378-0.393564727234099i</v>
      </c>
      <c r="K30" s="89" t="str">
        <f t="shared" si="8"/>
        <v>0.0451394600698449-0.104187209673313i</v>
      </c>
      <c r="L30" s="89" t="str">
        <f t="shared" si="9"/>
        <v>-0.081600515774103-0.00481002121856463i</v>
      </c>
      <c r="M30" s="84">
        <f t="shared" si="10"/>
        <v>-21.751077966484221</v>
      </c>
      <c r="N30" s="84">
        <f t="shared" si="11"/>
        <v>3.3734515161002605</v>
      </c>
      <c r="O30" s="84">
        <f t="shared" si="12"/>
        <v>3.3734515161002605</v>
      </c>
    </row>
    <row r="31" spans="1:18" ht="15" x14ac:dyDescent="0.2">
      <c r="A31" s="85">
        <f t="shared" si="13"/>
        <v>30</v>
      </c>
      <c r="B31" s="84">
        <f t="shared" si="14"/>
        <v>60000</v>
      </c>
      <c r="C31" s="84">
        <f t="shared" si="0"/>
        <v>207.54574719220173</v>
      </c>
      <c r="D31" s="58" t="str">
        <f t="shared" si="1"/>
        <v>0.00110014397396371-0.00275699967363264i</v>
      </c>
      <c r="E31" s="58" t="str">
        <f t="shared" si="2"/>
        <v>0.831600831600832-0.77962577962578i</v>
      </c>
      <c r="F31" s="84" t="str">
        <f t="shared" si="3"/>
        <v>-0.001234547376355-0.00315042382471819i</v>
      </c>
      <c r="G31" s="84" t="str">
        <f t="shared" si="4"/>
        <v>-0.256225057669771-0.653857066673251i</v>
      </c>
      <c r="H31" s="87">
        <f t="shared" si="5"/>
        <v>0.70226799999460732</v>
      </c>
      <c r="I31" s="58" t="str">
        <f t="shared" si="6"/>
        <v>0.25914315569488-0.0110870737089443i</v>
      </c>
      <c r="J31" s="89" t="str">
        <f t="shared" si="7"/>
        <v>0.181322811119743-0.38528541276225i</v>
      </c>
      <c r="K31" s="89" t="str">
        <f t="shared" si="8"/>
        <v>0.0427168777027608-0.101854417078411i</v>
      </c>
      <c r="L31" s="89" t="str">
        <f t="shared" si="9"/>
        <v>-0.0775433648314661-0.00183307846233042i</v>
      </c>
      <c r="M31" s="84">
        <f t="shared" si="10"/>
        <v>-22.206680900954158</v>
      </c>
      <c r="N31" s="84">
        <f t="shared" si="11"/>
        <v>1.3541855231725322</v>
      </c>
      <c r="O31" s="84">
        <f t="shared" si="12"/>
        <v>1.3541855231725322</v>
      </c>
    </row>
    <row r="32" spans="1:18" ht="15" x14ac:dyDescent="0.2">
      <c r="A32" s="85">
        <f t="shared" si="13"/>
        <v>31</v>
      </c>
      <c r="B32" s="84">
        <f t="shared" si="14"/>
        <v>62000</v>
      </c>
      <c r="C32" s="84">
        <f t="shared" si="0"/>
        <v>207.54574719220173</v>
      </c>
      <c r="D32" s="58" t="str">
        <f t="shared" si="1"/>
        <v>0.00109966096540333-0.00266806549040681i</v>
      </c>
      <c r="E32" s="58" t="str">
        <f t="shared" si="2"/>
        <v>0.80643116012275-0.812195125529735i</v>
      </c>
      <c r="F32" s="84" t="str">
        <f t="shared" si="3"/>
        <v>-0.0012801889178306-0.00304475042454814i</v>
      </c>
      <c r="G32" s="84" t="str">
        <f t="shared" si="4"/>
        <v>-0.265697765498328-0.631925001876617i</v>
      </c>
      <c r="H32" s="87">
        <f t="shared" si="5"/>
        <v>0.6855104015166853</v>
      </c>
      <c r="I32" s="58" t="str">
        <f t="shared" si="6"/>
        <v>0.25914315569488-0.0107294261699461i</v>
      </c>
      <c r="J32" s="89" t="str">
        <f t="shared" si="7"/>
        <v>0.171790480237867-0.377198238513265i</v>
      </c>
      <c r="K32" s="89" t="str">
        <f t="shared" si="8"/>
        <v>0.040471206515618-0.0995915551252893i</v>
      </c>
      <c r="L32" s="89" t="str">
        <f t="shared" si="9"/>
        <v>-0.0736875027976647+0.000886486405962065i</v>
      </c>
      <c r="M32" s="84">
        <f t="shared" si="10"/>
        <v>-22.651494715529537</v>
      </c>
      <c r="N32" s="84">
        <f t="shared" si="11"/>
        <v>359.31074500313423</v>
      </c>
      <c r="O32" s="84">
        <f t="shared" si="12"/>
        <v>-0.68925499686577041</v>
      </c>
    </row>
    <row r="33" spans="1:18" ht="15" x14ac:dyDescent="0.2">
      <c r="A33" s="85">
        <f t="shared" si="13"/>
        <v>32</v>
      </c>
      <c r="B33" s="84">
        <f t="shared" si="14"/>
        <v>64000</v>
      </c>
      <c r="C33" s="84">
        <f t="shared" si="0"/>
        <v>207.54574719220173</v>
      </c>
      <c r="D33" s="58" t="str">
        <f t="shared" si="1"/>
        <v>0.00109922252709267-0.00258468957830557i</v>
      </c>
      <c r="E33" s="58" t="str">
        <f t="shared" si="2"/>
        <v>0.778714955716654-0.844135453351387i</v>
      </c>
      <c r="F33" s="84" t="str">
        <f t="shared" si="3"/>
        <v>-0.00132584708744786-0.00294062913675295i</v>
      </c>
      <c r="G33" s="84" t="str">
        <f t="shared" si="4"/>
        <v>-0.275173924426971-0.61031507140255i</v>
      </c>
      <c r="H33" s="87">
        <f t="shared" si="5"/>
        <v>0.66948127312542516</v>
      </c>
      <c r="I33" s="58" t="str">
        <f t="shared" si="6"/>
        <v>0.25914315569488-0.0103941316021353i</v>
      </c>
      <c r="J33" s="89" t="str">
        <f t="shared" si="7"/>
        <v>0.162943512299861-0.369314126590422i</v>
      </c>
      <c r="K33" s="89" t="str">
        <f t="shared" si="8"/>
        <v>0.038386996343085-0.0973988845178993i</v>
      </c>
      <c r="L33" s="89" t="str">
        <f t="shared" si="9"/>
        <v>-0.0700071075897609+0.00337347087354035i</v>
      </c>
      <c r="M33" s="84">
        <f t="shared" si="10"/>
        <v>-23.087084504802373</v>
      </c>
      <c r="N33" s="84">
        <f t="shared" si="11"/>
        <v>357.24119089546576</v>
      </c>
      <c r="O33" s="84">
        <f t="shared" si="12"/>
        <v>-2.7588091045342367</v>
      </c>
    </row>
    <row r="34" spans="1:18" ht="15" x14ac:dyDescent="0.2">
      <c r="A34" s="85">
        <f t="shared" si="13"/>
        <v>33</v>
      </c>
      <c r="B34" s="84">
        <f t="shared" si="14"/>
        <v>66000</v>
      </c>
      <c r="C34" s="84">
        <f t="shared" ref="C34:C65" si="15">_ta1*_ta2*(rload/RS)</f>
        <v>207.54574719220173</v>
      </c>
      <c r="D34" s="58" t="str">
        <f t="shared" ref="D34:D65" si="16">IMDIV((COMPLEX(1,2*PI()*(B34)*(esrcout*0.001)*(cout*0.000001))),(COMPLEX(1,2*PI()*(B34)*rload*(cout*0.000001))))</f>
        <v>0.00109882333937071-0.00250636665330164i</v>
      </c>
      <c r="E34" s="58" t="str">
        <f t="shared" ref="E34:E65" si="17">IMDIV(1,(COMPLEX((1-(B34/(fpp*1000))^2),(B34/(fpp*1000)))))</f>
        <v>0.748394849515882-0.875160525656418i</v>
      </c>
      <c r="F34" s="84" t="str">
        <f t="shared" ref="F34:F65" si="18">IMPRODUCT(D34,E34)</f>
        <v>-0.0013711194300783-0.00283739870561652i</v>
      </c>
      <c r="G34" s="84" t="str">
        <f t="shared" ref="G34:G65" si="19">IMPRODUCT(C34,F34)</f>
        <v>-0.284570006605347-0.588890034439367i</v>
      </c>
      <c r="H34" s="87">
        <f t="shared" ref="H34:H65" si="20">IMABS(G34)</f>
        <v>0.6540424766950278</v>
      </c>
      <c r="I34" s="58" t="str">
        <f t="shared" ref="I34:I65" si="21">IMDIV((COMPLEX(1,(2*PI()*B34*(rf*1000)*(Cz*0.000000001)))),(COMPLEX(0,2*PI()*B34*((Cz*0.000000001)+(Cp*0.000000000001))*(RII*1000))))</f>
        <v>0.25914315569488-0.0100791579172221i</v>
      </c>
      <c r="J34" s="89" t="str">
        <f t="shared" ref="J34:J65" si="22">IMDIV(1,(COMPLEX(1,2*PI()*B34*(((Cz*0.000000001)*(Cp*0.000000000001))/((Cz*0.000000001)+(Cp*0.000000000001)))*(rf*1000))))</f>
        <v>0.154722565733777-0.361640005235225i</v>
      </c>
      <c r="K34" s="89" t="str">
        <f t="shared" ref="K34:K65" si="23">IMPRODUCT(I34,J34)</f>
        <v>0.0364502672195086-0.0952760053555576i</v>
      </c>
      <c r="L34" s="89" t="str">
        <f t="shared" ref="L34:L65" si="24">IMPRODUCT(G34,K34)</f>
        <v>-0.0664797428585018+0.00564749435514155i</v>
      </c>
      <c r="M34" s="84">
        <f t="shared" ref="M34:M65" si="25">20*LOG(IMABS(L34))</f>
        <v>-23.514984610642159</v>
      </c>
      <c r="N34" s="84">
        <f t="shared" ref="N34:N65" si="26">(180/PI())*IMARGUMENT(L34)+180</f>
        <v>355.14434693463801</v>
      </c>
      <c r="O34" s="84">
        <f t="shared" si="12"/>
        <v>-4.8556530653619916</v>
      </c>
    </row>
    <row r="35" spans="1:18" ht="15" x14ac:dyDescent="0.2">
      <c r="A35" s="85">
        <f t="shared" si="13"/>
        <v>34</v>
      </c>
      <c r="B35" s="84">
        <f t="shared" si="14"/>
        <v>68000</v>
      </c>
      <c r="C35" s="84">
        <f t="shared" si="15"/>
        <v>207.54574719220173</v>
      </c>
      <c r="D35" s="58" t="str">
        <f t="shared" si="16"/>
        <v>0.00109845885318271-0.00243265087467074i</v>
      </c>
      <c r="E35" s="58" t="str">
        <f t="shared" si="17"/>
        <v>0.715451364638305-0.904960803485952i</v>
      </c>
      <c r="F35" s="84" t="str">
        <f t="shared" si="18"/>
        <v>-0.00141555980463424-0.00273450559434423i</v>
      </c>
      <c r="G35" s="84" t="str">
        <f t="shared" si="19"/>
        <v>-0.29379341734806-0.567535006779429i</v>
      </c>
      <c r="H35" s="87">
        <f t="shared" si="20"/>
        <v>0.63907007127323523</v>
      </c>
      <c r="I35" s="58" t="str">
        <f t="shared" si="21"/>
        <v>0.259143155694879-0.00978271209612729i</v>
      </c>
      <c r="J35" s="89" t="str">
        <f t="shared" si="22"/>
        <v>0.147073964865272-0.354179634824027i</v>
      </c>
      <c r="K35" s="89" t="str">
        <f t="shared" si="23"/>
        <v>0.0346483739779494-0.0932220105062711i</v>
      </c>
      <c r="L35" s="89" t="str">
        <f t="shared" si="24"/>
        <v>-0.0630862185612039+0.00772384787822244i</v>
      </c>
      <c r="M35" s="84">
        <f t="shared" si="25"/>
        <v>-23.936692913722148</v>
      </c>
      <c r="N35" s="84">
        <f t="shared" si="26"/>
        <v>353.01983310710455</v>
      </c>
      <c r="O35" s="84">
        <f t="shared" si="12"/>
        <v>-6.9801668928954541</v>
      </c>
    </row>
    <row r="36" spans="1:18" ht="15" x14ac:dyDescent="0.2">
      <c r="A36" s="85">
        <f t="shared" si="13"/>
        <v>35</v>
      </c>
      <c r="B36" s="84">
        <f t="shared" ref="B36:B67" si="27">(fs*1000/2)*(A36/100)</f>
        <v>70000</v>
      </c>
      <c r="C36" s="84">
        <f t="shared" si="15"/>
        <v>207.54574719220173</v>
      </c>
      <c r="D36" s="58" t="str">
        <f t="shared" si="16"/>
        <v>0.00109812515990467-0.00236314735339915i</v>
      </c>
      <c r="E36" s="58" t="str">
        <f t="shared" si="17"/>
        <v>0.679909345420611-0.933208905479269i</v>
      </c>
      <c r="F36" s="84" t="str">
        <f t="shared" si="18"/>
        <v>-0.00145868459649116-0.00263150614873595i</v>
      </c>
      <c r="G36" s="84" t="str">
        <f t="shared" si="19"/>
        <v>-0.302743784496513-0.546157909880276i</v>
      </c>
      <c r="H36" s="87">
        <f t="shared" si="20"/>
        <v>0.62445357039259763</v>
      </c>
      <c r="I36" s="58" t="str">
        <f t="shared" si="21"/>
        <v>0.25914315569488-0.00950320603623798i</v>
      </c>
      <c r="J36" s="89" t="str">
        <f t="shared" si="22"/>
        <v>0.139949160786325-0.346934277899328i</v>
      </c>
      <c r="K36" s="89" t="str">
        <f t="shared" si="23"/>
        <v>0.0329698792391077-0.0912356093031074i</v>
      </c>
      <c r="L36" s="89" t="str">
        <f t="shared" si="24"/>
        <v>-0.0598104756988791+0.00961425330703184i</v>
      </c>
      <c r="M36" s="84">
        <f t="shared" si="25"/>
        <v>-24.353662581663226</v>
      </c>
      <c r="N36" s="84">
        <f t="shared" si="26"/>
        <v>350.86809086272103</v>
      </c>
      <c r="O36" s="84">
        <f t="shared" si="12"/>
        <v>-9.1319091372789671</v>
      </c>
    </row>
    <row r="37" spans="1:18" ht="15" x14ac:dyDescent="0.2">
      <c r="A37" s="85">
        <f t="shared" si="13"/>
        <v>36</v>
      </c>
      <c r="B37" s="84">
        <f t="shared" si="27"/>
        <v>72000</v>
      </c>
      <c r="C37" s="84">
        <f t="shared" si="15"/>
        <v>207.54574719220173</v>
      </c>
      <c r="D37" s="58" t="str">
        <f t="shared" si="16"/>
        <v>0.00109781888611871-0.00229750507579921i</v>
      </c>
      <c r="E37" s="58" t="str">
        <f t="shared" si="17"/>
        <v>0.641843596575924-0.959566838734771i</v>
      </c>
      <c r="F37" s="84" t="str">
        <f t="shared" si="18"/>
        <v>-0.00149998166030633-0.00252806951905866i</v>
      </c>
      <c r="G37" s="84" t="str">
        <f t="shared" si="19"/>
        <v>-0.311314814462877-0.52469007728686i</v>
      </c>
      <c r="H37" s="87">
        <f t="shared" si="20"/>
        <v>0.61009555883266897</v>
      </c>
      <c r="I37" s="58" t="str">
        <f t="shared" si="21"/>
        <v>0.259143155694879-0.00923922809078687i</v>
      </c>
      <c r="J37" s="89" t="str">
        <f t="shared" si="22"/>
        <v>0.133304232143447-0.339903241873468i</v>
      </c>
      <c r="K37" s="89" t="str">
        <f t="shared" si="23"/>
        <v>0.0314044358046687-0.0893152269362507i</v>
      </c>
      <c r="L37" s="89" t="str">
        <f t="shared" si="24"/>
        <v>-0.0566394794299166+0.0113275574528668i</v>
      </c>
      <c r="M37" s="84">
        <f t="shared" si="25"/>
        <v>-24.767291525149858</v>
      </c>
      <c r="N37" s="84">
        <f t="shared" si="26"/>
        <v>348.69039671352266</v>
      </c>
      <c r="O37" s="84">
        <f t="shared" si="12"/>
        <v>-11.309603286477341</v>
      </c>
    </row>
    <row r="38" spans="1:18" ht="15" x14ac:dyDescent="0.2">
      <c r="A38" s="85">
        <f t="shared" si="13"/>
        <v>37</v>
      </c>
      <c r="B38" s="84">
        <f t="shared" si="27"/>
        <v>74000</v>
      </c>
      <c r="C38" s="84">
        <f t="shared" si="15"/>
        <v>207.54574719220173</v>
      </c>
      <c r="D38" s="58" t="str">
        <f t="shared" si="16"/>
        <v>0.00109753710801983-0.00223541097460279i</v>
      </c>
      <c r="E38" s="58" t="str">
        <f t="shared" si="17"/>
        <v>0.601383213294196-0.983694911223927i</v>
      </c>
      <c r="F38" s="84" t="str">
        <f t="shared" si="18"/>
        <v>-0.0015389220074803-0.00242398030297827i</v>
      </c>
      <c r="G38" s="84" t="str">
        <f t="shared" si="19"/>
        <v>-0.319396717913022-0.503086803160805i</v>
      </c>
      <c r="H38" s="87">
        <f t="shared" si="20"/>
        <v>0.59591156636548781</v>
      </c>
      <c r="I38" s="58" t="str">
        <f t="shared" si="21"/>
        <v>0.259143155694879-0.00898951922346835i</v>
      </c>
      <c r="J38" s="89" t="str">
        <f t="shared" si="22"/>
        <v>0.127099427276634-0.333084317947552i</v>
      </c>
      <c r="K38" s="89" t="str">
        <f t="shared" si="23"/>
        <v>0.0299426787922534-0.0874590840102002i</v>
      </c>
      <c r="L38" s="89" t="str">
        <f t="shared" si="24"/>
        <v>-0.0535631043138335+0.0128703778328716i</v>
      </c>
      <c r="M38" s="84">
        <f t="shared" si="25"/>
        <v>-25.178909945412848</v>
      </c>
      <c r="N38" s="84">
        <f t="shared" si="26"/>
        <v>346.48886081886576</v>
      </c>
      <c r="O38" s="84">
        <f t="shared" si="12"/>
        <v>-13.51113918113424</v>
      </c>
    </row>
    <row r="39" spans="1:18" ht="15" x14ac:dyDescent="0.2">
      <c r="A39" s="85">
        <f t="shared" si="13"/>
        <v>38</v>
      </c>
      <c r="B39" s="84">
        <f t="shared" si="27"/>
        <v>76000</v>
      </c>
      <c r="C39" s="84">
        <f t="shared" si="15"/>
        <v>207.54574719220173</v>
      </c>
      <c r="D39" s="58" t="str">
        <f t="shared" si="16"/>
        <v>0.00109727728137712-0.00217658493616397i</v>
      </c>
      <c r="E39" s="58" t="str">
        <f t="shared" si="17"/>
        <v>0.558714077224444-1.00526207076368i</v>
      </c>
      <c r="F39" s="84" t="str">
        <f t="shared" si="18"/>
        <v>-0.00157497401639726-0.00231913987618858i</v>
      </c>
      <c r="G39" s="84" t="str">
        <f t="shared" si="19"/>
        <v>-0.326879159041472-0.481327618446789i</v>
      </c>
      <c r="H39" s="87">
        <f t="shared" si="20"/>
        <v>0.58183009624401316</v>
      </c>
      <c r="I39" s="58" t="str">
        <f t="shared" si="21"/>
        <v>0.259143155694881-0.00875295292811395i</v>
      </c>
      <c r="J39" s="89" t="str">
        <f t="shared" si="22"/>
        <v>0.121298747257373-0.326474135531691i</v>
      </c>
      <c r="K39" s="89" t="str">
        <f t="shared" si="23"/>
        <v>0.0285761274055558-0.0856652599594237i</v>
      </c>
      <c r="L39" s="89" t="str">
        <f t="shared" si="24"/>
        <v>-0.0505739960548845+0.0142477087860573i</v>
      </c>
      <c r="M39" s="84">
        <f t="shared" si="25"/>
        <v>-25.589766501677293</v>
      </c>
      <c r="N39" s="84">
        <f t="shared" si="26"/>
        <v>344.26640744762756</v>
      </c>
      <c r="O39" s="84">
        <f t="shared" si="12"/>
        <v>-15.733592552372443</v>
      </c>
    </row>
    <row r="40" spans="1:18" ht="15" x14ac:dyDescent="0.2">
      <c r="A40" s="85">
        <f t="shared" si="13"/>
        <v>39</v>
      </c>
      <c r="B40" s="84">
        <f t="shared" si="27"/>
        <v>78000</v>
      </c>
      <c r="C40" s="84">
        <f t="shared" si="15"/>
        <v>207.54574719220173</v>
      </c>
      <c r="D40" s="58" t="str">
        <f t="shared" si="16"/>
        <v>0.00109703718390094-0.002120775575758i</v>
      </c>
      <c r="E40" s="58" t="str">
        <f t="shared" si="17"/>
        <v>0.514079044457808-1.02395723870554i</v>
      </c>
      <c r="F40" s="84" t="str">
        <f t="shared" si="18"/>
        <v>-0.00160761967523283-0.00221356544707964i</v>
      </c>
      <c r="G40" s="84" t="str">
        <f t="shared" si="19"/>
        <v>-0.333654626697082-0.459416094672984i</v>
      </c>
      <c r="H40" s="87">
        <f t="shared" si="20"/>
        <v>0.56779270685783323</v>
      </c>
      <c r="I40" s="58" t="str">
        <f t="shared" si="21"/>
        <v>0.25914315569488-0.00852851823764945i</v>
      </c>
      <c r="J40" s="89" t="str">
        <f t="shared" si="22"/>
        <v>0.115869568189731-0.320068447925215i</v>
      </c>
      <c r="K40" s="89" t="str">
        <f t="shared" si="23"/>
        <v>0.0272970959542636-0.0839317433591973i</v>
      </c>
      <c r="L40" s="89" t="str">
        <f t="shared" si="24"/>
        <v>-0.0476673961137118+0.0154634892793268i</v>
      </c>
      <c r="M40" s="84">
        <f t="shared" si="25"/>
        <v>-26.001013769003794</v>
      </c>
      <c r="N40" s="84">
        <f t="shared" si="26"/>
        <v>342.02673485871435</v>
      </c>
      <c r="O40" s="84">
        <f t="shared" si="12"/>
        <v>-17.973265141285651</v>
      </c>
    </row>
    <row r="41" spans="1:18" ht="15" x14ac:dyDescent="0.2">
      <c r="A41" s="85">
        <f t="shared" si="13"/>
        <v>40</v>
      </c>
      <c r="B41" s="84">
        <f t="shared" si="27"/>
        <v>80000</v>
      </c>
      <c r="C41" s="84">
        <f t="shared" si="15"/>
        <v>207.54574719220173</v>
      </c>
      <c r="D41" s="58" t="str">
        <f t="shared" si="16"/>
        <v>0.00109681486756676-0.00206775664656488i</v>
      </c>
      <c r="E41" s="58" t="str">
        <f t="shared" si="17"/>
        <v>0.467775467775468-1.03950103950104i</v>
      </c>
      <c r="F41" s="84" t="str">
        <f t="shared" si="18"/>
        <v>-0.00163637209580025-0.00210738602756856i</v>
      </c>
      <c r="G41" s="84" t="str">
        <f t="shared" si="19"/>
        <v>-0.339622069307332-0.437379007714123i</v>
      </c>
      <c r="H41" s="87">
        <f t="shared" si="20"/>
        <v>0.55375404860785005</v>
      </c>
      <c r="I41" s="58" t="str">
        <f t="shared" si="21"/>
        <v>0.25914315569488-0.00831530528170824i</v>
      </c>
      <c r="J41" s="89" t="str">
        <f t="shared" si="22"/>
        <v>0.110782300440295-0.313862362110291i</v>
      </c>
      <c r="K41" s="89" t="str">
        <f t="shared" si="23"/>
        <v>0.0260986135738512-0.0822564716190809i</v>
      </c>
      <c r="L41" s="89" t="str">
        <f t="shared" si="24"/>
        <v>-0.0448409190828223+0.0165211273975467i</v>
      </c>
      <c r="M41" s="84">
        <f t="shared" si="25"/>
        <v>-26.413693775979283</v>
      </c>
      <c r="N41" s="84">
        <f t="shared" si="26"/>
        <v>339.77425314857902</v>
      </c>
      <c r="O41" s="84">
        <f t="shared" si="12"/>
        <v>-20.225746851420979</v>
      </c>
    </row>
    <row r="42" spans="1:18" ht="15" x14ac:dyDescent="0.2">
      <c r="A42" s="85">
        <f t="shared" si="13"/>
        <v>41</v>
      </c>
      <c r="B42" s="84">
        <f t="shared" si="27"/>
        <v>82000</v>
      </c>
      <c r="C42" s="84">
        <f t="shared" si="15"/>
        <v>207.54574719220173</v>
      </c>
      <c r="D42" s="58" t="str">
        <f t="shared" si="16"/>
        <v>0.00109660861897724-0.00201732397415126i</v>
      </c>
      <c r="E42" s="58" t="str">
        <f t="shared" si="17"/>
        <v>0.420149875001565-1.05165719627986i</v>
      </c>
      <c r="F42" s="84" t="str">
        <f t="shared" si="18"/>
        <v>-0.00166079330045513-0.00200083476122725i</v>
      </c>
      <c r="G42" s="84" t="str">
        <f t="shared" si="19"/>
        <v>-0.344690586474763-0.41526474552704i</v>
      </c>
      <c r="H42" s="87">
        <f t="shared" si="20"/>
        <v>0.53968176667546708</v>
      </c>
      <c r="I42" s="58" t="str">
        <f t="shared" si="21"/>
        <v>0.259143155694879-0.0081124929577641i</v>
      </c>
      <c r="J42" s="89" t="str">
        <f t="shared" si="22"/>
        <v>0.106010082097804-0.30785052313001i</v>
      </c>
      <c r="K42" s="89" t="str">
        <f t="shared" si="23"/>
        <v>0.0249743520093619-0.0806373620907005i</v>
      </c>
      <c r="L42" s="89" t="str">
        <f t="shared" si="24"/>
        <v>-0.0420942776895007+0.017423971698951i</v>
      </c>
      <c r="M42" s="84">
        <f t="shared" si="25"/>
        <v>-26.82872448775267</v>
      </c>
      <c r="N42" s="84">
        <f t="shared" si="26"/>
        <v>337.51399993026575</v>
      </c>
      <c r="O42" s="84">
        <f t="shared" si="12"/>
        <v>-22.486000069734246</v>
      </c>
    </row>
    <row r="43" spans="1:18" ht="15" x14ac:dyDescent="0.2">
      <c r="A43" s="85">
        <f t="shared" si="13"/>
        <v>42</v>
      </c>
      <c r="B43" s="84">
        <f t="shared" si="27"/>
        <v>84000</v>
      </c>
      <c r="C43" s="84">
        <f t="shared" si="15"/>
        <v>207.54574719220173</v>
      </c>
      <c r="D43" s="58" t="str">
        <f t="shared" si="16"/>
        <v>0.00109641692625028-0.00196929282887065i</v>
      </c>
      <c r="E43" s="58" t="str">
        <f t="shared" si="17"/>
        <v>0.371589855273829-1.06024279358022i</v>
      </c>
      <c r="F43" s="84" t="str">
        <f t="shared" si="18"/>
        <v>-0.00168051112331419-0.00189423738208807i</v>
      </c>
      <c r="G43" s="84" t="str">
        <f t="shared" si="19"/>
        <v>-0.34878293675305-0.393140912824869i</v>
      </c>
      <c r="H43" s="87">
        <f t="shared" si="20"/>
        <v>0.52555619519405661</v>
      </c>
      <c r="I43" s="58" t="str">
        <f t="shared" si="21"/>
        <v>0.25914315569488-0.00791933836353165i</v>
      </c>
      <c r="J43" s="89" t="str">
        <f t="shared" si="22"/>
        <v>0.101528503822862-0.302027261574767i</v>
      </c>
      <c r="K43" s="89" t="str">
        <f t="shared" si="23"/>
        <v>0.0239185607942147-0.0790723362456845i</v>
      </c>
      <c r="L43" s="89" t="str">
        <f t="shared" si="24"/>
        <v>-0.0394289563275359+0.0181757168275998i</v>
      </c>
      <c r="M43" s="84">
        <f t="shared" si="25"/>
        <v>-27.246888115094304</v>
      </c>
      <c r="N43" s="84">
        <f t="shared" si="26"/>
        <v>335.25153523233644</v>
      </c>
      <c r="O43" s="84">
        <f t="shared" si="12"/>
        <v>-24.748464767663563</v>
      </c>
    </row>
    <row r="44" spans="1:18" ht="15" x14ac:dyDescent="0.2">
      <c r="A44" s="85">
        <f t="shared" si="13"/>
        <v>43</v>
      </c>
      <c r="B44" s="84">
        <f t="shared" si="27"/>
        <v>86000</v>
      </c>
      <c r="C44" s="84">
        <f t="shared" si="15"/>
        <v>207.54574719220173</v>
      </c>
      <c r="D44" s="58" t="str">
        <f t="shared" si="16"/>
        <v>0.00109623845123323-0.00192349566489517i</v>
      </c>
      <c r="E44" s="58" t="str">
        <f t="shared" si="17"/>
        <v>0.322513460849838-1.0651366218543i</v>
      </c>
      <c r="F44" s="84" t="str">
        <f t="shared" si="18"/>
        <v>-0.00169523401783394-0.00178799696450835i</v>
      </c>
      <c r="G44" s="84" t="str">
        <f t="shared" si="19"/>
        <v>-0.351838610896983-0.371091165976274i</v>
      </c>
      <c r="H44" s="87">
        <f t="shared" si="20"/>
        <v>0.51136978947093581</v>
      </c>
      <c r="I44" s="58" t="str">
        <f t="shared" si="21"/>
        <v>0.259143155694879-0.0077351677039146i</v>
      </c>
      <c r="J44" s="89" t="str">
        <f t="shared" si="22"/>
        <v>0.0973153622549866-0.29638671111264i</v>
      </c>
      <c r="K44" s="89" t="str">
        <f t="shared" si="23"/>
        <v>0.0229260091566796-0.0775593382709655i</v>
      </c>
      <c r="L44" s="89" t="str">
        <f t="shared" si="24"/>
        <v>-0.0368478404864185+0.0187807303702107i</v>
      </c>
      <c r="M44" s="84">
        <f t="shared" si="25"/>
        <v>-27.668822072466131</v>
      </c>
      <c r="N44" s="84">
        <f t="shared" si="26"/>
        <v>332.99281859136715</v>
      </c>
      <c r="O44" s="84">
        <f t="shared" si="12"/>
        <v>-27.007181408632846</v>
      </c>
    </row>
    <row r="45" spans="1:18" ht="15" x14ac:dyDescent="0.2">
      <c r="A45" s="85">
        <f t="shared" si="13"/>
        <v>44</v>
      </c>
      <c r="B45" s="84">
        <f t="shared" si="27"/>
        <v>88000</v>
      </c>
      <c r="C45" s="84">
        <f t="shared" si="15"/>
        <v>207.54574719220173</v>
      </c>
      <c r="D45" s="58" t="str">
        <f t="shared" si="16"/>
        <v>0.00109607200608632-0.00187978016755297i</v>
      </c>
      <c r="E45" s="58" t="str">
        <f t="shared" si="17"/>
        <v>0.27335668044953-1.0662849237393i</v>
      </c>
      <c r="F45" s="84" t="str">
        <f t="shared" si="18"/>
        <v>-0.00170476264748845-0.00168257552199967i</v>
      </c>
      <c r="G45" s="84" t="str">
        <f t="shared" si="19"/>
        <v>-0.353816237458346-0.34921139392073i</v>
      </c>
      <c r="H45" s="87">
        <f t="shared" si="20"/>
        <v>0.49712626920455527</v>
      </c>
      <c r="I45" s="58" t="str">
        <f t="shared" si="21"/>
        <v>0.25914315569488-0.00755936843791657i</v>
      </c>
      <c r="J45" s="89" t="str">
        <f t="shared" si="22"/>
        <v>0.093350439244365-0.290922901706361i</v>
      </c>
      <c r="K45" s="89" t="str">
        <f t="shared" si="23"/>
        <v>0.0219919340102617-0.0760963491761873i</v>
      </c>
      <c r="L45" s="89" t="str">
        <f t="shared" si="24"/>
        <v>-0.034354815514038+0.0192442900190989i</v>
      </c>
      <c r="M45" s="84">
        <f t="shared" si="25"/>
        <v>-28.095013274343621</v>
      </c>
      <c r="N45" s="84">
        <f t="shared" si="26"/>
        <v>330.74407278193291</v>
      </c>
      <c r="O45" s="84">
        <f t="shared" si="12"/>
        <v>-29.255927218067086</v>
      </c>
      <c r="P45" s="84">
        <v>-13.846</v>
      </c>
      <c r="Q45" s="84">
        <v>23.129000000000001</v>
      </c>
      <c r="R45" s="84">
        <f>B45</f>
        <v>88000</v>
      </c>
    </row>
    <row r="46" spans="1:18" ht="15" x14ac:dyDescent="0.2">
      <c r="A46" s="85">
        <f t="shared" si="13"/>
        <v>45</v>
      </c>
      <c r="B46" s="84">
        <f t="shared" si="27"/>
        <v>90000</v>
      </c>
      <c r="C46" s="84">
        <f t="shared" si="15"/>
        <v>207.54574719220173</v>
      </c>
      <c r="D46" s="58" t="str">
        <f t="shared" si="16"/>
        <v>0.00109591653346735-0.00183800756101404i</v>
      </c>
      <c r="E46" s="58" t="str">
        <f t="shared" si="17"/>
        <v>0.224559744711027-1.06370405389434i</v>
      </c>
      <c r="F46" s="84" t="str">
        <f t="shared" si="18"/>
        <v>-0.00170899735675906-0.0015784733680573i</v>
      </c>
      <c r="G46" s="84" t="str">
        <f t="shared" si="19"/>
        <v>-0.354695133358057-0.327605434596444i</v>
      </c>
      <c r="H46" s="87">
        <f t="shared" si="20"/>
        <v>0.48283947477915973</v>
      </c>
      <c r="I46" s="58" t="str">
        <f t="shared" si="21"/>
        <v>0.259143155694881-0.00739138247262955i</v>
      </c>
      <c r="J46" s="89" t="str">
        <f t="shared" si="22"/>
        <v>0.0896153043313972-0.285629833107447i</v>
      </c>
      <c r="K46" s="89" t="str">
        <f t="shared" si="23"/>
        <v>0.0211119934209049-0.0746813973017805i</v>
      </c>
      <c r="L46" s="89" t="str">
        <f t="shared" si="24"/>
        <v>-0.0319543529412018+0.0195727243954683i</v>
      </c>
      <c r="M46" s="84">
        <f t="shared" si="25"/>
        <v>-28.525796256814356</v>
      </c>
      <c r="N46" s="84">
        <f t="shared" si="26"/>
        <v>328.51163980268518</v>
      </c>
      <c r="O46" s="84">
        <f t="shared" si="12"/>
        <v>-31.488360197314819</v>
      </c>
    </row>
    <row r="47" spans="1:18" ht="15" x14ac:dyDescent="0.2">
      <c r="A47" s="85">
        <f t="shared" si="13"/>
        <v>46</v>
      </c>
      <c r="B47" s="84">
        <f t="shared" si="27"/>
        <v>92000</v>
      </c>
      <c r="C47" s="84">
        <f t="shared" si="15"/>
        <v>207.54574719220173</v>
      </c>
      <c r="D47" s="58" t="str">
        <f t="shared" si="16"/>
        <v>0.00109577108969825-0.00179805113670725i</v>
      </c>
      <c r="E47" s="58" t="str">
        <f t="shared" si="17"/>
        <v>0.176553152797926-1.05747982144591i</v>
      </c>
      <c r="F47" s="84" t="str">
        <f t="shared" si="18"/>
        <v>-0.00170794095436475-0.00147620741335726i</v>
      </c>
      <c r="G47" s="84" t="str">
        <f t="shared" si="19"/>
        <v>-0.354475881533794-0.3063805706159i</v>
      </c>
      <c r="H47" s="87">
        <f t="shared" si="20"/>
        <v>0.46853196757540982</v>
      </c>
      <c r="I47" s="58" t="str">
        <f t="shared" si="21"/>
        <v>0.25914315569488-0.00723070024496366i</v>
      </c>
      <c r="J47" s="89" t="str">
        <f t="shared" si="22"/>
        <v>0.0860931380827797-0.280501532362729i</v>
      </c>
      <c r="K47" s="89" t="str">
        <f t="shared" si="23"/>
        <v>0.0202822249876787-0.0733125659483519i</v>
      </c>
      <c r="L47" s="89" t="str">
        <f t="shared" si="24"/>
        <v>-0.029651105370546+0.0197734567769614i</v>
      </c>
      <c r="M47" s="84">
        <f t="shared" si="25"/>
        <v>-28.961355358879839</v>
      </c>
      <c r="N47" s="84">
        <f t="shared" si="26"/>
        <v>326.30183546245405</v>
      </c>
      <c r="O47" s="84">
        <f t="shared" si="12"/>
        <v>-33.698164537545949</v>
      </c>
    </row>
    <row r="48" spans="1:18" ht="15" x14ac:dyDescent="0.2">
      <c r="A48" s="85">
        <f t="shared" si="13"/>
        <v>47</v>
      </c>
      <c r="B48" s="84">
        <f t="shared" si="27"/>
        <v>94000</v>
      </c>
      <c r="C48" s="84">
        <f t="shared" si="15"/>
        <v>207.54574719220173</v>
      </c>
      <c r="D48" s="58" t="str">
        <f t="shared" si="16"/>
        <v>0.00109563483041162-0.00175979496959468i</v>
      </c>
      <c r="E48" s="58" t="str">
        <f t="shared" si="17"/>
        <v>0.129744340337863-1.04776357317518i</v>
      </c>
      <c r="F48" s="84" t="str">
        <f t="shared" si="18"/>
        <v>-0.00170169664707529-0.00137628970226721i</v>
      </c>
      <c r="G48" s="84" t="str">
        <f t="shared" si="19"/>
        <v>-0.353179902111705-0.285643074609981i</v>
      </c>
      <c r="H48" s="87">
        <f t="shared" si="20"/>
        <v>0.45423343043888431</v>
      </c>
      <c r="I48" s="58" t="str">
        <f t="shared" si="21"/>
        <v>0.25914315569488-0.00707685555890063i</v>
      </c>
      <c r="J48" s="89" t="str">
        <f t="shared" si="22"/>
        <v>0.0827685740910042-0.275532098373213i</v>
      </c>
      <c r="K48" s="89" t="str">
        <f t="shared" si="23"/>
        <v>0.0194990086202803-0.0719879987113247i</v>
      </c>
      <c r="L48" s="89" t="str">
        <f t="shared" si="24"/>
        <v>-0.027449531242708+0.0198549575639398i</v>
      </c>
      <c r="M48" s="84">
        <f t="shared" si="25"/>
        <v>-29.401730921284134</v>
      </c>
      <c r="N48" s="84">
        <f t="shared" si="26"/>
        <v>324.12080908766535</v>
      </c>
      <c r="O48" s="84">
        <f t="shared" si="12"/>
        <v>-35.87919091233465</v>
      </c>
    </row>
    <row r="49" spans="1:15" ht="15" x14ac:dyDescent="0.2">
      <c r="A49" s="85">
        <f t="shared" si="13"/>
        <v>48</v>
      </c>
      <c r="B49" s="84">
        <f t="shared" si="27"/>
        <v>96000</v>
      </c>
      <c r="C49" s="84">
        <f t="shared" si="15"/>
        <v>207.54574719220173</v>
      </c>
      <c r="D49" s="58" t="str">
        <f t="shared" si="16"/>
        <v>0.00109550699826817-0.00172313279490813i</v>
      </c>
      <c r="E49" s="58" t="str">
        <f t="shared" si="17"/>
        <v>0.0845058374562984-1.03476535660774i</v>
      </c>
      <c r="F49" s="84" t="str">
        <f t="shared" si="18"/>
        <v>-0.00169046138467772-0.00127920746961136i</v>
      </c>
      <c r="G49" s="84" t="str">
        <f t="shared" si="19"/>
        <v>-0.350848071182501-0.265494070094335i</v>
      </c>
      <c r="H49" s="87">
        <f t="shared" si="20"/>
        <v>0.43997894302766011</v>
      </c>
      <c r="I49" s="58" t="str">
        <f t="shared" si="21"/>
        <v>0.259143155694879-0.00692942106809017i</v>
      </c>
      <c r="J49" s="89" t="str">
        <f t="shared" si="22"/>
        <v>0.0796275576434265-0.270715735979956i</v>
      </c>
      <c r="K49" s="89" t="str">
        <f t="shared" si="23"/>
        <v>0.0187590332436304-0.0707059029936424i</v>
      </c>
      <c r="L49" s="89" t="str">
        <f t="shared" si="24"/>
        <v>-0.0253535685962535+0.0198266175996501i</v>
      </c>
      <c r="M49" s="84">
        <f t="shared" si="25"/>
        <v>-29.846829190513937</v>
      </c>
      <c r="N49" s="84">
        <f t="shared" si="26"/>
        <v>321.97441447744592</v>
      </c>
      <c r="O49" s="84">
        <f t="shared" si="12"/>
        <v>-38.025585522554081</v>
      </c>
    </row>
    <row r="50" spans="1:15" ht="15" x14ac:dyDescent="0.2">
      <c r="A50" s="85">
        <f t="shared" si="13"/>
        <v>49</v>
      </c>
      <c r="B50" s="84">
        <f t="shared" si="27"/>
        <v>98000</v>
      </c>
      <c r="C50" s="84">
        <f t="shared" si="15"/>
        <v>207.54574719220173</v>
      </c>
      <c r="D50" s="58" t="str">
        <f t="shared" si="16"/>
        <v>0.00109538691241066-0.00168796702242508i</v>
      </c>
      <c r="E50" s="58" t="str">
        <f t="shared" si="17"/>
        <v>0.0411656036515804-1.01874473683204i</v>
      </c>
      <c r="F50" s="84" t="str">
        <f t="shared" si="18"/>
        <v>-0.00167451525656017-0.00118540583323515i</v>
      </c>
      <c r="G50" s="84" t="str">
        <f t="shared" si="19"/>
        <v>-0.347538520107522-0.246025939384784i</v>
      </c>
      <c r="H50" s="87">
        <f t="shared" si="20"/>
        <v>0.42580721671748578</v>
      </c>
      <c r="I50" s="58" t="str">
        <f t="shared" si="21"/>
        <v>0.25914315569488-0.00678800431159856i</v>
      </c>
      <c r="J50" s="89" t="str">
        <f t="shared" si="22"/>
        <v>0.0766572192601253-0.266046781591942i</v>
      </c>
      <c r="K50" s="89" t="str">
        <f t="shared" si="23"/>
        <v>0.0180592670053302-0.0694645520790552i</v>
      </c>
      <c r="L50" s="89" t="str">
        <f t="shared" si="24"/>
        <v>-0.0233663726084519+0.0196985594998997i</v>
      </c>
      <c r="M50" s="84">
        <f t="shared" si="25"/>
        <v>-30.296435381278425</v>
      </c>
      <c r="N50" s="84">
        <f t="shared" si="26"/>
        <v>319.86809732033839</v>
      </c>
      <c r="O50" s="84">
        <f t="shared" si="12"/>
        <v>-40.131902679661607</v>
      </c>
    </row>
    <row r="51" spans="1:15" ht="15" x14ac:dyDescent="0.2">
      <c r="A51" s="85">
        <f t="shared" si="13"/>
        <v>50</v>
      </c>
      <c r="B51" s="84">
        <f t="shared" si="27"/>
        <v>100000</v>
      </c>
      <c r="C51" s="84">
        <f t="shared" si="15"/>
        <v>207.54574719220173</v>
      </c>
      <c r="D51" s="58" t="str">
        <f t="shared" si="16"/>
        <v>0.00109527395937912-0.00165420786902925i</v>
      </c>
      <c r="E51" s="58" t="str">
        <f t="shared" si="17"/>
        <v>-i</v>
      </c>
      <c r="F51" s="84" t="str">
        <f t="shared" si="18"/>
        <v>-0.00165420786902925-0.00109527395937912i</v>
      </c>
      <c r="G51" s="84" t="str">
        <f t="shared" si="19"/>
        <v>-0.343323808188895-0.227319452279501i</v>
      </c>
      <c r="H51" s="87">
        <f t="shared" si="20"/>
        <v>0.41175887440828463</v>
      </c>
      <c r="I51" s="58" t="str">
        <f t="shared" si="21"/>
        <v>0.259143155694879-0.00665224422536656i</v>
      </c>
      <c r="J51" s="89" t="str">
        <f t="shared" si="22"/>
        <v>0.0738457614823078-0.261519721997034i</v>
      </c>
      <c r="K51" s="89" t="str">
        <f t="shared" si="23"/>
        <v>0.0173969306047424-0.0682622860751473i</v>
      </c>
      <c r="L51" s="89" t="str">
        <f t="shared" si="24"/>
        <v>-0.0214901259479672+0.0194814072745848i</v>
      </c>
      <c r="M51" s="84">
        <f t="shared" si="25"/>
        <v>-30.750229175842165</v>
      </c>
      <c r="N51" s="84">
        <f t="shared" si="26"/>
        <v>317.80680297942854</v>
      </c>
      <c r="O51" s="84">
        <f t="shared" si="12"/>
        <v>-42.193197020571461</v>
      </c>
    </row>
    <row r="52" spans="1:15" ht="15" x14ac:dyDescent="0.2">
      <c r="A52" s="85">
        <f t="shared" si="13"/>
        <v>51</v>
      </c>
      <c r="B52" s="84">
        <f t="shared" si="27"/>
        <v>102000</v>
      </c>
      <c r="C52" s="84">
        <f t="shared" si="15"/>
        <v>207.54574719220173</v>
      </c>
      <c r="D52" s="58" t="str">
        <f t="shared" si="16"/>
        <v>0.00109516758526072-0.00162177259332068i</v>
      </c>
      <c r="E52" s="58" t="str">
        <f t="shared" si="17"/>
        <v>-0.0387703964914096-0.978856545080144i</v>
      </c>
      <c r="F52" s="84" t="str">
        <f t="shared" si="18"/>
        <v>-0.00162994279910864-0.00100913519233013i</v>
      </c>
      <c r="G52" s="84" t="str">
        <f t="shared" si="19"/>
        <v>-0.338287696121551-0.209441717510103i</v>
      </c>
      <c r="H52" s="87">
        <f t="shared" si="20"/>
        <v>0.39787485266200051</v>
      </c>
      <c r="I52" s="58" t="str">
        <f t="shared" si="21"/>
        <v>0.25914315569488-0.00652180806408488i</v>
      </c>
      <c r="J52" s="89" t="str">
        <f t="shared" si="22"/>
        <v>0.0711823574626121-0.257129207692703i</v>
      </c>
      <c r="K52" s="89" t="str">
        <f t="shared" si="23"/>
        <v>0.0167694734024203-0.0670975119757315i</v>
      </c>
      <c r="L52" s="89" t="str">
        <f t="shared" si="24"/>
        <v>-0.0197259246713283+0.0191860354306155i</v>
      </c>
      <c r="M52" s="84">
        <f t="shared" si="25"/>
        <v>-31.207801837229372</v>
      </c>
      <c r="N52" s="84">
        <f t="shared" si="26"/>
        <v>315.79490701823704</v>
      </c>
      <c r="O52" s="84">
        <f t="shared" si="12"/>
        <v>-44.205092981762959</v>
      </c>
    </row>
    <row r="53" spans="1:15" ht="15" x14ac:dyDescent="0.2">
      <c r="A53" s="85">
        <f t="shared" si="13"/>
        <v>52</v>
      </c>
      <c r="B53" s="84">
        <f t="shared" si="27"/>
        <v>104000</v>
      </c>
      <c r="C53" s="84">
        <f t="shared" si="15"/>
        <v>207.54574719220173</v>
      </c>
      <c r="D53" s="58" t="str">
        <f t="shared" si="16"/>
        <v>0.00109506728888588-0.00159058481853852i</v>
      </c>
      <c r="E53" s="58" t="str">
        <f t="shared" si="17"/>
        <v>-0.0749821807052913-0.955655244283123i</v>
      </c>
      <c r="F53" s="84" t="str">
        <f t="shared" si="18"/>
        <v>-0.00160216125665315-0.000927241279175945i</v>
      </c>
      <c r="G53" s="84" t="str">
        <f t="shared" si="19"/>
        <v>-0.332521755134475-0.192444984114024i</v>
      </c>
      <c r="H53" s="87">
        <f t="shared" si="20"/>
        <v>0.3841949889683085</v>
      </c>
      <c r="I53" s="58" t="str">
        <f t="shared" si="21"/>
        <v>0.259143155694881-0.00639638867823711i</v>
      </c>
      <c r="J53" s="89" t="str">
        <f t="shared" si="22"/>
        <v>0.0686570600642053-0.252870061825328i</v>
      </c>
      <c r="K53" s="89" t="str">
        <f t="shared" si="23"/>
        <v>0.0161745520052465-0.0659687030438509i</v>
      </c>
      <c r="L53" s="89" t="str">
        <f t="shared" si="24"/>
        <v>-0.0180737364305951+0.0188233175163852i</v>
      </c>
      <c r="M53" s="84">
        <f t="shared" si="25"/>
        <v>-31.668674088892658</v>
      </c>
      <c r="N53" s="84">
        <f t="shared" si="26"/>
        <v>313.83616925922956</v>
      </c>
      <c r="O53" s="84">
        <f t="shared" si="12"/>
        <v>-46.163830740770436</v>
      </c>
    </row>
    <row r="54" spans="1:15" ht="15" x14ac:dyDescent="0.2">
      <c r="A54" s="85">
        <f t="shared" si="13"/>
        <v>53</v>
      </c>
      <c r="B54" s="84">
        <f t="shared" si="27"/>
        <v>106000</v>
      </c>
      <c r="C54" s="84">
        <f t="shared" si="15"/>
        <v>207.54574719220173</v>
      </c>
      <c r="D54" s="58" t="str">
        <f t="shared" si="16"/>
        <v>0.00109497261591447-0.0015605739321326i</v>
      </c>
      <c r="E54" s="58" t="str">
        <f t="shared" si="17"/>
        <v>-0.108527966006091-0.93074145603929i</v>
      </c>
      <c r="F54" s="84" t="str">
        <f t="shared" si="18"/>
        <v>-0.00157132600468762-0.000849770492202906i</v>
      </c>
      <c r="G54" s="84" t="str">
        <f t="shared" si="19"/>
        <v>-0.326122029725429-0.176366251746137i</v>
      </c>
      <c r="H54" s="87">
        <f t="shared" si="20"/>
        <v>0.37075683813952148</v>
      </c>
      <c r="I54" s="58" t="str">
        <f t="shared" si="21"/>
        <v>0.259143155694879-0.00627570209940243i</v>
      </c>
      <c r="J54" s="89" t="str">
        <f t="shared" si="22"/>
        <v>0.066260720316965-0.248737285624898i</v>
      </c>
      <c r="K54" s="89" t="str">
        <f t="shared" si="23"/>
        <v>0.0156100110559583-0.0648743976774156i</v>
      </c>
      <c r="L54" s="89" t="str">
        <f t="shared" si="24"/>
        <v>-0.0165324228422596+0.0184038911081183i</v>
      </c>
      <c r="M54" s="84">
        <f t="shared" si="25"/>
        <v>-32.132313959187783</v>
      </c>
      <c r="N54" s="84">
        <f t="shared" si="26"/>
        <v>311.93371070621868</v>
      </c>
      <c r="O54" s="84">
        <f t="shared" si="12"/>
        <v>-48.066289293781324</v>
      </c>
    </row>
    <row r="55" spans="1:15" ht="15" x14ac:dyDescent="0.2">
      <c r="A55" s="85">
        <f t="shared" si="13"/>
        <v>54</v>
      </c>
      <c r="B55" s="84">
        <f t="shared" si="27"/>
        <v>108000</v>
      </c>
      <c r="C55" s="84">
        <f t="shared" si="15"/>
        <v>207.54574719220173</v>
      </c>
      <c r="D55" s="58" t="str">
        <f t="shared" si="16"/>
        <v>0.00109488315368141-0.0015316745520481i</v>
      </c>
      <c r="E55" s="58" t="str">
        <f t="shared" si="17"/>
        <v>-0.139353101464065-0.9044552258485i</v>
      </c>
      <c r="F55" s="84" t="str">
        <f t="shared" si="18"/>
        <v>-0.00153790641610533-0.000776829190779152i</v>
      </c>
      <c r="G55" s="84" t="str">
        <f t="shared" si="19"/>
        <v>-0.319185936242262-0.161227594840973i</v>
      </c>
      <c r="H55" s="87">
        <f t="shared" si="20"/>
        <v>0.3575947416182938</v>
      </c>
      <c r="I55" s="58" t="str">
        <f t="shared" si="21"/>
        <v>0.25914315569488-0.00615948539385795i</v>
      </c>
      <c r="J55" s="89" t="str">
        <f t="shared" si="22"/>
        <v>0.0639849142065716-0.244726061057153i</v>
      </c>
      <c r="K55" s="89" t="str">
        <f t="shared" si="23"/>
        <v>0.0150738659857792-0.0638131978876111i</v>
      </c>
      <c r="L55" s="89" t="str">
        <f t="shared" si="24"/>
        <v>-0.0150998144419919+0.0179379521545276i</v>
      </c>
      <c r="M55" s="84">
        <f t="shared" si="25"/>
        <v>-32.598153890491879</v>
      </c>
      <c r="N55" s="84">
        <f t="shared" si="26"/>
        <v>310.09001144855222</v>
      </c>
      <c r="O55" s="84">
        <f t="shared" si="12"/>
        <v>-49.909988551447782</v>
      </c>
    </row>
    <row r="56" spans="1:15" ht="15" x14ac:dyDescent="0.2">
      <c r="A56" s="85">
        <f t="shared" si="13"/>
        <v>55</v>
      </c>
      <c r="B56" s="84">
        <f t="shared" si="27"/>
        <v>110000.00000000001</v>
      </c>
      <c r="C56" s="84">
        <f t="shared" si="15"/>
        <v>207.54574719220173</v>
      </c>
      <c r="D56" s="58" t="str">
        <f t="shared" si="16"/>
        <v>0.00109479852669212-0.0015038260512328i</v>
      </c>
      <c r="E56" s="58" t="str">
        <f t="shared" si="17"/>
        <v>-0.167450761502273-0.877123036440475i</v>
      </c>
      <c r="F56" s="84" t="str">
        <f t="shared" si="18"/>
        <v>-0.00150236531932176-0.000708456190576862i</v>
      </c>
      <c r="G56" s="84" t="str">
        <f t="shared" si="19"/>
        <v>-0.311809532754285-0.147037069426216i</v>
      </c>
      <c r="H56" s="87">
        <f t="shared" si="20"/>
        <v>0.34473915429190138</v>
      </c>
      <c r="I56" s="58" t="str">
        <f t="shared" si="21"/>
        <v>0.25914315569488-0.00604749475033324i</v>
      </c>
      <c r="J56" s="89" t="str">
        <f t="shared" si="22"/>
        <v>0.06182187688682-0.24083175128087i</v>
      </c>
      <c r="K56" s="89" t="str">
        <f t="shared" si="23"/>
        <v>0.0145642875158463-0.0627837674943779i</v>
      </c>
      <c r="L56" s="89" t="str">
        <f t="shared" si="24"/>
        <v>-0.0137728248651253+0.0174350870523648i</v>
      </c>
      <c r="M56" s="84">
        <f t="shared" si="25"/>
        <v>-33.065606551327178</v>
      </c>
      <c r="N56" s="84">
        <f t="shared" si="26"/>
        <v>308.30692677578645</v>
      </c>
      <c r="O56" s="84">
        <f>IF(N56&gt;180,-(360-N56),N56)</f>
        <v>-51.693073224213549</v>
      </c>
    </row>
    <row r="57" spans="1:15" ht="15" x14ac:dyDescent="0.2">
      <c r="A57" s="85">
        <f t="shared" si="13"/>
        <v>56</v>
      </c>
      <c r="B57" s="84">
        <f t="shared" si="27"/>
        <v>112000.00000000001</v>
      </c>
      <c r="C57" s="84">
        <f t="shared" si="15"/>
        <v>207.54574719220173</v>
      </c>
      <c r="D57" s="58" t="str">
        <f t="shared" si="16"/>
        <v>0.00109471839267608-0.00147697213308906i</v>
      </c>
      <c r="E57" s="58" t="str">
        <f t="shared" si="17"/>
        <v>-0.192855936857753-0.84905129434231i</v>
      </c>
      <c r="F57" s="84" t="str">
        <f t="shared" si="18"/>
        <v>-0.00146514804252175-0.000644629223802274i</v>
      </c>
      <c r="G57" s="84" t="str">
        <f t="shared" si="19"/>
        <v>-0.304085245232368-0.133790053915972i</v>
      </c>
      <c r="H57" s="87">
        <f t="shared" si="20"/>
        <v>0.33221621708590338</v>
      </c>
      <c r="I57" s="58" t="str">
        <f t="shared" si="21"/>
        <v>0.25914315569488-0.00593950377264874i</v>
      </c>
      <c r="J57" s="89" t="str">
        <f t="shared" si="22"/>
        <v>0.0597644435077361-0.237049899388181i</v>
      </c>
      <c r="K57" s="89" t="str">
        <f t="shared" si="23"/>
        <v>0.014079587717221-0.0617848301222915i</v>
      </c>
      <c r="L57" s="89" t="str">
        <f t="shared" si="24"/>
        <v>-0.0125475906370123+0.0169041464195756i</v>
      </c>
      <c r="M57" s="84">
        <f t="shared" si="25"/>
        <v>-33.534078945868458</v>
      </c>
      <c r="N57" s="84">
        <f t="shared" si="26"/>
        <v>306.58571819139121</v>
      </c>
      <c r="O57" s="84">
        <f t="shared" ref="O57:O101" si="28">IF(N57&gt;180,-(360-N57),N57)</f>
        <v>-53.414281808608791</v>
      </c>
    </row>
    <row r="58" spans="1:15" ht="15" x14ac:dyDescent="0.2">
      <c r="A58" s="85">
        <f t="shared" si="13"/>
        <v>57</v>
      </c>
      <c r="B58" s="84">
        <f t="shared" si="27"/>
        <v>113999.99999999999</v>
      </c>
      <c r="C58" s="84">
        <f t="shared" si="15"/>
        <v>207.54574719220173</v>
      </c>
      <c r="D58" s="58" t="str">
        <f t="shared" si="16"/>
        <v>0.00109464243912054-0.00145106045161446i</v>
      </c>
      <c r="E58" s="58" t="str">
        <f t="shared" si="17"/>
        <v>-0.215638830467112-0.820521584554433i</v>
      </c>
      <c r="F58" s="84" t="str">
        <f t="shared" si="18"/>
        <v>-0.00142667383639459-0.000585272769944493i</v>
      </c>
      <c r="G58" s="84" t="str">
        <f t="shared" si="19"/>
        <v>-0.29610008737408-0.121470874349379i</v>
      </c>
      <c r="H58" s="87">
        <f t="shared" si="20"/>
        <v>0.32004755124534295</v>
      </c>
      <c r="I58" s="58" t="str">
        <f t="shared" si="21"/>
        <v>0.259143155694879-0.00583530195207593i</v>
      </c>
      <c r="J58" s="89" t="str">
        <f t="shared" si="22"/>
        <v>0.057805995943208-0.233376225816217i</v>
      </c>
      <c r="K58" s="89" t="str">
        <f t="shared" si="23"/>
        <v>0.0136182074607348-0.0608151670631443i</v>
      </c>
      <c r="L58" s="89" t="str">
        <f t="shared" si="24"/>
        <v>-0.0114196239358656+0.0163531607137396i</v>
      </c>
      <c r="M58" s="84">
        <f t="shared" si="25"/>
        <v>-34.002984571240177</v>
      </c>
      <c r="N58" s="84">
        <f t="shared" si="26"/>
        <v>304.9270958035184</v>
      </c>
      <c r="O58" s="84">
        <f t="shared" si="28"/>
        <v>-55.072904196481602</v>
      </c>
    </row>
    <row r="59" spans="1:15" ht="15" x14ac:dyDescent="0.2">
      <c r="A59" s="85">
        <f t="shared" si="13"/>
        <v>58</v>
      </c>
      <c r="B59" s="84">
        <f t="shared" si="27"/>
        <v>115999.99999999999</v>
      </c>
      <c r="C59" s="84">
        <f t="shared" si="15"/>
        <v>207.54574719220173</v>
      </c>
      <c r="D59" s="58" t="str">
        <f t="shared" si="16"/>
        <v>0.00109457038021908-0.00142604227083757i</v>
      </c>
      <c r="E59" s="58" t="str">
        <f t="shared" si="17"/>
        <v>-0.235898099010801-0.791787600846437i</v>
      </c>
      <c r="F59" s="84" t="str">
        <f t="shared" si="18"/>
        <v>-0.0013873296602593-0.000530266594511609i</v>
      </c>
      <c r="G59" s="84" t="str">
        <f t="shared" si="19"/>
        <v>-0.28793437094042-0.110054576568976i</v>
      </c>
      <c r="H59" s="87">
        <f t="shared" si="20"/>
        <v>0.30825024216151398</v>
      </c>
      <c r="I59" s="58" t="str">
        <f t="shared" si="21"/>
        <v>0.25914315569488-0.00573469329772981i</v>
      </c>
      <c r="J59" s="89" t="str">
        <f t="shared" si="22"/>
        <v>0.055940414782798-0.229806624745081i</v>
      </c>
      <c r="K59" s="89" t="str">
        <f t="shared" si="23"/>
        <v>0.0131787051069953-0.0598736150577565i</v>
      </c>
      <c r="L59" s="89" t="str">
        <f t="shared" si="24"/>
        <v>-0.0103839675176272+0.0157892948773062i</v>
      </c>
      <c r="M59" s="84">
        <f t="shared" si="25"/>
        <v>-34.471753515412885</v>
      </c>
      <c r="N59" s="84">
        <f t="shared" si="26"/>
        <v>303.33126863901248</v>
      </c>
      <c r="O59" s="84">
        <f t="shared" si="28"/>
        <v>-56.668731360987522</v>
      </c>
    </row>
    <row r="60" spans="1:15" ht="15" x14ac:dyDescent="0.2">
      <c r="A60" s="85">
        <f t="shared" si="13"/>
        <v>59</v>
      </c>
      <c r="B60" s="84">
        <f t="shared" si="27"/>
        <v>118000</v>
      </c>
      <c r="C60" s="84">
        <f t="shared" si="15"/>
        <v>207.54574719220173</v>
      </c>
      <c r="D60" s="58" t="str">
        <f t="shared" si="16"/>
        <v>0.00109450195417899-0.00140187215888694i</v>
      </c>
      <c r="E60" s="58" t="str">
        <f t="shared" si="17"/>
        <v>-0.253754296104207-0.763073571363313i</v>
      </c>
      <c r="F60" s="84" t="str">
        <f t="shared" si="18"/>
        <v>-0.00134746616784402-0.000479454432133047i</v>
      </c>
      <c r="G60" s="84" t="str">
        <f t="shared" si="19"/>
        <v>-0.2796608726214-0.099508728361666i</v>
      </c>
      <c r="H60" s="87">
        <f t="shared" si="20"/>
        <v>0.29683697663114472</v>
      </c>
      <c r="I60" s="58" t="str">
        <f t="shared" si="21"/>
        <v>0.259143155694881-0.00563749510624288i</v>
      </c>
      <c r="J60" s="89" t="str">
        <f t="shared" si="22"/>
        <v>0.0541620360242263-0.226337159737275i</v>
      </c>
      <c r="K60" s="89" t="str">
        <f t="shared" si="23"/>
        <v>0.012759746303798-0.0589590640383645i</v>
      </c>
      <c r="L60" s="89" t="str">
        <f t="shared" si="24"/>
        <v>-0.00943534327359952+0.0152188371690016i</v>
      </c>
      <c r="M60" s="84">
        <f t="shared" si="25"/>
        <v>-34.939840508380357</v>
      </c>
      <c r="N60" s="84">
        <f t="shared" si="26"/>
        <v>301.79799970550096</v>
      </c>
      <c r="O60" s="84">
        <f t="shared" si="28"/>
        <v>-58.202000294499044</v>
      </c>
    </row>
    <row r="61" spans="1:15" ht="15" x14ac:dyDescent="0.2">
      <c r="A61" s="85">
        <f t="shared" si="13"/>
        <v>60</v>
      </c>
      <c r="B61" s="84">
        <f t="shared" si="27"/>
        <v>120000</v>
      </c>
      <c r="C61" s="84">
        <f t="shared" si="15"/>
        <v>207.54574719220173</v>
      </c>
      <c r="D61" s="58" t="str">
        <f t="shared" si="16"/>
        <v>0.00109443692084014-0.00137850771265267i</v>
      </c>
      <c r="E61" s="58" t="str">
        <f t="shared" si="17"/>
        <v>-0.269343780607248-0.734573947110676i</v>
      </c>
      <c r="F61" s="84" t="str">
        <f t="shared" si="18"/>
        <v>-0.00130739562950102-0.000432652369883076i</v>
      </c>
      <c r="G61" s="84" t="str">
        <f t="shared" si="19"/>
        <v>-0.271344402800608-0.0897951593818598i</v>
      </c>
      <c r="H61" s="87">
        <f t="shared" si="20"/>
        <v>0.28581629691050198</v>
      </c>
      <c r="I61" s="58" t="str">
        <f t="shared" si="21"/>
        <v>0.25914315569488-0.00554353685447214i</v>
      </c>
      <c r="J61" s="89" t="str">
        <f t="shared" si="22"/>
        <v>0.0524656119666139-0.222964058824696i</v>
      </c>
      <c r="K61" s="89" t="str">
        <f t="shared" si="23"/>
        <v>0.012360094773174-0.0580704548638999i</v>
      </c>
      <c r="L61" s="89" t="str">
        <f t="shared" si="24"/>
        <v>-0.0085682882846668+0.0146472162152725i</v>
      </c>
      <c r="M61" s="84">
        <f t="shared" si="25"/>
        <v>-35.406731032211468</v>
      </c>
      <c r="N61" s="84">
        <f t="shared" si="26"/>
        <v>300.32666304325363</v>
      </c>
      <c r="O61" s="84">
        <f t="shared" si="28"/>
        <v>-59.673336956746368</v>
      </c>
    </row>
    <row r="62" spans="1:15" ht="15" x14ac:dyDescent="0.2">
      <c r="A62" s="85">
        <f t="shared" si="13"/>
        <v>61</v>
      </c>
      <c r="B62" s="84">
        <f t="shared" si="27"/>
        <v>122000</v>
      </c>
      <c r="C62" s="84">
        <f t="shared" si="15"/>
        <v>207.54574719220173</v>
      </c>
      <c r="D62" s="58" t="str">
        <f t="shared" si="16"/>
        <v>0.00109437505956485-0.00135590930953018i</v>
      </c>
      <c r="E62" s="58" t="str">
        <f t="shared" si="17"/>
        <v>-0.282813264215408-0.706454099800979i</v>
      </c>
      <c r="F62" s="84" t="str">
        <f t="shared" si="18"/>
        <v>-0.00126739147354738-0.000389656609741239i</v>
      </c>
      <c r="G62" s="84" t="str">
        <f t="shared" si="19"/>
        <v>-0.263041710362417-0.0808715722171256i</v>
      </c>
      <c r="H62" s="87">
        <f t="shared" si="20"/>
        <v>0.27519293701556991</v>
      </c>
      <c r="I62" s="58" t="str">
        <f t="shared" si="21"/>
        <v>0.25914315569488-0.00545265920112015i</v>
      </c>
      <c r="J62" s="89" t="str">
        <f t="shared" si="22"/>
        <v>0.0508462758608711-0.219683709209289i</v>
      </c>
      <c r="K62" s="89" t="str">
        <f t="shared" si="23"/>
        <v>0.0119786039835623-0.057206777073167i</v>
      </c>
      <c r="L62" s="89" t="str">
        <f t="shared" si="24"/>
        <v>-0.00777727448297192+0.0140790399485303i</v>
      </c>
      <c r="M62" s="84">
        <f t="shared" si="25"/>
        <v>-35.871945660938948</v>
      </c>
      <c r="N62" s="84">
        <f t="shared" si="26"/>
        <v>298.9163004968467</v>
      </c>
      <c r="O62" s="84">
        <f t="shared" si="28"/>
        <v>-61.083699503153298</v>
      </c>
    </row>
    <row r="63" spans="1:15" ht="15" x14ac:dyDescent="0.2">
      <c r="A63" s="85">
        <f t="shared" si="13"/>
        <v>62</v>
      </c>
      <c r="B63" s="84">
        <f t="shared" si="27"/>
        <v>124000</v>
      </c>
      <c r="C63" s="84">
        <f t="shared" si="15"/>
        <v>207.54574719220173</v>
      </c>
      <c r="D63" s="58" t="str">
        <f t="shared" si="16"/>
        <v>0.00109431616736404-0.00133403988318837i</v>
      </c>
      <c r="E63" s="58" t="str">
        <f t="shared" si="17"/>
        <v>-0.294315093739357-0.678851778714291i</v>
      </c>
      <c r="F63" s="84" t="str">
        <f t="shared" si="18"/>
        <v>-0.00122768911295647-0.000350250403418258i</v>
      </c>
      <c r="G63" s="84" t="str">
        <f t="shared" si="19"/>
        <v>-0.254801654268282-0.0726929816818124i</v>
      </c>
      <c r="H63" s="87">
        <f t="shared" si="20"/>
        <v>0.26496821055297448</v>
      </c>
      <c r="I63" s="58" t="str">
        <f t="shared" si="21"/>
        <v>0.25914315569488-0.00536471308497304i</v>
      </c>
      <c r="J63" s="89" t="str">
        <f t="shared" si="22"/>
        <v>0.0492995099233897-0.216492651710637i</v>
      </c>
      <c r="K63" s="89" t="str">
        <f t="shared" si="23"/>
        <v>0.0116142096143257-0.0563670666750158i</v>
      </c>
      <c r="L63" s="89" t="str">
        <f t="shared" si="24"/>
        <v>-0.0070568099680132+0.0135181503083017i</v>
      </c>
      <c r="M63" s="84">
        <f t="shared" si="25"/>
        <v>-36.33504284122229</v>
      </c>
      <c r="N63" s="84">
        <f t="shared" si="26"/>
        <v>297.56567644141762</v>
      </c>
      <c r="O63" s="84">
        <f t="shared" si="28"/>
        <v>-62.434323558582378</v>
      </c>
    </row>
    <row r="64" spans="1:15" ht="15" x14ac:dyDescent="0.2">
      <c r="A64" s="85">
        <f t="shared" si="13"/>
        <v>63</v>
      </c>
      <c r="B64" s="84">
        <f t="shared" si="27"/>
        <v>126000</v>
      </c>
      <c r="C64" s="84">
        <f t="shared" si="15"/>
        <v>207.54574719220173</v>
      </c>
      <c r="D64" s="58" t="str">
        <f t="shared" si="16"/>
        <v>0.00109426005722989-0.001312864720693i</v>
      </c>
      <c r="E64" s="58" t="str">
        <f t="shared" si="17"/>
        <v>-0.304003299211843-0.65187909633581i</v>
      </c>
      <c r="F64" s="84" t="str">
        <f t="shared" si="18"/>
        <v>-0.00118848773533015-0.000314210050753886i</v>
      </c>
      <c r="G64" s="84" t="str">
        <f t="shared" si="19"/>
        <v>-0.246665575057864-0.0652129597590149i</v>
      </c>
      <c r="H64" s="87">
        <f t="shared" si="20"/>
        <v>0.25514042415728172</v>
      </c>
      <c r="I64" s="58" t="str">
        <f t="shared" si="21"/>
        <v>0.25914315569488-0.0052795589090211i</v>
      </c>
      <c r="J64" s="89" t="str">
        <f t="shared" si="22"/>
        <v>0.0478211163632142-0.213387575067037i</v>
      </c>
      <c r="K64" s="89" t="str">
        <f t="shared" si="23"/>
        <v>0.0112659227301958-0.0555504039898848i</v>
      </c>
      <c r="L64" s="89" t="str">
        <f t="shared" si="24"/>
        <v>-0.00640152156879059+0.0129676881792092i</v>
      </c>
      <c r="M64" s="84">
        <f t="shared" si="25"/>
        <v>-36.795620343140619</v>
      </c>
      <c r="N64" s="84">
        <f t="shared" si="26"/>
        <v>296.27332917863259</v>
      </c>
      <c r="O64" s="84">
        <f t="shared" si="28"/>
        <v>-63.726670821367406</v>
      </c>
    </row>
    <row r="65" spans="1:15" ht="15" x14ac:dyDescent="0.2">
      <c r="A65" s="85">
        <f t="shared" si="13"/>
        <v>64</v>
      </c>
      <c r="B65" s="84">
        <f t="shared" si="27"/>
        <v>128000</v>
      </c>
      <c r="C65" s="84">
        <f t="shared" si="15"/>
        <v>207.54574719220173</v>
      </c>
      <c r="D65" s="58" t="str">
        <f t="shared" si="16"/>
        <v>0.00109420655664948-0.00129235127864945i</v>
      </c>
      <c r="E65" s="58" t="str">
        <f t="shared" si="17"/>
        <v>-0.312030390352364-0.625624842811758i</v>
      </c>
      <c r="F65" s="84" t="str">
        <f t="shared" si="18"/>
        <v>-0.00114995276456009-0.000281309931058061i</v>
      </c>
      <c r="G65" s="84" t="str">
        <f t="shared" si="19"/>
        <v>-0.238667805756362-0.058384679834032i</v>
      </c>
      <c r="H65" s="87">
        <f t="shared" si="20"/>
        <v>0.24570529571801858</v>
      </c>
      <c r="I65" s="58" t="str">
        <f t="shared" si="21"/>
        <v>0.259143155694879-0.00519706580106763i</v>
      </c>
      <c r="J65" s="89" t="str">
        <f t="shared" si="22"/>
        <v>0.0464071911117553-0.21036531017464i</v>
      </c>
      <c r="K65" s="89" t="str">
        <f t="shared" si="23"/>
        <v>0.010932823592396-0.0547559115532388i</v>
      </c>
      <c r="L65" s="89" t="str">
        <f t="shared" si="24"/>
        <v>-0.00580621938257496+0.0124301638574769i</v>
      </c>
      <c r="M65" s="84">
        <f t="shared" si="25"/>
        <v>-37.253315611940977</v>
      </c>
      <c r="N65" s="84">
        <f t="shared" si="26"/>
        <v>295.03761814665978</v>
      </c>
      <c r="O65" s="84">
        <f t="shared" si="28"/>
        <v>-64.962381853340219</v>
      </c>
    </row>
    <row r="66" spans="1:15" ht="15" x14ac:dyDescent="0.2">
      <c r="A66" s="85">
        <f t="shared" si="13"/>
        <v>65</v>
      </c>
      <c r="B66" s="84">
        <f t="shared" si="27"/>
        <v>130000</v>
      </c>
      <c r="C66" s="84">
        <f t="shared" ref="C66:C101" si="29">_ta1*_ta2*(rload/RS)</f>
        <v>207.54574719220173</v>
      </c>
      <c r="D66" s="58" t="str">
        <f t="shared" ref="D66:D101" si="30">IMDIV((COMPLEX(1,2*PI()*(B66)*(esrcout*0.001)*(cout*0.000001))),(COMPLEX(1,2*PI()*(B66)*rload*(cout*0.000001))))</f>
        <v>0.00109415550627714-0.00127246901631678i</v>
      </c>
      <c r="E66" s="58" t="str">
        <f t="shared" ref="E66:E101" si="31">IMDIV(1,(COMPLEX((1-(B66/(fpp*1000))^2),(B66/(fpp*1000)))))</f>
        <v>-0.318544850191589-0.60015696412908i</v>
      </c>
      <c r="F66" s="84" t="str">
        <f t="shared" ref="F66:F97" si="32">IMPRODUCT(D66,E66)</f>
        <v>-0.00111221874361435-0.000251326594756338i</v>
      </c>
      <c r="G66" s="84" t="str">
        <f t="shared" ref="G66:G97" si="33">IMPRODUCT(C66,F66)</f>
        <v>-0.230836270184612-0.0521617658979759i</v>
      </c>
      <c r="H66" s="87">
        <f t="shared" ref="H66:H97" si="34">IMABS(G66)</f>
        <v>0.23665636153363478</v>
      </c>
      <c r="I66" s="58" t="str">
        <f t="shared" ref="I66:I101" si="35">IMDIV((COMPLEX(1,(2*PI()*B66*(rf*1000)*(Cz*0.000000001)))),(COMPLEX(0,2*PI()*B66*((Cz*0.000000001)+(Cp*0.000000000001))*(RII*1000))))</f>
        <v>0.25914315569488-0.00511711094258968i</v>
      </c>
      <c r="J66" s="89" t="str">
        <f t="shared" ref="J66:J101" si="36">IMDIV(1,(COMPLEX(1,2*PI()*B66*(((Cz*0.000000001)*(Cp*0.000000000001))/((Cz*0.000000001)+(Cp*0.000000000001)))*(rf*1000))))</f>
        <v>0.045054099978502-0.207422824331435i</v>
      </c>
      <c r="K66" s="89" t="str">
        <f t="shared" ref="K66:K97" si="37">IMPRODUCT(I66,J66)</f>
        <v>0.0106140560412924-0.0539827520884013i</v>
      </c>
      <c r="L66" s="89" t="str">
        <f t="shared" ref="L66:L97" si="38">IMPRODUCT(G66,K66)</f>
        <v>-0.00526594478506604+0.0119075292399332i</v>
      </c>
      <c r="M66" s="84">
        <f t="shared" ref="M66:M97" si="39">20*LOG(IMABS(L66))</f>
        <v>-37.707805240695016</v>
      </c>
      <c r="N66" s="84">
        <f t="shared" ref="N66:N101" si="40">(180/PI())*IMARGUMENT(L66)+180</f>
        <v>293.85676645203063</v>
      </c>
      <c r="O66" s="84">
        <f t="shared" si="28"/>
        <v>-66.143233547969373</v>
      </c>
    </row>
    <row r="67" spans="1:15" ht="15" x14ac:dyDescent="0.2">
      <c r="A67" s="85">
        <f t="shared" si="13"/>
        <v>66</v>
      </c>
      <c r="B67" s="84">
        <f t="shared" si="27"/>
        <v>132000</v>
      </c>
      <c r="C67" s="84">
        <f t="shared" si="29"/>
        <v>207.54574719220173</v>
      </c>
      <c r="D67" s="58" t="str">
        <f t="shared" si="30"/>
        <v>0.00109410675874664-0.00125318924389302i</v>
      </c>
      <c r="E67" s="58" t="str">
        <f t="shared" si="31"/>
        <v>-0.323689253851623-0.57552507419739i</v>
      </c>
      <c r="F67" s="84" t="str">
        <f t="shared" si="32"/>
        <v>-0.00107539243294762-0.000224041982216915i</v>
      </c>
      <c r="G67" s="84" t="str">
        <f t="shared" si="33"/>
        <v>-0.223193126020953-0.0464989606016316i</v>
      </c>
      <c r="H67" s="87">
        <f t="shared" si="34"/>
        <v>0.22798536102135397</v>
      </c>
      <c r="I67" s="58" t="str">
        <f t="shared" si="35"/>
        <v>0.259143155694879-0.00503957895861103i</v>
      </c>
      <c r="J67" s="89" t="str">
        <f t="shared" si="36"/>
        <v>0.0437584569865805-0.204557215538182i</v>
      </c>
      <c r="K67" s="89" t="str">
        <f t="shared" si="37"/>
        <v>0.0103088223925828-0.0532301265538129i</v>
      </c>
      <c r="L67" s="89" t="str">
        <f t="shared" si="38"/>
        <v>-0.00477600385284097+0.0114012488177545i</v>
      </c>
      <c r="M67" s="84">
        <f t="shared" si="39"/>
        <v>-38.158803764833365</v>
      </c>
      <c r="N67" s="84">
        <f t="shared" si="40"/>
        <v>292.72889852462282</v>
      </c>
      <c r="O67" s="84">
        <f t="shared" si="28"/>
        <v>-67.271101475377179</v>
      </c>
    </row>
    <row r="68" spans="1:15" ht="15" x14ac:dyDescent="0.2">
      <c r="A68" s="85">
        <f t="shared" ref="A68:A100" si="41">1+A67</f>
        <v>67</v>
      </c>
      <c r="B68" s="84">
        <f t="shared" ref="B68:B99" si="42">(fs*1000/2)*(A68/100)</f>
        <v>134000</v>
      </c>
      <c r="C68" s="84">
        <f t="shared" si="29"/>
        <v>207.54574719220173</v>
      </c>
      <c r="D68" s="58" t="str">
        <f t="shared" si="30"/>
        <v>0.0010940601776065-0.00123448498438669i</v>
      </c>
      <c r="E68" s="58" t="str">
        <f t="shared" si="31"/>
        <v>-0.327598930100435-0.551762903889622i</v>
      </c>
      <c r="F68" s="84" t="str">
        <f t="shared" si="32"/>
        <v>-0.00103955596344272-0.000199245860516026i</v>
      </c>
      <c r="G68" s="84" t="str">
        <f t="shared" si="33"/>
        <v>-0.215755419180828-0.0413526309957518i</v>
      </c>
      <c r="H68" s="87">
        <f t="shared" si="34"/>
        <v>0.21968259147271005</v>
      </c>
      <c r="I68" s="58" t="str">
        <f t="shared" si="35"/>
        <v>0.25914315569488-0.00496436136221386i</v>
      </c>
      <c r="J68" s="89" t="str">
        <f t="shared" si="36"/>
        <v>0.0425171046689001-0.201765706896573i</v>
      </c>
      <c r="K68" s="89" t="str">
        <f t="shared" si="37"/>
        <v>0.0100163787953712-0.0524972722678376i</v>
      </c>
      <c r="L68" s="89" t="str">
        <f t="shared" si="38"/>
        <v>-0.00433198833404467+0.0109123673677587i</v>
      </c>
      <c r="M68" s="84">
        <f t="shared" si="39"/>
        <v>-38.606061955915443</v>
      </c>
      <c r="N68" s="84">
        <f t="shared" si="40"/>
        <v>291.65207292222254</v>
      </c>
      <c r="O68" s="84">
        <f t="shared" si="28"/>
        <v>-68.347927077777456</v>
      </c>
    </row>
    <row r="69" spans="1:15" ht="15" x14ac:dyDescent="0.2">
      <c r="A69" s="85">
        <f t="shared" si="41"/>
        <v>68</v>
      </c>
      <c r="B69" s="84">
        <f t="shared" si="42"/>
        <v>136000</v>
      </c>
      <c r="C69" s="84">
        <f t="shared" si="29"/>
        <v>207.54574719220173</v>
      </c>
      <c r="D69" s="58" t="str">
        <f t="shared" si="30"/>
        <v>0.00109401563636406-0.00121633084767605i</v>
      </c>
      <c r="E69" s="58" t="str">
        <f t="shared" si="31"/>
        <v>-0.330401080778646-0.528890618948869i</v>
      </c>
      <c r="F69" s="84" t="str">
        <f t="shared" si="32"/>
        <v>-0.00100476992351741-0.000176737580399755i</v>
      </c>
      <c r="G69" s="84" t="str">
        <f t="shared" si="33"/>
        <v>-0.208535724532672-0.036681133181009i</v>
      </c>
      <c r="H69" s="87">
        <f t="shared" si="34"/>
        <v>0.21173722851168469</v>
      </c>
      <c r="I69" s="58" t="str">
        <f t="shared" si="35"/>
        <v>0.25914315569488-0.00489135604806367i</v>
      </c>
      <c r="J69" s="89" t="str">
        <f t="shared" si="36"/>
        <v>0.0413270961294084-0.19904564113519i</v>
      </c>
      <c r="K69" s="89" t="str">
        <f t="shared" si="37"/>
        <v>0.00973603100607323-0.0517834611126852i</v>
      </c>
      <c r="L69" s="89" t="str">
        <f t="shared" si="38"/>
        <v>-0.00392978631357205+0.010441572931955i</v>
      </c>
      <c r="M69" s="84">
        <f t="shared" si="39"/>
        <v>-39.049364766535589</v>
      </c>
      <c r="N69" s="84">
        <f t="shared" si="40"/>
        <v>290.62431047486189</v>
      </c>
      <c r="O69" s="84">
        <f t="shared" si="28"/>
        <v>-69.375689525138114</v>
      </c>
    </row>
    <row r="70" spans="1:15" ht="15" x14ac:dyDescent="0.2">
      <c r="A70" s="85">
        <f t="shared" si="41"/>
        <v>69</v>
      </c>
      <c r="B70" s="84">
        <f t="shared" si="42"/>
        <v>138000</v>
      </c>
      <c r="C70" s="84">
        <f t="shared" si="29"/>
        <v>207.54574719220173</v>
      </c>
      <c r="D70" s="58" t="str">
        <f t="shared" si="30"/>
        <v>0.00109397301762586-0.00119870291551955i</v>
      </c>
      <c r="E70" s="58" t="str">
        <f t="shared" si="31"/>
        <v>-0.332214276180469-0.506916962769844i</v>
      </c>
      <c r="F70" s="84" t="str">
        <f t="shared" si="32"/>
        <v>-0.000971076295410066-0.000156327258012317i</v>
      </c>
      <c r="G70" s="84" t="str">
        <f t="shared" si="33"/>
        <v>-0.201542755311517-0.0324450575706744i</v>
      </c>
      <c r="H70" s="87">
        <f t="shared" si="34"/>
        <v>0.20413761039877582</v>
      </c>
      <c r="I70" s="58" t="str">
        <f t="shared" si="35"/>
        <v>0.259143155694879-0.00482046682997578i</v>
      </c>
      <c r="J70" s="89" t="str">
        <f t="shared" si="36"/>
        <v>0.0401856786950365-0.196394475285981i</v>
      </c>
      <c r="K70" s="89" t="str">
        <f t="shared" si="37"/>
        <v>0.00946713053706566-0.0510879978178385i</v>
      </c>
      <c r="L70" s="89" t="str">
        <f t="shared" si="38"/>
        <v>-0.00356558460370427+0.00998925424825176i</v>
      </c>
      <c r="M70" s="84">
        <f t="shared" si="39"/>
        <v>-39.488529052932392</v>
      </c>
      <c r="N70" s="84">
        <f t="shared" si="40"/>
        <v>289.64361807017121</v>
      </c>
      <c r="O70" s="84">
        <f t="shared" si="28"/>
        <v>-70.356381929828785</v>
      </c>
    </row>
    <row r="71" spans="1:15" ht="15" x14ac:dyDescent="0.2">
      <c r="A71" s="85">
        <f t="shared" si="41"/>
        <v>70</v>
      </c>
      <c r="B71" s="84">
        <f t="shared" si="42"/>
        <v>140000</v>
      </c>
      <c r="C71" s="84">
        <f t="shared" si="29"/>
        <v>207.54574719220173</v>
      </c>
      <c r="D71" s="58" t="str">
        <f t="shared" si="30"/>
        <v>0.0010939322123233-0.00118157863642246i</v>
      </c>
      <c r="E71" s="58" t="str">
        <f t="shared" si="31"/>
        <v>-0.333148250971682-0.485841199333704i</v>
      </c>
      <c r="F71" s="84" t="str">
        <f t="shared" si="32"/>
        <v>-0.000938501185043661-0.000137836481915277i</v>
      </c>
      <c r="G71" s="84" t="str">
        <f t="shared" si="33"/>
        <v>-0.194781929690653-0.0286073756294506i</v>
      </c>
      <c r="H71" s="87">
        <f t="shared" si="34"/>
        <v>0.19687148618938946</v>
      </c>
      <c r="I71" s="58" t="str">
        <f t="shared" si="35"/>
        <v>0.25914315569488-0.00475160301811899i</v>
      </c>
      <c r="J71" s="89" t="str">
        <f t="shared" si="36"/>
        <v>0.0390902790025654-0.193809775527621i</v>
      </c>
      <c r="K71" s="89" t="str">
        <f t="shared" si="37"/>
        <v>0.0092090711433801-0.0504102183224317i</v>
      </c>
      <c r="L71" s="89" t="str">
        <f t="shared" si="38"/>
        <v>-0.0032358646990785+0.00955555224357335i</v>
      </c>
      <c r="M71" s="84">
        <f t="shared" si="39"/>
        <v>-39.923401178029749</v>
      </c>
      <c r="N71" s="84">
        <f t="shared" si="40"/>
        <v>288.70800844895507</v>
      </c>
      <c r="O71" s="84">
        <f t="shared" si="28"/>
        <v>-71.29199155104493</v>
      </c>
    </row>
    <row r="72" spans="1:15" ht="15" x14ac:dyDescent="0.2">
      <c r="A72" s="85">
        <f t="shared" si="41"/>
        <v>71</v>
      </c>
      <c r="B72" s="84">
        <f t="shared" si="42"/>
        <v>142000</v>
      </c>
      <c r="C72" s="84">
        <f t="shared" si="29"/>
        <v>207.54574719220173</v>
      </c>
      <c r="D72" s="58" t="str">
        <f t="shared" si="30"/>
        <v>0.00109389311901419-0.0011649367293879i</v>
      </c>
      <c r="E72" s="58" t="str">
        <f t="shared" si="31"/>
        <v>-0.333303933678997-0.465654846344132i</v>
      </c>
      <c r="F72" s="84" t="str">
        <f t="shared" si="32"/>
        <v>-0.000907057313315575-0.000121098637859324i</v>
      </c>
      <c r="G72" s="84" t="str">
        <f t="shared" si="33"/>
        <v>-0.188255887838232-0.0251335072784712i</v>
      </c>
      <c r="H72" s="87">
        <f t="shared" si="34"/>
        <v>0.18992622908349954</v>
      </c>
      <c r="I72" s="58" t="str">
        <f t="shared" si="35"/>
        <v>0.25914315569488-0.00468467903194829i</v>
      </c>
      <c r="J72" s="89" t="str">
        <f t="shared" si="36"/>
        <v>0.0380384893811778-0.191289212207003i</v>
      </c>
      <c r="K72" s="89" t="str">
        <f t="shared" si="37"/>
        <v>0.00896128561464054-0.0497494882153213i</v>
      </c>
      <c r="L72" s="89" t="str">
        <f t="shared" si="38"/>
        <v>-0.00293739390371613+0.00914040553625294i</v>
      </c>
      <c r="M72" s="84">
        <f t="shared" si="39"/>
        <v>-40.353854576080806</v>
      </c>
      <c r="N72" s="84">
        <f t="shared" si="40"/>
        <v>287.81551641440791</v>
      </c>
      <c r="O72" s="84">
        <f t="shared" si="28"/>
        <v>-72.184483585592091</v>
      </c>
    </row>
    <row r="73" spans="1:15" ht="15" x14ac:dyDescent="0.2">
      <c r="A73" s="85">
        <f t="shared" si="41"/>
        <v>72</v>
      </c>
      <c r="B73" s="84">
        <f t="shared" si="42"/>
        <v>144000</v>
      </c>
      <c r="C73" s="84">
        <f t="shared" si="29"/>
        <v>207.54574719220173</v>
      </c>
      <c r="D73" s="58" t="str">
        <f t="shared" si="30"/>
        <v>0.00109385564325162-0.00114875709568853i</v>
      </c>
      <c r="E73" s="58" t="str">
        <f t="shared" si="31"/>
        <v>-0.3327736520237-0.446343199435663i</v>
      </c>
      <c r="F73" s="84" t="str">
        <f t="shared" si="32"/>
        <v>-0.000876746254655614-0.000105958933509272i</v>
      </c>
      <c r="G73" s="84" t="str">
        <f t="shared" si="33"/>
        <v>-0.181964956520464-0.0219913260268707i</v>
      </c>
      <c r="H73" s="87">
        <f t="shared" si="34"/>
        <v>0.18328901718846785</v>
      </c>
      <c r="I73" s="58" t="str">
        <f t="shared" si="35"/>
        <v>0.25914315569488-0.00461961404539346i</v>
      </c>
      <c r="J73" s="89" t="str">
        <f t="shared" si="36"/>
        <v>0.0370280554061201-0.18883055504595i</v>
      </c>
      <c r="K73" s="89" t="str">
        <f t="shared" si="37"/>
        <v>0.00872324284289711-0.0491052012510509i</v>
      </c>
      <c r="L73" s="89" t="str">
        <f t="shared" si="38"/>
        <v>-0.00266721299495218+0.00874359013320639i</v>
      </c>
      <c r="M73" s="84">
        <f t="shared" si="39"/>
        <v>-40.779787341238091</v>
      </c>
      <c r="N73" s="84">
        <f t="shared" si="40"/>
        <v>286.96421186725917</v>
      </c>
      <c r="O73" s="84">
        <f t="shared" si="28"/>
        <v>-73.035788132740834</v>
      </c>
    </row>
    <row r="74" spans="1:15" ht="15" x14ac:dyDescent="0.2">
      <c r="A74" s="85">
        <f t="shared" si="41"/>
        <v>73</v>
      </c>
      <c r="B74" s="84">
        <f t="shared" si="42"/>
        <v>146000</v>
      </c>
      <c r="C74" s="84">
        <f t="shared" si="29"/>
        <v>207.54574719220173</v>
      </c>
      <c r="D74" s="58" t="str">
        <f t="shared" si="30"/>
        <v>0.00109381969701302-0.00113302073788989i</v>
      </c>
      <c r="E74" s="58" t="str">
        <f t="shared" si="31"/>
        <v>-0.331641465588464-0.427886655849379i</v>
      </c>
      <c r="F74" s="84" t="str">
        <f t="shared" si="32"/>
        <v>-0.000847560421950628-0.000092274194201156i</v>
      </c>
      <c r="G74" s="84" t="str">
        <f t="shared" si="33"/>
        <v>-0.175907561064281-0.0191511165820373i</v>
      </c>
      <c r="H74" s="87">
        <f t="shared" si="34"/>
        <v>0.17694698444992651</v>
      </c>
      <c r="I74" s="58" t="str">
        <f t="shared" si="35"/>
        <v>0.259143155694879-0.00455633166120997i</v>
      </c>
      <c r="J74" s="89" t="str">
        <f t="shared" si="36"/>
        <v>0.0360568645119121-0.186431668536978i</v>
      </c>
      <c r="K74" s="89" t="str">
        <f t="shared" si="37"/>
        <v>0.00849444514007236-0.0484767779395138i</v>
      </c>
      <c r="L74" s="89" t="str">
        <f t="shared" si="38"/>
        <v>-0.00242262155302563+0.00836475366641737i</v>
      </c>
      <c r="M74" s="84">
        <f t="shared" si="39"/>
        <v>-41.20111988631281</v>
      </c>
      <c r="N74" s="84">
        <f t="shared" si="40"/>
        <v>286.15221006985223</v>
      </c>
      <c r="O74" s="84">
        <f t="shared" si="28"/>
        <v>-73.847789930147769</v>
      </c>
    </row>
    <row r="75" spans="1:15" ht="15" x14ac:dyDescent="0.2">
      <c r="A75" s="85">
        <f t="shared" si="41"/>
        <v>74</v>
      </c>
      <c r="B75" s="84">
        <f t="shared" si="42"/>
        <v>148000</v>
      </c>
      <c r="C75" s="84">
        <f t="shared" si="29"/>
        <v>207.54574719220173</v>
      </c>
      <c r="D75" s="58" t="str">
        <f t="shared" si="30"/>
        <v>0.00109378519818281-0.00111770968543922i</v>
      </c>
      <c r="E75" s="58" t="str">
        <f t="shared" si="31"/>
        <v>-0.329983585977756-0.410261850846i</v>
      </c>
      <c r="F75" s="84" t="str">
        <f t="shared" si="32"/>
        <v>-0.000819484806242549-0.000079912489751135i</v>
      </c>
      <c r="G75" s="84" t="str">
        <f t="shared" si="33"/>
        <v>-0.170080586424266-0.0165854973953885i</v>
      </c>
      <c r="H75" s="87">
        <f t="shared" si="34"/>
        <v>0.17088734476922116</v>
      </c>
      <c r="I75" s="58" t="str">
        <f t="shared" si="35"/>
        <v>0.25914315569488-0.00449475961173417i</v>
      </c>
      <c r="J75" s="89" t="str">
        <f t="shared" si="36"/>
        <v>0.0351229355651083-0.184090507529306i</v>
      </c>
      <c r="K75" s="89" t="str">
        <f t="shared" si="37"/>
        <v>0.00827442578146373-0.04786366420684i</v>
      </c>
      <c r="L75" s="89" t="str">
        <f t="shared" si="38"/>
        <v>-0.00220116186727171+0.0080034446094667i</v>
      </c>
      <c r="M75" s="84">
        <f t="shared" si="39"/>
        <v>-41.617792704644984</v>
      </c>
      <c r="N75" s="84">
        <f t="shared" si="40"/>
        <v>285.37767952065525</v>
      </c>
      <c r="O75" s="84">
        <f t="shared" si="28"/>
        <v>-74.622320479344751</v>
      </c>
    </row>
    <row r="76" spans="1:15" ht="15" x14ac:dyDescent="0.2">
      <c r="A76" s="85">
        <f t="shared" si="41"/>
        <v>75</v>
      </c>
      <c r="B76" s="84">
        <f t="shared" si="42"/>
        <v>150000</v>
      </c>
      <c r="C76" s="84">
        <f t="shared" si="29"/>
        <v>207.54574719220173</v>
      </c>
      <c r="D76" s="58" t="str">
        <f t="shared" si="30"/>
        <v>0.00109375207008302-0.00110280692620726i</v>
      </c>
      <c r="E76" s="58" t="str">
        <f t="shared" si="31"/>
        <v>-0.327868852459016-0.39344262295082i</v>
      </c>
      <c r="F76" s="84" t="str">
        <f t="shared" si="32"/>
        <v>-0.000792498485748109-0.0000687526419319235i</v>
      </c>
      <c r="G76" s="84" t="str">
        <f t="shared" si="33"/>
        <v>-0.16447969037328-0.014269318441199i</v>
      </c>
      <c r="H76" s="87">
        <f t="shared" si="34"/>
        <v>0.16509749239181801</v>
      </c>
      <c r="I76" s="58" t="str">
        <f t="shared" si="35"/>
        <v>0.259143155694881-0.00443482948357773i</v>
      </c>
      <c r="J76" s="89" t="str">
        <f t="shared" si="36"/>
        <v>0.0342244093068863-0.181805113004231i</v>
      </c>
      <c r="K76" s="89" t="str">
        <f t="shared" si="37"/>
        <v>0.00806274675416343-0.0472653301248331i</v>
      </c>
      <c r="L76" s="89" t="str">
        <f t="shared" si="38"/>
        <v>-0.00200060213646261+0.00765913696337751i</v>
      </c>
      <c r="M76" s="84">
        <f t="shared" si="39"/>
        <v>-42.029764257152131</v>
      </c>
      <c r="N76" s="84">
        <f t="shared" si="40"/>
        <v>284.63884779159059</v>
      </c>
      <c r="O76" s="84">
        <f t="shared" si="28"/>
        <v>-75.361152208409408</v>
      </c>
    </row>
    <row r="77" spans="1:15" ht="15" x14ac:dyDescent="0.2">
      <c r="A77" s="85">
        <f t="shared" si="41"/>
        <v>76</v>
      </c>
      <c r="B77" s="84">
        <f t="shared" si="42"/>
        <v>152000</v>
      </c>
      <c r="C77" s="84">
        <f t="shared" si="29"/>
        <v>207.54574719220173</v>
      </c>
      <c r="D77" s="58" t="str">
        <f t="shared" si="30"/>
        <v>0.00109372024104684-0.00108829634343452i</v>
      </c>
      <c r="E77" s="58" t="str">
        <f t="shared" si="31"/>
        <v>-0.325359237914116-0.377400825419304i</v>
      </c>
      <c r="F77" s="84" t="str">
        <f t="shared" si="32"/>
        <v>-0.000766575922431241-0.000058683652824303i</v>
      </c>
      <c r="G77" s="84" t="str">
        <f t="shared" si="33"/>
        <v>-0.159099572600543-0.0121795425733877i</v>
      </c>
      <c r="H77" s="87">
        <f t="shared" si="34"/>
        <v>0.159565081577933</v>
      </c>
      <c r="I77" s="58" t="str">
        <f t="shared" si="35"/>
        <v>0.25914315569488-0.00437647646405695i</v>
      </c>
      <c r="J77" s="89" t="str">
        <f t="shared" si="36"/>
        <v>0.0333595395848908-0.179573608037414i</v>
      </c>
      <c r="K77" s="89" t="str">
        <f t="shared" si="37"/>
        <v>0.00785899669141534-0.046681268706176i</v>
      </c>
      <c r="L77" s="89" t="str">
        <f t="shared" si="38"/>
        <v>-0.00181891951425988+0.0073312509148165i</v>
      </c>
      <c r="M77" s="84">
        <f t="shared" si="39"/>
        <v>-42.437008997988698</v>
      </c>
      <c r="N77" s="84">
        <f t="shared" si="40"/>
        <v>283.93400564743928</v>
      </c>
      <c r="O77" s="84">
        <f t="shared" si="28"/>
        <v>-76.065994352560722</v>
      </c>
    </row>
    <row r="78" spans="1:15" ht="15" x14ac:dyDescent="0.2">
      <c r="A78" s="85">
        <f t="shared" si="41"/>
        <v>77</v>
      </c>
      <c r="B78" s="84">
        <f t="shared" si="42"/>
        <v>154000</v>
      </c>
      <c r="C78" s="84">
        <f t="shared" si="29"/>
        <v>207.54574719220173</v>
      </c>
      <c r="D78" s="58" t="str">
        <f t="shared" si="30"/>
        <v>0.00109368964403076-0.00107416265759078i</v>
      </c>
      <c r="E78" s="58" t="str">
        <f t="shared" si="31"/>
        <v>-0.322510365759674-0.362107001509111i</v>
      </c>
      <c r="F78" s="84" t="str">
        <f t="shared" si="32"/>
        <v>-0.000741688066197183-0.0000496040859965596i</v>
      </c>
      <c r="G78" s="84" t="str">
        <f t="shared" si="33"/>
        <v>-0.153934203882434-0.0102951170919422i</v>
      </c>
      <c r="H78" s="87">
        <f t="shared" si="34"/>
        <v>0.15427808840161186</v>
      </c>
      <c r="I78" s="58" t="str">
        <f t="shared" si="35"/>
        <v>0.25914315569488-0.0043196391073809i</v>
      </c>
      <c r="J78" s="89" t="str">
        <f t="shared" si="36"/>
        <v>0.0325266853018976-0.177394193944359i</v>
      </c>
      <c r="K78" s="89" t="str">
        <f t="shared" si="37"/>
        <v>0.00766278897584365-0.0461109947625543i</v>
      </c>
      <c r="L78" s="89" t="str">
        <f t="shared" si="38"/>
        <v>-0.00165428341082201+0.00701916995924373i</v>
      </c>
      <c r="M78" s="84">
        <f t="shared" si="39"/>
        <v>-42.839515545520953</v>
      </c>
      <c r="N78" s="84">
        <f t="shared" si="40"/>
        <v>283.26150973199026</v>
      </c>
      <c r="O78" s="84">
        <f t="shared" si="28"/>
        <v>-76.738490268009741</v>
      </c>
    </row>
    <row r="79" spans="1:15" ht="15" x14ac:dyDescent="0.2">
      <c r="A79" s="85">
        <f t="shared" si="41"/>
        <v>78</v>
      </c>
      <c r="B79" s="84">
        <f t="shared" si="42"/>
        <v>156000</v>
      </c>
      <c r="C79" s="84">
        <f t="shared" si="29"/>
        <v>207.54574719220173</v>
      </c>
      <c r="D79" s="58" t="str">
        <f t="shared" si="30"/>
        <v>0.00109366021626114-0.00106039137270693i</v>
      </c>
      <c r="E79" s="58" t="str">
        <f t="shared" si="31"/>
        <v>-0.319372023352939-0.34753094059053i</v>
      </c>
      <c r="F79" s="84" t="str">
        <f t="shared" si="32"/>
        <v>-0.000717803287278856-0.0000414214253962638i</v>
      </c>
      <c r="G79" s="84" t="str">
        <f t="shared" si="33"/>
        <v>-0.148977019595309-0.00859684068363361i</v>
      </c>
      <c r="H79" s="87">
        <f t="shared" si="34"/>
        <v>0.1492248573034696</v>
      </c>
      <c r="I79" s="58" t="str">
        <f t="shared" si="35"/>
        <v>0.25914315569488-0.00426425911882472i</v>
      </c>
      <c r="J79" s="89" t="str">
        <f t="shared" si="36"/>
        <v>0.0317243030161322-0.175265146604431i</v>
      </c>
      <c r="K79" s="89" t="str">
        <f t="shared" si="37"/>
        <v>0.007473759996201-0.0455540438228229i</v>
      </c>
      <c r="L79" s="89" t="str">
        <f t="shared" si="38"/>
        <v>-0.00150503934664475+0.0067222549552432i</v>
      </c>
      <c r="M79" s="84">
        <f t="shared" si="39"/>
        <v>-43.237285000213163</v>
      </c>
      <c r="N79" s="84">
        <f t="shared" si="40"/>
        <v>282.61978407138918</v>
      </c>
      <c r="O79" s="84">
        <f t="shared" si="28"/>
        <v>-77.380215928610824</v>
      </c>
    </row>
    <row r="80" spans="1:15" ht="15" x14ac:dyDescent="0.2">
      <c r="A80" s="85">
        <f t="shared" si="41"/>
        <v>79</v>
      </c>
      <c r="B80" s="84">
        <f t="shared" si="42"/>
        <v>158000</v>
      </c>
      <c r="C80" s="84">
        <f t="shared" si="29"/>
        <v>207.54574719220173</v>
      </c>
      <c r="D80" s="58" t="str">
        <f t="shared" si="30"/>
        <v>0.00109363189891205-0.00104696872678289i</v>
      </c>
      <c r="E80" s="58" t="str">
        <f t="shared" si="31"/>
        <v>-0.315988661370671-0.333642131091727i</v>
      </c>
      <c r="F80" s="84" t="str">
        <f t="shared" si="32"/>
        <v>-0.000694888156959719-0.0000340514309098273i</v>
      </c>
      <c r="G80" s="84" t="str">
        <f t="shared" si="33"/>
        <v>-0.144221081751217-0.00706722967114374i</v>
      </c>
      <c r="H80" s="87">
        <f t="shared" si="34"/>
        <v>0.14439413477255891</v>
      </c>
      <c r="I80" s="58" t="str">
        <f t="shared" si="35"/>
        <v>0.25914315569488-0.0042102811552953i</v>
      </c>
      <c r="J80" s="89" t="str">
        <f t="shared" si="36"/>
        <v>0.0309509401345444-0.173184812958101i</v>
      </c>
      <c r="K80" s="89" t="str">
        <f t="shared" si="37"/>
        <v>0.00729156754380832-0.045009971108377i</v>
      </c>
      <c r="L80" s="89" t="str">
        <f t="shared" si="38"/>
        <v>-0.00136969356214454+0.0064398555403464i</v>
      </c>
      <c r="M80" s="84">
        <f t="shared" si="39"/>
        <v>-43.630329407227961</v>
      </c>
      <c r="N80" s="84">
        <f t="shared" si="40"/>
        <v>282.00732061254445</v>
      </c>
      <c r="O80" s="84">
        <f t="shared" si="28"/>
        <v>-77.992679387455553</v>
      </c>
    </row>
    <row r="81" spans="1:18" ht="15" x14ac:dyDescent="0.2">
      <c r="A81" s="85">
        <f t="shared" si="41"/>
        <v>80</v>
      </c>
      <c r="B81" s="84">
        <f t="shared" si="42"/>
        <v>160000</v>
      </c>
      <c r="C81" s="84">
        <f t="shared" si="29"/>
        <v>207.54574719220173</v>
      </c>
      <c r="D81" s="58" t="str">
        <f t="shared" si="30"/>
        <v>0.00109360463681107-0.00103388164591474i</v>
      </c>
      <c r="E81" s="58" t="str">
        <f t="shared" si="31"/>
        <v>-0.31239987183595-0.320410124959949i</v>
      </c>
      <c r="F81" s="84" t="str">
        <f t="shared" si="32"/>
        <v>-0.000672908095740319-0.0000274175046601087i</v>
      </c>
      <c r="G81" s="84" t="str">
        <f t="shared" si="33"/>
        <v>-0.139659213522106-0.00569038649082793i</v>
      </c>
      <c r="H81" s="87">
        <f t="shared" si="34"/>
        <v>0.13977509227336676</v>
      </c>
      <c r="I81" s="58" t="str">
        <f t="shared" si="35"/>
        <v>0.259143155694879-0.0041576526408541i</v>
      </c>
      <c r="J81" s="89" t="str">
        <f t="shared" si="36"/>
        <v>0.0302052286461313-0.171151607671579i</v>
      </c>
      <c r="K81" s="89" t="str">
        <f t="shared" si="37"/>
        <v>0.00711588933622166-0.044478350562913i</v>
      </c>
      <c r="L81" s="89" t="str">
        <f t="shared" si="38"/>
        <v>-0.00124689851338457+0.00617131929782789i</v>
      </c>
      <c r="M81" s="84">
        <f t="shared" si="39"/>
        <v>-44.018670358847565</v>
      </c>
      <c r="N81" s="84">
        <f t="shared" si="40"/>
        <v>281.42267898417361</v>
      </c>
      <c r="O81" s="84">
        <f t="shared" si="28"/>
        <v>-78.577321015826385</v>
      </c>
    </row>
    <row r="82" spans="1:18" ht="15" x14ac:dyDescent="0.2">
      <c r="A82" s="85">
        <f t="shared" si="41"/>
        <v>81</v>
      </c>
      <c r="B82" s="84">
        <f t="shared" si="42"/>
        <v>162000</v>
      </c>
      <c r="C82" s="84">
        <f t="shared" si="29"/>
        <v>207.54574719220173</v>
      </c>
      <c r="D82" s="58" t="str">
        <f t="shared" si="30"/>
        <v>0.00109357837817031-0.00102111770182004i</v>
      </c>
      <c r="E82" s="58" t="str">
        <f t="shared" si="31"/>
        <v>-0.308640839982196-0.307804826872173i</v>
      </c>
      <c r="F82" s="84" t="str">
        <f t="shared" si="32"/>
        <v>-0.000651827906649681-0.0000214500781534373i</v>
      </c>
      <c r="G82" s="84" t="str">
        <f t="shared" si="33"/>
        <v>-0.135284109926337-0.00445187249768627i</v>
      </c>
      <c r="H82" s="87">
        <f t="shared" si="34"/>
        <v>0.13535734027860066</v>
      </c>
      <c r="I82" s="58" t="str">
        <f t="shared" si="35"/>
        <v>0.25914315569488-0.00410632359590529i</v>
      </c>
      <c r="J82" s="89" t="str">
        <f t="shared" si="36"/>
        <v>0.0294858793475647-0.169164009962715i</v>
      </c>
      <c r="K82" s="89" t="str">
        <f t="shared" si="37"/>
        <v>0.00694642165687855-0.043958773933849i</v>
      </c>
      <c r="L82" s="89" t="str">
        <f t="shared" si="38"/>
        <v>-0.00113543932773196+0.00591599902156223i</v>
      </c>
      <c r="M82" s="84">
        <f t="shared" si="39"/>
        <v>-44.402337729966284</v>
      </c>
      <c r="N82" s="84">
        <f t="shared" si="40"/>
        <v>280.86448564052444</v>
      </c>
      <c r="O82" s="84">
        <f t="shared" si="28"/>
        <v>-79.135514359475565</v>
      </c>
    </row>
    <row r="83" spans="1:18" ht="15" x14ac:dyDescent="0.2">
      <c r="A83" s="85">
        <f t="shared" si="41"/>
        <v>82</v>
      </c>
      <c r="B83" s="84">
        <f t="shared" si="42"/>
        <v>164000</v>
      </c>
      <c r="C83" s="84">
        <f t="shared" si="29"/>
        <v>207.54574719220173</v>
      </c>
      <c r="D83" s="58" t="str">
        <f t="shared" si="30"/>
        <v>0.00109355307434026-0.00100866507247083i</v>
      </c>
      <c r="E83" s="58" t="str">
        <f t="shared" si="31"/>
        <v>-0.304742767092029-0.295796719952017i</v>
      </c>
      <c r="F83" s="84" t="str">
        <f t="shared" si="32"/>
        <v>-0.000631612209803481-0.0000160860272294504i</v>
      </c>
      <c r="G83" s="84" t="str">
        <f t="shared" si="33"/>
        <v>-0.131088428019381-0.00333858654069039i</v>
      </c>
      <c r="H83" s="87">
        <f t="shared" si="34"/>
        <v>0.13113093502557707</v>
      </c>
      <c r="I83" s="58" t="str">
        <f t="shared" si="35"/>
        <v>0.25914315569488-0.00405624647888207i</v>
      </c>
      <c r="J83" s="89" t="str">
        <f t="shared" si="36"/>
        <v>0.0287916765180066-0.167220560581793i</v>
      </c>
      <c r="K83" s="89" t="str">
        <f t="shared" si="37"/>
        <v>0.00678287810056582-0.04345084990273i</v>
      </c>
      <c r="L83" s="89" t="str">
        <f t="shared" si="38"/>
        <v>-0.00103422125031707+0.00567325838432126i</v>
      </c>
      <c r="M83" s="84">
        <f t="shared" si="39"/>
        <v>-44.781368538737837</v>
      </c>
      <c r="N83" s="84">
        <f t="shared" si="40"/>
        <v>280.33143252321543</v>
      </c>
      <c r="O83" s="84">
        <f t="shared" si="28"/>
        <v>-79.668567476784574</v>
      </c>
    </row>
    <row r="84" spans="1:18" ht="15" x14ac:dyDescent="0.2">
      <c r="A84" s="85">
        <f t="shared" si="41"/>
        <v>83</v>
      </c>
      <c r="B84" s="84">
        <f t="shared" si="42"/>
        <v>166000</v>
      </c>
      <c r="C84" s="84">
        <f t="shared" si="29"/>
        <v>207.54574719220173</v>
      </c>
      <c r="D84" s="58" t="str">
        <f t="shared" si="30"/>
        <v>0.00109352867958439-0.000996512505572531i</v>
      </c>
      <c r="E84" s="58" t="str">
        <f t="shared" si="31"/>
        <v>-0.300733262929728-0.284357038313596i</v>
      </c>
      <c r="F84" s="84" t="str">
        <f t="shared" si="32"/>
        <v>-0.000612225792645716-0.0000112681192864884i</v>
      </c>
      <c r="G84" s="84" t="str">
        <f t="shared" si="33"/>
        <v>-0.127064859584993-0.00233865023676509i</v>
      </c>
      <c r="H84" s="87">
        <f t="shared" si="34"/>
        <v>0.12708637938931108</v>
      </c>
      <c r="I84" s="58" t="str">
        <f t="shared" si="35"/>
        <v>0.25914315569488-0.00400737603937745i</v>
      </c>
      <c r="J84" s="89" t="str">
        <f t="shared" si="36"/>
        <v>0.0281214730041337-0.165319858940816i</v>
      </c>
      <c r="K84" s="89" t="str">
        <f t="shared" si="37"/>
        <v>0.0066249884155269-0.0429542032620642i</v>
      </c>
      <c r="L84" s="89" t="str">
        <f t="shared" si="38"/>
        <v>-0.000942258080400013+0.0054424762753529i</v>
      </c>
      <c r="M84" s="84">
        <f t="shared" si="39"/>
        <v>-45.155805923792698</v>
      </c>
      <c r="N84" s="84">
        <f t="shared" si="40"/>
        <v>279.8222753548643</v>
      </c>
      <c r="O84" s="84">
        <f t="shared" si="28"/>
        <v>-80.177724645135697</v>
      </c>
      <c r="P84" s="84">
        <v>-27.673999999999999</v>
      </c>
      <c r="Q84" s="84">
        <v>318.15300000000002</v>
      </c>
      <c r="R84" s="84">
        <f>B84</f>
        <v>166000</v>
      </c>
    </row>
    <row r="85" spans="1:18" ht="15" x14ac:dyDescent="0.2">
      <c r="A85" s="85">
        <f t="shared" si="41"/>
        <v>84</v>
      </c>
      <c r="B85" s="84">
        <f t="shared" si="42"/>
        <v>168000</v>
      </c>
      <c r="C85" s="84">
        <f t="shared" si="29"/>
        <v>207.54574719220173</v>
      </c>
      <c r="D85" s="58" t="str">
        <f t="shared" si="30"/>
        <v>0.00109350515087224-0.000984649284651464i</v>
      </c>
      <c r="E85" s="58" t="str">
        <f t="shared" si="31"/>
        <v>-0.296636707487767-0.273457895401365i</v>
      </c>
      <c r="F85" s="84" t="str">
        <f t="shared" si="32"/>
        <v>-0.000593633888664904-0.0000069444953388795i</v>
      </c>
      <c r="G85" s="84" t="str">
        <f t="shared" si="33"/>
        <v>-0.12320618898157-0.00144130047398051i</v>
      </c>
      <c r="H85" s="87">
        <f t="shared" si="34"/>
        <v>0.1232146190612893</v>
      </c>
      <c r="I85" s="58" t="str">
        <f t="shared" si="35"/>
        <v>0.25914315569488-0.00395966918176582i</v>
      </c>
      <c r="J85" s="89" t="str">
        <f t="shared" si="36"/>
        <v>0.0274741856801048-0.163460560384822i</v>
      </c>
      <c r="K85" s="89" t="str">
        <f t="shared" si="37"/>
        <v>0.00647249743389949-0.0424684741361079i</v>
      </c>
      <c r="L85" s="89" t="str">
        <f t="shared" si="38"/>
        <v>-0.000858661573925349+0.00522305003655291i</v>
      </c>
      <c r="M85" s="84">
        <f t="shared" si="39"/>
        <v>-45.525698229180243</v>
      </c>
      <c r="N85" s="84">
        <f t="shared" si="40"/>
        <v>279.33583165919805</v>
      </c>
      <c r="O85" s="84">
        <f t="shared" si="28"/>
        <v>-80.66416834080195</v>
      </c>
    </row>
    <row r="86" spans="1:18" ht="15" x14ac:dyDescent="0.2">
      <c r="A86" s="85">
        <f t="shared" si="41"/>
        <v>85</v>
      </c>
      <c r="B86" s="84">
        <f t="shared" si="42"/>
        <v>170000</v>
      </c>
      <c r="C86" s="84">
        <f t="shared" si="29"/>
        <v>207.54574719220173</v>
      </c>
      <c r="D86" s="58" t="str">
        <f t="shared" si="30"/>
        <v>0.00109348244768956-0.000973065197536132i</v>
      </c>
      <c r="E86" s="58" t="str">
        <f t="shared" si="31"/>
        <v>-0.292474582566039-0.263072375853051i</v>
      </c>
      <c r="F86" s="84" t="str">
        <f t="shared" si="32"/>
        <v>-0.000575802395807043-0.0000030681880083816i</v>
      </c>
      <c r="G86" s="84" t="str">
        <f t="shared" si="33"/>
        <v>-0.119505338472833-0.000636789372725713i</v>
      </c>
      <c r="H86" s="87">
        <f t="shared" si="34"/>
        <v>0.1195070350406686</v>
      </c>
      <c r="I86" s="58" t="str">
        <f t="shared" si="35"/>
        <v>0.259143155694879-0.00391308483845092i</v>
      </c>
      <c r="J86" s="89" t="str">
        <f t="shared" si="36"/>
        <v>0.0268487912505303-0.161641373598827i</v>
      </c>
      <c r="K86" s="89" t="str">
        <f t="shared" si="37"/>
        <v>0.00632516408295953-0.0419933172432281i</v>
      </c>
      <c r="L86" s="89" t="str">
        <f t="shared" si="38"/>
        <v>-0.000782631772776272+0.00501439779348025i</v>
      </c>
      <c r="M86" s="84">
        <f t="shared" si="39"/>
        <v>-45.891098188201454</v>
      </c>
      <c r="N86" s="84">
        <f t="shared" si="40"/>
        <v>278.8709785859312</v>
      </c>
      <c r="O86" s="84">
        <f t="shared" si="28"/>
        <v>-81.129021414068802</v>
      </c>
    </row>
    <row r="87" spans="1:18" ht="15" x14ac:dyDescent="0.2">
      <c r="A87" s="85">
        <f t="shared" si="41"/>
        <v>86</v>
      </c>
      <c r="B87" s="84">
        <f t="shared" si="42"/>
        <v>172000</v>
      </c>
      <c r="C87" s="84">
        <f t="shared" si="29"/>
        <v>207.54574719220173</v>
      </c>
      <c r="D87" s="58" t="str">
        <f t="shared" si="30"/>
        <v>0.00109346053186382-0.000961750507037504i</v>
      </c>
      <c r="E87" s="58" t="str">
        <f t="shared" si="31"/>
        <v>-0.288265774261145-0.253174597492427i</v>
      </c>
      <c r="F87" s="84" t="str">
        <f t="shared" si="32"/>
        <v>-0.000558698044349085+4.03324528737165E-07i</v>
      </c>
      <c r="G87" s="84" t="str">
        <f t="shared" si="33"/>
        <v>-0.115955403069253+0.0000837082906776975i</v>
      </c>
      <c r="H87" s="87">
        <f t="shared" si="34"/>
        <v>0.11595543328378735</v>
      </c>
      <c r="I87" s="58" t="str">
        <f t="shared" si="35"/>
        <v>0.25914315569488-0.00386758385195731i</v>
      </c>
      <c r="J87" s="89" t="str">
        <f t="shared" si="36"/>
        <v>0.0262443223674936-0.159861058144142i</v>
      </c>
      <c r="K87" s="89" t="str">
        <f t="shared" si="37"/>
        <v>0.00618276047035092-0.0415284011975897i</v>
      </c>
      <c r="L87" s="89" t="str">
        <f t="shared" si="38"/>
        <v>-0.000713448210941357+0.00481596004799881i</v>
      </c>
      <c r="M87" s="84">
        <f t="shared" si="39"/>
        <v>-46.252062197519088</v>
      </c>
      <c r="N87" s="84">
        <f t="shared" si="40"/>
        <v>278.42665060459268</v>
      </c>
      <c r="O87" s="84">
        <f t="shared" si="28"/>
        <v>-81.57334939540732</v>
      </c>
    </row>
    <row r="88" spans="1:18" ht="15" x14ac:dyDescent="0.2">
      <c r="A88" s="85">
        <f t="shared" si="41"/>
        <v>87</v>
      </c>
      <c r="B88" s="84">
        <f t="shared" si="42"/>
        <v>174000</v>
      </c>
      <c r="C88" s="84">
        <f t="shared" si="29"/>
        <v>207.54574719220173</v>
      </c>
      <c r="D88" s="58" t="str">
        <f t="shared" si="30"/>
        <v>0.00109343936740364-0.00095069592365133i</v>
      </c>
      <c r="E88" s="58" t="str">
        <f t="shared" si="31"/>
        <v>-0.284026847815692-0.243739749062588i</v>
      </c>
      <c r="F88" s="84" t="str">
        <f t="shared" si="32"/>
        <v>-0.000542288522666841+3.50852939979689E-06i</v>
      </c>
      <c r="G88" s="84" t="str">
        <f t="shared" si="33"/>
        <v>-0.112549676630645+0.000728180355826653i</v>
      </c>
      <c r="H88" s="87">
        <f t="shared" si="34"/>
        <v>0.11255203221751869</v>
      </c>
      <c r="I88" s="58" t="str">
        <f t="shared" si="35"/>
        <v>0.25914315569488-0.0038231288651532i</v>
      </c>
      <c r="J88" s="89" t="str">
        <f t="shared" si="36"/>
        <v>0.0256598640353592-0.158118422117874i</v>
      </c>
      <c r="K88" s="89" t="str">
        <f t="shared" si="37"/>
        <v>0.00604507103711322-0.0410734078479905i</v>
      </c>
      <c r="L88" s="89" t="str">
        <f t="shared" si="38"/>
        <v>-0.000650461941694608+0.00462720067338873i</v>
      </c>
      <c r="M88" s="84">
        <f t="shared" si="39"/>
        <v>-46.608649673300462</v>
      </c>
      <c r="N88" s="84">
        <f t="shared" si="40"/>
        <v>278.00183711950274</v>
      </c>
      <c r="O88" s="84">
        <f t="shared" si="28"/>
        <v>-81.998162880497262</v>
      </c>
    </row>
    <row r="89" spans="1:18" ht="15" x14ac:dyDescent="0.2">
      <c r="A89" s="85">
        <f t="shared" si="41"/>
        <v>88</v>
      </c>
      <c r="B89" s="84">
        <f t="shared" si="42"/>
        <v>176000</v>
      </c>
      <c r="C89" s="84">
        <f t="shared" si="29"/>
        <v>207.54574719220173</v>
      </c>
      <c r="D89" s="58" t="str">
        <f t="shared" si="30"/>
        <v>0.00109341892035086-0.000939892580121635i</v>
      </c>
      <c r="E89" s="58" t="str">
        <f t="shared" si="31"/>
        <v>-0.279772296507588-0.234744108435047i</v>
      </c>
      <c r="F89" s="84" t="str">
        <f t="shared" si="32"/>
        <v>-0.000526542568136777+6.28225600729764E-06i</v>
      </c>
      <c r="G89" s="84" t="str">
        <f t="shared" si="33"/>
        <v>-0.109281670732448+0.00130385551708729i</v>
      </c>
      <c r="H89" s="87">
        <f t="shared" si="34"/>
        <v>0.10928944870061622</v>
      </c>
      <c r="I89" s="58" t="str">
        <f t="shared" si="35"/>
        <v>0.25914315569488-0.00377968421895828i</v>
      </c>
      <c r="J89" s="89" t="str">
        <f t="shared" si="36"/>
        <v>0.0250945502795156-0.15641231992968i</v>
      </c>
      <c r="K89" s="89" t="str">
        <f t="shared" si="37"/>
        <v>0.00591189177288864-0.0406280316518078i</v>
      </c>
      <c r="L89" s="89" t="str">
        <f t="shared" si="38"/>
        <v>-0.000593088326913078+0.00444760743018484i</v>
      </c>
      <c r="M89" s="84">
        <f t="shared" si="39"/>
        <v>-46.960922481594096</v>
      </c>
      <c r="N89" s="84">
        <f t="shared" si="40"/>
        <v>277.5955800479407</v>
      </c>
      <c r="O89" s="84">
        <f t="shared" si="28"/>
        <v>-82.4044199520593</v>
      </c>
    </row>
    <row r="90" spans="1:18" ht="15" x14ac:dyDescent="0.2">
      <c r="A90" s="85">
        <f t="shared" si="41"/>
        <v>89</v>
      </c>
      <c r="B90" s="84">
        <f t="shared" si="42"/>
        <v>178000</v>
      </c>
      <c r="C90" s="84">
        <f t="shared" si="29"/>
        <v>207.54574719220173</v>
      </c>
      <c r="D90" s="58" t="str">
        <f t="shared" si="30"/>
        <v>0.00109339915864435-0.000929332007719041i</v>
      </c>
      <c r="E90" s="58" t="str">
        <f t="shared" si="31"/>
        <v>-0.275514766381876-0.226165045268281i</v>
      </c>
      <c r="F90" s="84" t="str">
        <f t="shared" si="32"/>
        <v>-0.000511430029351077+8.75602078681163E-06i</v>
      </c>
      <c r="G90" s="84" t="str">
        <f t="shared" si="33"/>
        <v>-0.106145127578199+0.00181727487662927i</v>
      </c>
      <c r="H90" s="87">
        <f t="shared" si="34"/>
        <v>0.10616068291306988</v>
      </c>
      <c r="I90" s="58" t="str">
        <f t="shared" si="35"/>
        <v>0.259143155694879-0.00373721585694751i</v>
      </c>
      <c r="J90" s="89" t="str">
        <f t="shared" si="36"/>
        <v>0.0245475610573777-0.15474165018996i</v>
      </c>
      <c r="K90" s="89" t="str">
        <f t="shared" si="37"/>
        <v>0.00578302948820143-0.0401919790820923i</v>
      </c>
      <c r="L90" s="89" t="str">
        <f t="shared" si="38"/>
        <v>-0.000540800528985732+0.00427669210148871i</v>
      </c>
      <c r="M90" s="84">
        <f t="shared" si="39"/>
        <v>-47.308944435654624</v>
      </c>
      <c r="N90" s="84">
        <f t="shared" si="40"/>
        <v>277.20697139502693</v>
      </c>
      <c r="O90" s="84">
        <f t="shared" si="28"/>
        <v>-82.793028604973074</v>
      </c>
    </row>
    <row r="91" spans="1:18" ht="15" x14ac:dyDescent="0.2">
      <c r="A91" s="85">
        <f t="shared" si="41"/>
        <v>90</v>
      </c>
      <c r="B91" s="84">
        <f t="shared" si="42"/>
        <v>180000</v>
      </c>
      <c r="C91" s="84">
        <f t="shared" si="29"/>
        <v>207.54574719220173</v>
      </c>
      <c r="D91" s="58" t="str">
        <f t="shared" si="30"/>
        <v>0.00109338005199419-0.000919006114100512i</v>
      </c>
      <c r="E91" s="58" t="str">
        <f t="shared" si="31"/>
        <v>-0.2712652586708-0.217981011431893i</v>
      </c>
      <c r="F91" s="84" t="str">
        <f t="shared" si="32"/>
        <v>-0.00049692190489342+0.0000109583416483728i</v>
      </c>
      <c r="G91" s="84" t="str">
        <f t="shared" si="33"/>
        <v>-0.103134028047277+0.00227435720539896i</v>
      </c>
      <c r="H91" s="87">
        <f t="shared" si="34"/>
        <v>0.10315910256469987</v>
      </c>
      <c r="I91" s="58" t="str">
        <f t="shared" si="35"/>
        <v>0.25914315569488-0.00369569123631476i</v>
      </c>
      <c r="J91" s="89" t="str">
        <f t="shared" si="36"/>
        <v>0.0240181193919311-0.153105353703932i</v>
      </c>
      <c r="K91" s="89" t="str">
        <f t="shared" si="37"/>
        <v>0.00565830113916492-0.0397649680659672i</v>
      </c>
      <c r="L91" s="89" t="str">
        <f t="shared" si="38"/>
        <v>-0.000493123646743282+0.00411399032978071i</v>
      </c>
      <c r="M91" s="84">
        <f t="shared" si="39"/>
        <v>-47.652780853462872</v>
      </c>
      <c r="N91" s="84">
        <f t="shared" si="40"/>
        <v>276.8351508516887</v>
      </c>
      <c r="O91" s="84">
        <f t="shared" si="28"/>
        <v>-83.164849148311305</v>
      </c>
    </row>
    <row r="92" spans="1:18" ht="15" x14ac:dyDescent="0.2">
      <c r="A92" s="85">
        <f t="shared" si="41"/>
        <v>91</v>
      </c>
      <c r="B92" s="84">
        <f t="shared" si="42"/>
        <v>182000</v>
      </c>
      <c r="C92" s="84">
        <f t="shared" si="29"/>
        <v>207.54574719220173</v>
      </c>
      <c r="D92" s="58" t="str">
        <f t="shared" si="30"/>
        <v>0.00109336157176551-0.000908907162628883i</v>
      </c>
      <c r="E92" s="58" t="str">
        <f t="shared" si="31"/>
        <v>-0.267033311733552-0.210171521949085i</v>
      </c>
      <c r="F92" s="84" t="str">
        <f t="shared" si="32"/>
        <v>-0.000482990363110883+0.0000129150241165358i</v>
      </c>
      <c r="G92" s="84" t="str">
        <f t="shared" si="33"/>
        <v>-0.100242595798481+0.00268045833027173i</v>
      </c>
      <c r="H92" s="87">
        <f t="shared" si="34"/>
        <v>0.10027842673914446</v>
      </c>
      <c r="I92" s="58" t="str">
        <f t="shared" si="35"/>
        <v>0.25914315569488-0.00365507924470691i</v>
      </c>
      <c r="J92" s="89" t="str">
        <f t="shared" si="36"/>
        <v>0.0235054887098699-0.151502411566219i</v>
      </c>
      <c r="K92" s="89" t="str">
        <f t="shared" si="37"/>
        <v>0.00553753320038733-0.0393467274525746i</v>
      </c>
      <c r="L92" s="89" t="str">
        <f t="shared" si="38"/>
        <v>-0.000449629438957911+0.00395906122301757i</v>
      </c>
      <c r="M92" s="84">
        <f t="shared" si="39"/>
        <v>-47.992498169225058</v>
      </c>
      <c r="N92" s="84">
        <f t="shared" si="40"/>
        <v>276.47930343616804</v>
      </c>
      <c r="O92" s="84">
        <f t="shared" si="28"/>
        <v>-83.520696563831962</v>
      </c>
    </row>
    <row r="93" spans="1:18" ht="15" x14ac:dyDescent="0.2">
      <c r="A93" s="85">
        <f t="shared" si="41"/>
        <v>92</v>
      </c>
      <c r="B93" s="84">
        <f t="shared" si="42"/>
        <v>184000</v>
      </c>
      <c r="C93" s="84">
        <f t="shared" si="29"/>
        <v>207.54574719220173</v>
      </c>
      <c r="D93" s="58" t="str">
        <f t="shared" si="30"/>
        <v>0.00109334369087122-0.00089902775304115i</v>
      </c>
      <c r="E93" s="58" t="str">
        <f t="shared" si="31"/>
        <v>-0.262827164292679-0.202717128730101i</v>
      </c>
      <c r="F93" s="84" t="str">
        <f t="shared" si="32"/>
        <v>-0.00046960874661415+0.0000146494212236395i</v>
      </c>
      <c r="G93" s="84" t="str">
        <f t="shared" si="33"/>
        <v>-0.0974652982040271+0.00304042507379356i</v>
      </c>
      <c r="H93" s="87">
        <f t="shared" si="34"/>
        <v>9.7512709626126598E-2</v>
      </c>
      <c r="I93" s="58" t="str">
        <f t="shared" si="35"/>
        <v>0.25914315569488-0.00361535012248183i</v>
      </c>
      <c r="J93" s="89" t="str">
        <f t="shared" si="36"/>
        <v>0.023008970367969-0.14993184335082i</v>
      </c>
      <c r="K93" s="89" t="str">
        <f t="shared" si="37"/>
        <v>0.00542056108222316-0.0389369965089199i</v>
      </c>
      <c r="L93" s="89" t="str">
        <f t="shared" si="38"/>
        <v>-0.000409931581828092+0.00381148678573946i</v>
      </c>
      <c r="M93" s="84">
        <f t="shared" si="39"/>
        <v>-48.328163593164966</v>
      </c>
      <c r="N93" s="84">
        <f t="shared" si="40"/>
        <v>276.13865719461364</v>
      </c>
      <c r="O93" s="84">
        <f t="shared" si="28"/>
        <v>-83.861342805386357</v>
      </c>
    </row>
    <row r="94" spans="1:18" ht="15" x14ac:dyDescent="0.2">
      <c r="A94" s="85">
        <f t="shared" si="41"/>
        <v>93</v>
      </c>
      <c r="B94" s="84">
        <f t="shared" si="42"/>
        <v>186000</v>
      </c>
      <c r="C94" s="84">
        <f t="shared" si="29"/>
        <v>207.54574719220173</v>
      </c>
      <c r="D94" s="58" t="str">
        <f t="shared" si="30"/>
        <v>0.00109332638367262-0.000889360803363878i</v>
      </c>
      <c r="E94" s="58" t="str">
        <f t="shared" si="31"/>
        <v>-0.258653901662655-0.195599388962652i</v>
      </c>
      <c r="F94" s="84" t="str">
        <f t="shared" si="32"/>
        <v>-0.000456751564632952+0.0000161826691927899i</v>
      </c>
      <c r="G94" s="84" t="str">
        <f t="shared" si="33"/>
        <v>-0.0947968447629532+0.0033586441691818i</v>
      </c>
      <c r="H94" s="87">
        <f t="shared" si="34"/>
        <v>9.485632434195744E-2</v>
      </c>
      <c r="I94" s="58" t="str">
        <f t="shared" si="35"/>
        <v>0.25914315569488-0.00357647538998203i</v>
      </c>
      <c r="J94" s="89" t="str">
        <f t="shared" si="36"/>
        <v>0.0225279013527813-0.148392705391541i</v>
      </c>
      <c r="K94" s="89" t="str">
        <f t="shared" si="37"/>
        <v>0.005307228588857-0.0385355244420407i</v>
      </c>
      <c r="L94" s="89" t="str">
        <f t="shared" si="38"/>
        <v>-0.000373681410185761+0.0036708712207456i</v>
      </c>
      <c r="M94" s="84">
        <f t="shared" si="39"/>
        <v>-48.659844814434159</v>
      </c>
      <c r="N94" s="84">
        <f t="shared" si="40"/>
        <v>275.81248097227615</v>
      </c>
      <c r="O94" s="84">
        <f t="shared" si="28"/>
        <v>-84.187519027723852</v>
      </c>
    </row>
    <row r="95" spans="1:18" ht="15" x14ac:dyDescent="0.2">
      <c r="A95" s="85">
        <f t="shared" si="41"/>
        <v>94</v>
      </c>
      <c r="B95" s="84">
        <f t="shared" si="42"/>
        <v>188000</v>
      </c>
      <c r="C95" s="84">
        <f t="shared" si="29"/>
        <v>207.54574719220173</v>
      </c>
      <c r="D95" s="58" t="str">
        <f t="shared" si="30"/>
        <v>0.00109330962588749-0.000879899532983016i</v>
      </c>
      <c r="E95" s="58" t="str">
        <f t="shared" si="31"/>
        <v>-0.254519586567639-0.188800829682434i</v>
      </c>
      <c r="F95" s="84" t="str">
        <f t="shared" si="32"/>
        <v>-0.000444394475835684+0.0000175339008885462i</v>
      </c>
      <c r="G95" s="84" t="str">
        <f t="shared" si="33"/>
        <v>-0.0922321835354039+0.00363908656110733i</v>
      </c>
      <c r="H95" s="87">
        <f t="shared" si="34"/>
        <v>9.2303946994197708E-2</v>
      </c>
      <c r="I95" s="58" t="str">
        <f t="shared" si="35"/>
        <v>0.25914315569488-0.0035384277794503i</v>
      </c>
      <c r="J95" s="89" t="str">
        <f t="shared" si="36"/>
        <v>0.0220616521400433-0.146884089148196i</v>
      </c>
      <c r="K95" s="89" t="str">
        <f t="shared" si="37"/>
        <v>0.00519738741401229-0.0381420699460245i</v>
      </c>
      <c r="L95" s="89" t="str">
        <f t="shared" si="38"/>
        <v>-0.000340564095720386+0.00353684013837315i</v>
      </c>
      <c r="M95" s="84">
        <f t="shared" si="39"/>
        <v>-48.98760974244621</v>
      </c>
      <c r="N95" s="84">
        <f t="shared" si="40"/>
        <v>275.50008226352924</v>
      </c>
      <c r="O95" s="84">
        <f t="shared" si="28"/>
        <v>-84.499917736470763</v>
      </c>
    </row>
    <row r="96" spans="1:18" ht="15" x14ac:dyDescent="0.2">
      <c r="A96" s="85">
        <f t="shared" si="41"/>
        <v>95</v>
      </c>
      <c r="B96" s="84">
        <f t="shared" si="42"/>
        <v>190000</v>
      </c>
      <c r="C96" s="84">
        <f t="shared" si="29"/>
        <v>207.54574719220173</v>
      </c>
      <c r="D96" s="58" t="str">
        <f t="shared" si="30"/>
        <v>0.00109329339450485-0.000870637446782944i</v>
      </c>
      <c r="E96" s="58" t="str">
        <f t="shared" si="31"/>
        <v>-0.250429376037459-0.18230490975907i</v>
      </c>
      <c r="F96" s="84" t="str">
        <f t="shared" si="32"/>
        <v>-0.000432514263780357+0.0000187204389273051i</v>
      </c>
      <c r="G96" s="84" t="str">
        <f t="shared" si="33"/>
        <v>-0.0897664960475792+0.00388534748493352i</v>
      </c>
      <c r="H96" s="87">
        <f t="shared" si="34"/>
        <v>8.9850541109882748E-2</v>
      </c>
      <c r="I96" s="58" t="str">
        <f t="shared" si="35"/>
        <v>0.25914315569488-0.00350118117124557i</v>
      </c>
      <c r="J96" s="89" t="str">
        <f t="shared" si="36"/>
        <v>0.0216096247013604-0.145405119654112i</v>
      </c>
      <c r="K96" s="89" t="str">
        <f t="shared" si="37"/>
        <v>0.00509089667135688-0.0377564007724803i</v>
      </c>
      <c r="L96" s="89" t="str">
        <f t="shared" si="38"/>
        <v>-0.000310295219146493+0.00340903970329178i</v>
      </c>
      <c r="M96" s="84">
        <f t="shared" si="39"/>
        <v>-49.31152628239559</v>
      </c>
      <c r="N96" s="84">
        <f t="shared" si="40"/>
        <v>275.20080514626864</v>
      </c>
      <c r="O96" s="84">
        <f t="shared" si="28"/>
        <v>-84.799194853731365</v>
      </c>
    </row>
    <row r="97" spans="1:18" ht="15" x14ac:dyDescent="0.2">
      <c r="A97" s="85">
        <f t="shared" si="41"/>
        <v>96</v>
      </c>
      <c r="B97" s="84">
        <f t="shared" si="42"/>
        <v>192000</v>
      </c>
      <c r="C97" s="84">
        <f t="shared" si="29"/>
        <v>207.54574719220173</v>
      </c>
      <c r="D97" s="58" t="str">
        <f t="shared" si="30"/>
        <v>0.00109327766770591-0.00086156832027683i</v>
      </c>
      <c r="E97" s="58" t="str">
        <f t="shared" si="31"/>
        <v>-0.246387625758944-0.176095980292277i</v>
      </c>
      <c r="F97" s="84" t="str">
        <f t="shared" si="32"/>
        <v>-0.000421088806789254+0.0000197579702358031i</v>
      </c>
      <c r="G97" s="84" t="str">
        <f t="shared" si="33"/>
        <v>-0.0873951910393484+0.00410068269559104i</v>
      </c>
      <c r="H97" s="87">
        <f t="shared" si="34"/>
        <v>8.749134251669774E-2</v>
      </c>
      <c r="I97" s="58" t="str">
        <f t="shared" si="35"/>
        <v>0.25914315569488-0.0034647105340451i</v>
      </c>
      <c r="J97" s="89" t="str">
        <f t="shared" si="36"/>
        <v>0.021171250646803-0.143954954040676i</v>
      </c>
      <c r="K97" s="89" t="str">
        <f t="shared" si="37"/>
        <v>0.00498762245692709-0.0373782933231471i</v>
      </c>
      <c r="L97" s="89" t="str">
        <f t="shared" si="38"/>
        <v>-0.000282617696834332+0.0032871357428025i</v>
      </c>
      <c r="M97" s="84">
        <f t="shared" si="39"/>
        <v>-49.631662141140829</v>
      </c>
      <c r="N97" s="84">
        <f t="shared" si="40"/>
        <v>274.91402830408316</v>
      </c>
      <c r="O97" s="84">
        <f t="shared" si="28"/>
        <v>-85.08597169591684</v>
      </c>
    </row>
    <row r="98" spans="1:18" ht="15" x14ac:dyDescent="0.2">
      <c r="A98" s="85">
        <f t="shared" si="41"/>
        <v>97</v>
      </c>
      <c r="B98" s="84">
        <f t="shared" si="42"/>
        <v>194000</v>
      </c>
      <c r="C98" s="84">
        <f t="shared" si="29"/>
        <v>207.54574719220173</v>
      </c>
      <c r="D98" s="58" t="str">
        <f t="shared" si="30"/>
        <v>0.00109326242479079-0.000852686185656759i</v>
      </c>
      <c r="E98" s="58" t="str">
        <f t="shared" si="31"/>
        <v>-0.242397983147737-0.170159244212842i</v>
      </c>
      <c r="F98" s="84" t="str">
        <f>IMPRODUCT(D98,E98)</f>
        <v>-0.000410097043722577+0.0000206607037324354i</v>
      </c>
      <c r="G98" s="84" t="str">
        <f>IMPRODUCT(C98,F98)</f>
        <v>-0.0851138973607153+0.00428804119366502i</v>
      </c>
      <c r="H98" s="87">
        <f>IMABS(G98)</f>
        <v>8.5221844741879105E-2</v>
      </c>
      <c r="I98" s="58" t="str">
        <f t="shared" si="35"/>
        <v>0.25914315569488-0.00342899186874566i</v>
      </c>
      <c r="J98" s="89" t="str">
        <f t="shared" si="36"/>
        <v>0.0207459894930202-0.142532780134872i</v>
      </c>
      <c r="K98" s="89" t="str">
        <f>IMPRODUCT(I98,J98)</f>
        <v>0.00488743744112189-0.0370075322633959i</v>
      </c>
      <c r="L98" s="89" t="str">
        <f>IMPRODUCT(G98,K98)</f>
        <v>-0.000257299025899237+0.00317081283571903i</v>
      </c>
      <c r="M98" s="84">
        <f>20*LOG(IMABS(L98))</f>
        <v>-49.948084660021692</v>
      </c>
      <c r="N98" s="84">
        <f t="shared" si="40"/>
        <v>274.63916313788002</v>
      </c>
      <c r="O98" s="84">
        <f t="shared" si="28"/>
        <v>-85.360836862119982</v>
      </c>
    </row>
    <row r="99" spans="1:18" ht="15" x14ac:dyDescent="0.2">
      <c r="A99" s="85">
        <f t="shared" si="41"/>
        <v>98</v>
      </c>
      <c r="B99" s="84">
        <f t="shared" si="42"/>
        <v>196000</v>
      </c>
      <c r="C99" s="84">
        <f t="shared" si="29"/>
        <v>207.54574719220173</v>
      </c>
      <c r="D99" s="58" t="str">
        <f t="shared" si="30"/>
        <v>0.00109324764611024-0.000843985318697923i</v>
      </c>
      <c r="E99" s="58" t="str">
        <f t="shared" si="31"/>
        <v>-0.238463470296582-0.164480715716955i</v>
      </c>
      <c r="F99" s="84" t="str">
        <f>IMPRODUCT(D99,E99)</f>
        <v>-0.000399518936859054+0.0000214415126879848i</v>
      </c>
      <c r="G99" s="84" t="str">
        <f>IMPRODUCT(C99,F99)</f>
        <v>-0.0829184562678464+0.00445009477175888i</v>
      </c>
      <c r="H99" s="87">
        <f>IMABS(G99)</f>
        <v>8.303778497359135E-2</v>
      </c>
      <c r="I99" s="58" t="str">
        <f t="shared" si="35"/>
        <v>0.25914315569488-0.00339400215579928i</v>
      </c>
      <c r="J99" s="89" t="str">
        <f t="shared" si="36"/>
        <v>0.0203333270473486-0.141137815125976i</v>
      </c>
      <c r="K99" s="89" t="str">
        <f>IMPRODUCT(I99,J99)</f>
        <v>0.00479022048802361-0.0366439101554593i</v>
      </c>
      <c r="L99" s="89" t="str">
        <f>IMPRODUCT(G99,K99)</f>
        <v>-0.000234128815049916+0.00305977339685767i</v>
      </c>
      <c r="M99" s="84">
        <f>20*LOG(IMABS(L99))</f>
        <v>-50.260860671533436</v>
      </c>
      <c r="N99" s="84">
        <f t="shared" si="40"/>
        <v>274.37565196726388</v>
      </c>
      <c r="O99" s="84">
        <f t="shared" si="28"/>
        <v>-85.624348032736123</v>
      </c>
    </row>
    <row r="100" spans="1:18" ht="15" x14ac:dyDescent="0.2">
      <c r="A100" s="85">
        <f t="shared" si="41"/>
        <v>99</v>
      </c>
      <c r="B100" s="84">
        <f>(fs*1000/2)*(A100/100)</f>
        <v>198000</v>
      </c>
      <c r="C100" s="84">
        <f t="shared" si="29"/>
        <v>207.54574719220173</v>
      </c>
      <c r="D100" s="58" t="str">
        <f t="shared" si="30"/>
        <v>0.00109323331300241-0.000835460226456499i</v>
      </c>
      <c r="E100" s="58" t="str">
        <f t="shared" si="31"/>
        <v>-0.234586557851577-0.159047180025381i</v>
      </c>
      <c r="F100" s="84" t="str">
        <f>IMPRODUCT(D100,E100)</f>
        <v>-0.000389335432867183+0.0000221120632034911i</v>
      </c>
      <c r="G100" s="84" t="str">
        <f>IMPRODUCT(C100,F100)</f>
        <v>-0.0808049133228188+0.00458926467952975i</v>
      </c>
      <c r="H100" s="87">
        <f>IMABS(G100)</f>
        <v>8.0935130613393344E-2</v>
      </c>
      <c r="I100" s="58" t="str">
        <f t="shared" si="35"/>
        <v>0.25914315569488-0.00335971930574069i</v>
      </c>
      <c r="J100" s="89" t="str">
        <f t="shared" si="36"/>
        <v>0.0199327738991976-0.139769304297764i</v>
      </c>
      <c r="K100" s="89" t="str">
        <f>IMPRODUCT(I100,J100)</f>
        <v>0.00469585629999146-0.0362872271102866i</v>
      </c>
      <c r="L100" s="89" t="str">
        <f>IMPRODUCT(G100,K100)</f>
        <v>-0.00021291657160191+0.00295373676882985i</v>
      </c>
      <c r="M100" s="84">
        <f>20*LOG(IMABS(L100))</f>
        <v>-50.570056377103043</v>
      </c>
      <c r="N100" s="84">
        <f t="shared" si="40"/>
        <v>274.12296632093148</v>
      </c>
      <c r="O100" s="84">
        <f t="shared" si="28"/>
        <v>-85.877033679068518</v>
      </c>
    </row>
    <row r="101" spans="1:18" ht="15" x14ac:dyDescent="0.2">
      <c r="A101" s="85">
        <f>1+A100</f>
        <v>100</v>
      </c>
      <c r="B101" s="84">
        <f>(fs*1000/2)*(A101/100)</f>
        <v>200000</v>
      </c>
      <c r="C101" s="84">
        <f t="shared" si="29"/>
        <v>207.54574719220173</v>
      </c>
      <c r="D101" s="58" t="str">
        <f t="shared" si="30"/>
        <v>0.0010932194077338-0.000827105635705647i</v>
      </c>
      <c r="E101" s="58" t="str">
        <f t="shared" si="31"/>
        <v>-0.230769230769231-0.153846153846154i</v>
      </c>
      <c r="F101" s="84" t="str">
        <f>IMPRODUCT(D101,E101)</f>
        <v>-0.000379528422662515+0.0000226829301268724i</v>
      </c>
      <c r="G101" s="84" t="str">
        <f>IMPRODUCT(C101,F101)</f>
        <v>-0.0787695100621694+0.00470774568169024i</v>
      </c>
      <c r="H101" s="87">
        <f>IMABS(G101)</f>
        <v>7.8910066435390086E-2</v>
      </c>
      <c r="I101" s="58" t="str">
        <f t="shared" si="35"/>
        <v>0.25914315569488-0.00332612211268329i</v>
      </c>
      <c r="J101" s="89" t="str">
        <f t="shared" si="36"/>
        <v>0.0195438640107101-0.13842651982276i</v>
      </c>
      <c r="K101" s="89" t="str">
        <f>IMPRODUCT(I101,J101)</f>
        <v>0.00460423508564274-0.0359372904569832i</v>
      </c>
      <c r="L101" s="89" t="str">
        <f>IMPRODUCT(G101,K101)</f>
        <v>-0.000193489717946619+0.00285243833010036i</v>
      </c>
      <c r="M101" s="84">
        <f>20*LOG(IMABS(L101))</f>
        <v>-50.875737243511225</v>
      </c>
      <c r="N101" s="84">
        <f t="shared" si="40"/>
        <v>273.88060531449065</v>
      </c>
      <c r="O101" s="84">
        <f t="shared" si="28"/>
        <v>-86.119394685509349</v>
      </c>
      <c r="P101" s="84">
        <v>-32.747</v>
      </c>
      <c r="Q101" s="84">
        <v>307.64999999999998</v>
      </c>
      <c r="R101" s="84">
        <f>B101</f>
        <v>200000</v>
      </c>
    </row>
  </sheetData>
  <phoneticPr fontId="21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workbookViewId="0">
      <selection activeCell="C34" sqref="C34"/>
    </sheetView>
  </sheetViews>
  <sheetFormatPr defaultRowHeight="12.75" x14ac:dyDescent="0.2"/>
  <cols>
    <col min="1" max="1" width="9.140625" style="17"/>
    <col min="2" max="2" width="19.28515625" style="17" bestFit="1" customWidth="1"/>
    <col min="3" max="3" width="12.42578125" style="17" bestFit="1" customWidth="1"/>
    <col min="4" max="4" width="7.7109375" style="17" customWidth="1"/>
    <col min="5" max="5" width="8.7109375" style="7" customWidth="1"/>
    <col min="6" max="8" width="8.7109375" style="9" customWidth="1"/>
    <col min="9" max="9" width="8.7109375" style="10" customWidth="1"/>
    <col min="10" max="11" width="9.140625" style="41"/>
    <col min="12" max="12" width="4.7109375" style="41" bestFit="1" customWidth="1"/>
    <col min="13" max="13" width="10.28515625" style="7" customWidth="1"/>
    <col min="14" max="14" width="9.140625" style="7"/>
    <col min="15" max="16384" width="9.140625" style="54"/>
  </cols>
  <sheetData>
    <row r="1" spans="1:14" ht="18.75" thickBot="1" x14ac:dyDescent="0.3">
      <c r="A1" s="52"/>
      <c r="B1" s="7"/>
      <c r="C1" s="7"/>
      <c r="D1" s="7"/>
      <c r="E1" s="8" t="s">
        <v>139</v>
      </c>
      <c r="J1" s="8" t="s">
        <v>140</v>
      </c>
      <c r="K1" s="11"/>
      <c r="L1" s="11"/>
      <c r="N1" s="11"/>
    </row>
    <row r="2" spans="1:14" ht="13.5" thickBot="1" x14ac:dyDescent="0.25">
      <c r="A2" s="7"/>
      <c r="B2" s="12" t="s">
        <v>141</v>
      </c>
      <c r="C2" s="13">
        <v>127</v>
      </c>
      <c r="D2" s="7"/>
      <c r="E2" s="117" t="s">
        <v>142</v>
      </c>
      <c r="F2" s="118"/>
      <c r="G2" s="119" t="s">
        <v>143</v>
      </c>
      <c r="H2" s="120"/>
      <c r="J2" s="14" t="s">
        <v>144</v>
      </c>
      <c r="K2" s="15">
        <v>1000</v>
      </c>
      <c r="L2" s="16" t="s">
        <v>63</v>
      </c>
      <c r="N2" s="26"/>
    </row>
    <row r="3" spans="1:14" ht="13.5" thickBot="1" x14ac:dyDescent="0.25">
      <c r="B3" s="7"/>
      <c r="C3" s="17" t="s">
        <v>20</v>
      </c>
      <c r="E3" s="18">
        <v>100</v>
      </c>
      <c r="F3" s="19">
        <v>150</v>
      </c>
      <c r="G3" s="20">
        <v>100</v>
      </c>
      <c r="H3" s="21">
        <v>102</v>
      </c>
      <c r="J3" s="14"/>
      <c r="K3" s="22">
        <f>IF(K2&lt;10000,sta*10^INT(LOG(K2)),stb*10^INT(LOG(K2)))</f>
        <v>1000</v>
      </c>
      <c r="L3" s="23" t="s">
        <v>63</v>
      </c>
      <c r="N3" s="30"/>
    </row>
    <row r="4" spans="1:14" ht="13.5" thickBot="1" x14ac:dyDescent="0.25">
      <c r="B4" s="24" t="s">
        <v>145</v>
      </c>
      <c r="C4" s="81">
        <f>(IF((10^(LOG(C2)-INT(LOG(C2)))*100)-VLOOKUP((10^(LOG(C2)-INT(LOG(C2)))*100),E6_s:E6_f,1)&lt;VLOOKUP((10^(LOG(C2)-INT(LOG(C2)))*100),E6_s:E6_f,2)-(10^(LOG(C2)-INT(LOG(C2)))*100),VLOOKUP((10^(LOG(C2)-INT(LOG(C2)))*100),E6_s:E6_f,1),VLOOKUP((10^(LOG(C2)-INT(LOG(C2)))*100),E6_s:E6_f,2)))*10^INT(LOG(C2))/100</f>
        <v>150</v>
      </c>
      <c r="E4" s="19">
        <v>150</v>
      </c>
      <c r="F4" s="18">
        <v>220</v>
      </c>
      <c r="G4" s="21">
        <v>102</v>
      </c>
      <c r="H4" s="20">
        <v>105</v>
      </c>
      <c r="J4" s="25"/>
      <c r="K4" s="26"/>
      <c r="L4" s="27"/>
      <c r="M4" s="9"/>
      <c r="N4" s="30"/>
    </row>
    <row r="5" spans="1:14" ht="13.5" thickBot="1" x14ac:dyDescent="0.25">
      <c r="B5" s="28" t="s">
        <v>146</v>
      </c>
      <c r="C5" s="80">
        <f>(IF((10^(LOG(C2)-INT(LOG(C2)))*100)-VLOOKUP((10^(LOG(C2)-INT(LOG(C2)))*100),E12_s:E12_f,1)&lt;VLOOKUP((10^(LOG(C2)-INT(LOG(C2)))*100),E12_s:E12_f,2)-(10^(LOG(C2)-INT(LOG(C2)))*100),VLOOKUP((10^(LOG(C2)-INT(LOG(C2)))*100),E12_s:E12_f,1),VLOOKUP((10^(LOG(C2)-INT(LOG(C2)))*100),E12_s:E12_f,2)))*10^INT(LOG(C2))/100</f>
        <v>120</v>
      </c>
      <c r="E5" s="18">
        <v>220</v>
      </c>
      <c r="F5" s="19">
        <v>330</v>
      </c>
      <c r="G5" s="20">
        <v>105</v>
      </c>
      <c r="H5" s="21">
        <v>107</v>
      </c>
      <c r="J5" s="29" t="s">
        <v>147</v>
      </c>
      <c r="K5" s="30"/>
      <c r="L5" s="9"/>
      <c r="N5" s="30"/>
    </row>
    <row r="6" spans="1:14" ht="13.5" thickBot="1" x14ac:dyDescent="0.25">
      <c r="B6" s="28" t="s">
        <v>148</v>
      </c>
      <c r="C6" s="80">
        <f>(IF((10^(LOG(C2)-INT(LOG(C2)))*100)-VLOOKUP((10^(LOG(C2)-INT(LOG(C2)))*100),E24_s:E24_f,1)&lt;VLOOKUP((10^(LOG(C2)-INT(LOG(C2)))*100),E24_s:E24_f,2)-(10^(LOG(C2)-INT(LOG(C2)))*100),VLOOKUP((10^(LOG(C2)-INT(LOG(C2)))*100),E24_s:E24_f,1),VLOOKUP((10^(LOG(C2)-INT(LOG(C2)))*100),E24_s:E24_f,2)))*10^INT(LOG(C2))/100</f>
        <v>130</v>
      </c>
      <c r="E6" s="19">
        <v>330</v>
      </c>
      <c r="F6" s="18">
        <v>470</v>
      </c>
      <c r="G6" s="21">
        <v>107</v>
      </c>
      <c r="H6" s="20">
        <v>110</v>
      </c>
      <c r="J6" s="30">
        <v>1</v>
      </c>
      <c r="K6" s="30">
        <v>1.2</v>
      </c>
      <c r="L6" s="31">
        <f>IF((10^(LOG(K2)-INT(LOG(K2))))-VLOOKUP((10^(LOG(K2)-INT(LOG(K2)))),c_s1:C_f1,1)&lt;VLOOKUP((10^(LOG(K2)-INT(LOG(K2)))),c_s1:C_f1,2)-(10^(LOG(K2)-INT(LOG(K2)))),VLOOKUP((10^(LOG(K2)-INT(LOG(K2)))),c_s1:C_f1,1),VLOOKUP((10^(LOG(K2)-INT(LOG(K2)))),c_s1:C_f1,2))</f>
        <v>1</v>
      </c>
      <c r="N6" s="30"/>
    </row>
    <row r="7" spans="1:14" ht="13.5" thickBot="1" x14ac:dyDescent="0.25">
      <c r="B7" s="28" t="s">
        <v>149</v>
      </c>
      <c r="C7" s="80">
        <f>(IF((10^(LOG(C2)-INT(LOG(C2)))*100)-VLOOKUP((10^(LOG(C2)-INT(LOG(C2)))*100),E48_s:E48_f,1)&lt;VLOOKUP((10^(LOG(C2)-INT(LOG(C2)))*100),E48_s:E48_f,2)-(10^(LOG(C2)-INT(LOG(C2)))*100),VLOOKUP((10^(LOG(C2)-INT(LOG(C2)))*100),E48_s:E48_f,1),VLOOKUP((10^(LOG(C2)-INT(LOG(C2)))*100),E48_s:E48_f,2)))*10^INT(LOG(C2))/100</f>
        <v>127</v>
      </c>
      <c r="D7" s="6"/>
      <c r="E7" s="18">
        <v>470</v>
      </c>
      <c r="F7" s="19">
        <v>680</v>
      </c>
      <c r="G7" s="20">
        <v>110</v>
      </c>
      <c r="H7" s="21">
        <v>113</v>
      </c>
      <c r="J7" s="30">
        <v>1.2</v>
      </c>
      <c r="K7" s="30">
        <v>1.5</v>
      </c>
      <c r="L7" s="32"/>
      <c r="N7" s="30"/>
    </row>
    <row r="8" spans="1:14" ht="13.5" thickBot="1" x14ac:dyDescent="0.25">
      <c r="B8" s="33" t="s">
        <v>150</v>
      </c>
      <c r="C8" s="82">
        <f>(IF((10^(LOG(C2)-INT(LOG(C2)))*100)-VLOOKUP((10^(LOG(C2)-INT(LOG(C2)))*100),E96_s:E96_f,1)&lt;VLOOKUP((10^(LOG(C2)-INT(LOG(C2)))*100),E96_s:E96_f,2)-(10^(LOG(C2)-INT(LOG(C2)))*100),VLOOKUP((10^(LOG(C2)-INT(LOG(C2)))*100),E96_s:E96_f,1),VLOOKUP((10^(LOG(C2)-INT(LOG(C2)))*100),E96_s:E96_f,2)))*10^INT(LOG(C2))/100</f>
        <v>127</v>
      </c>
      <c r="D8" s="9"/>
      <c r="E8" s="19">
        <v>680</v>
      </c>
      <c r="F8" s="19">
        <v>1000</v>
      </c>
      <c r="G8" s="21">
        <v>113</v>
      </c>
      <c r="H8" s="20">
        <v>115</v>
      </c>
      <c r="J8" s="30">
        <v>1.5</v>
      </c>
      <c r="K8" s="30">
        <v>1.8</v>
      </c>
      <c r="L8" s="32"/>
      <c r="N8" s="30"/>
    </row>
    <row r="9" spans="1:14" ht="13.5" thickBot="1" x14ac:dyDescent="0.25">
      <c r="B9" s="6"/>
      <c r="C9" s="6"/>
      <c r="D9" s="6"/>
      <c r="E9" s="121" t="s">
        <v>151</v>
      </c>
      <c r="F9" s="122"/>
      <c r="G9" s="20">
        <v>115</v>
      </c>
      <c r="H9" s="21">
        <v>118</v>
      </c>
      <c r="J9" s="30">
        <v>1.8</v>
      </c>
      <c r="K9" s="30">
        <v>2.2000000000000002</v>
      </c>
      <c r="L9" s="35"/>
      <c r="N9" s="30"/>
    </row>
    <row r="10" spans="1:14" ht="13.5" thickBot="1" x14ac:dyDescent="0.25">
      <c r="E10" s="36">
        <v>100</v>
      </c>
      <c r="F10" s="37">
        <v>120</v>
      </c>
      <c r="G10" s="21">
        <v>118</v>
      </c>
      <c r="H10" s="20">
        <v>121</v>
      </c>
      <c r="J10" s="30">
        <v>2.2000000000000002</v>
      </c>
      <c r="K10" s="30">
        <v>2.7</v>
      </c>
      <c r="L10" s="9"/>
      <c r="N10" s="30"/>
    </row>
    <row r="11" spans="1:14" ht="13.5" thickBot="1" x14ac:dyDescent="0.25">
      <c r="E11" s="37">
        <v>120</v>
      </c>
      <c r="F11" s="37">
        <v>150</v>
      </c>
      <c r="G11" s="20">
        <v>121</v>
      </c>
      <c r="H11" s="21">
        <v>124</v>
      </c>
      <c r="J11" s="30">
        <v>2.7</v>
      </c>
      <c r="K11" s="30">
        <v>3.3</v>
      </c>
      <c r="L11" s="9"/>
      <c r="N11" s="30"/>
    </row>
    <row r="12" spans="1:14" ht="13.5" thickBot="1" x14ac:dyDescent="0.25">
      <c r="C12" s="40"/>
      <c r="E12" s="37">
        <v>150</v>
      </c>
      <c r="F12" s="37">
        <v>180</v>
      </c>
      <c r="G12" s="21">
        <v>124</v>
      </c>
      <c r="H12" s="20">
        <v>127</v>
      </c>
      <c r="J12" s="30">
        <v>3.3</v>
      </c>
      <c r="K12" s="30">
        <v>3.9</v>
      </c>
      <c r="L12" s="9"/>
      <c r="N12" s="30"/>
    </row>
    <row r="13" spans="1:14" ht="13.5" thickBot="1" x14ac:dyDescent="0.25">
      <c r="A13" s="6"/>
      <c r="B13" s="6"/>
      <c r="C13" s="6"/>
      <c r="D13" s="6"/>
      <c r="E13" s="37">
        <v>180</v>
      </c>
      <c r="F13" s="36">
        <v>220</v>
      </c>
      <c r="G13" s="20">
        <v>127</v>
      </c>
      <c r="H13" s="21">
        <v>130</v>
      </c>
      <c r="J13" s="30">
        <v>3.9</v>
      </c>
      <c r="K13" s="30">
        <v>4.7</v>
      </c>
      <c r="L13" s="9"/>
      <c r="N13" s="30"/>
    </row>
    <row r="14" spans="1:14" ht="13.5" thickBot="1" x14ac:dyDescent="0.25">
      <c r="A14" s="6"/>
      <c r="B14" s="6"/>
      <c r="C14" s="6"/>
      <c r="D14" s="38"/>
      <c r="E14" s="36">
        <v>220</v>
      </c>
      <c r="F14" s="37">
        <v>270</v>
      </c>
      <c r="G14" s="21">
        <v>130</v>
      </c>
      <c r="H14" s="20">
        <v>133</v>
      </c>
      <c r="J14" s="30">
        <v>4.7</v>
      </c>
      <c r="K14" s="30">
        <v>5.6</v>
      </c>
      <c r="L14" s="9"/>
      <c r="N14" s="30"/>
    </row>
    <row r="15" spans="1:14" ht="13.5" thickBot="1" x14ac:dyDescent="0.25">
      <c r="A15" s="53"/>
      <c r="B15" s="39"/>
      <c r="C15" s="6"/>
      <c r="D15" s="40"/>
      <c r="E15" s="37">
        <v>270</v>
      </c>
      <c r="F15" s="37">
        <v>330</v>
      </c>
      <c r="G15" s="20">
        <v>133</v>
      </c>
      <c r="H15" s="21">
        <v>137</v>
      </c>
      <c r="J15" s="30">
        <v>5.6</v>
      </c>
      <c r="K15" s="30">
        <v>6.8</v>
      </c>
      <c r="L15" s="9"/>
      <c r="N15" s="30"/>
    </row>
    <row r="16" spans="1:14" ht="13.5" thickBot="1" x14ac:dyDescent="0.25">
      <c r="A16" s="53"/>
      <c r="B16" s="39"/>
      <c r="C16" s="6"/>
      <c r="D16" s="40"/>
      <c r="E16" s="37">
        <v>330</v>
      </c>
      <c r="F16" s="37">
        <v>390</v>
      </c>
      <c r="G16" s="21">
        <v>137</v>
      </c>
      <c r="H16" s="20">
        <v>140</v>
      </c>
      <c r="J16" s="30">
        <v>6.8</v>
      </c>
      <c r="K16" s="30">
        <v>8.1999999999999993</v>
      </c>
      <c r="L16" s="9"/>
      <c r="N16" s="30"/>
    </row>
    <row r="17" spans="1:14" ht="13.5" thickBot="1" x14ac:dyDescent="0.25">
      <c r="A17" s="53"/>
      <c r="B17" s="39"/>
      <c r="C17" s="6"/>
      <c r="D17" s="40"/>
      <c r="E17" s="37">
        <v>390</v>
      </c>
      <c r="F17" s="36">
        <v>470</v>
      </c>
      <c r="G17" s="20">
        <v>140</v>
      </c>
      <c r="H17" s="21">
        <v>143</v>
      </c>
      <c r="J17" s="30">
        <v>8.1999999999999993</v>
      </c>
      <c r="K17" s="30">
        <v>10</v>
      </c>
      <c r="L17" s="9"/>
      <c r="N17" s="30"/>
    </row>
    <row r="18" spans="1:14" ht="13.5" thickBot="1" x14ac:dyDescent="0.25">
      <c r="A18" s="53"/>
      <c r="B18" s="39"/>
      <c r="C18" s="6"/>
      <c r="D18" s="40"/>
      <c r="E18" s="36">
        <v>470</v>
      </c>
      <c r="F18" s="37">
        <v>560</v>
      </c>
      <c r="G18" s="21">
        <v>143</v>
      </c>
      <c r="H18" s="20">
        <v>147</v>
      </c>
      <c r="J18" s="29" t="s">
        <v>152</v>
      </c>
      <c r="K18" s="30"/>
      <c r="L18" s="30"/>
      <c r="N18" s="30"/>
    </row>
    <row r="19" spans="1:14" ht="13.5" thickBot="1" x14ac:dyDescent="0.25">
      <c r="A19" s="53"/>
      <c r="B19" s="39"/>
      <c r="C19" s="6"/>
      <c r="D19" s="40"/>
      <c r="E19" s="37">
        <v>560</v>
      </c>
      <c r="F19" s="37">
        <v>680</v>
      </c>
      <c r="G19" s="20">
        <v>147</v>
      </c>
      <c r="H19" s="21">
        <v>150</v>
      </c>
      <c r="J19" s="30">
        <v>1</v>
      </c>
      <c r="K19" s="30">
        <v>1.5</v>
      </c>
      <c r="L19" s="31">
        <f>IF((10^(LOG(K2)-INT(LOG(K2))))-VLOOKUP((10^(LOG(K2)-INT(LOG(K2)))),C_s2:C_f2,1)&lt;VLOOKUP((10^(LOG(K2)-INT(LOG(K2)))),C_s2:C_f2,2)-(10^(LOG(K2)-INT(LOG(K2)))),VLOOKUP((10^(LOG(K2)-INT(LOG(K2)))),C_s2:C_f2,1),VLOOKUP((10^(LOG(K2)-INT(LOG(K2)))),C_s2:C_f2,2))</f>
        <v>1</v>
      </c>
      <c r="N19" s="30"/>
    </row>
    <row r="20" spans="1:14" ht="13.5" thickBot="1" x14ac:dyDescent="0.25">
      <c r="A20" s="53"/>
      <c r="B20" s="39"/>
      <c r="C20" s="6"/>
      <c r="D20" s="40"/>
      <c r="E20" s="34">
        <v>680</v>
      </c>
      <c r="F20" s="37">
        <v>820</v>
      </c>
      <c r="G20" s="21">
        <v>150</v>
      </c>
      <c r="H20" s="20">
        <v>154</v>
      </c>
      <c r="J20" s="30">
        <v>1.5</v>
      </c>
      <c r="K20" s="30">
        <v>2.2000000000000002</v>
      </c>
      <c r="N20" s="30"/>
    </row>
    <row r="21" spans="1:14" ht="13.5" thickBot="1" x14ac:dyDescent="0.25">
      <c r="A21" s="53"/>
      <c r="B21" s="39"/>
      <c r="C21" s="6"/>
      <c r="D21" s="40"/>
      <c r="E21" s="34">
        <v>820</v>
      </c>
      <c r="F21" s="37">
        <v>1000</v>
      </c>
      <c r="G21" s="20">
        <v>154</v>
      </c>
      <c r="H21" s="21">
        <v>158</v>
      </c>
      <c r="J21" s="30">
        <v>2.2000000000000002</v>
      </c>
      <c r="K21" s="30">
        <v>3.3</v>
      </c>
      <c r="L21" s="31"/>
      <c r="N21" s="30"/>
    </row>
    <row r="22" spans="1:14" ht="13.5" thickBot="1" x14ac:dyDescent="0.25">
      <c r="A22" s="53"/>
      <c r="B22" s="39"/>
      <c r="C22" s="6"/>
      <c r="D22" s="40"/>
      <c r="E22" s="123" t="s">
        <v>153</v>
      </c>
      <c r="F22" s="124"/>
      <c r="G22" s="21">
        <v>158</v>
      </c>
      <c r="H22" s="20">
        <v>162</v>
      </c>
      <c r="J22" s="30">
        <v>3.3</v>
      </c>
      <c r="K22" s="30">
        <v>4.7</v>
      </c>
      <c r="L22" s="31"/>
      <c r="N22" s="30"/>
    </row>
    <row r="23" spans="1:14" ht="13.5" thickBot="1" x14ac:dyDescent="0.25">
      <c r="A23" s="53"/>
      <c r="B23" s="39"/>
      <c r="C23" s="6"/>
      <c r="D23" s="40"/>
      <c r="E23" s="42">
        <v>100</v>
      </c>
      <c r="F23" s="43">
        <v>110</v>
      </c>
      <c r="G23" s="20">
        <v>162</v>
      </c>
      <c r="H23" s="21">
        <v>165</v>
      </c>
      <c r="J23" s="30">
        <v>4.7</v>
      </c>
      <c r="K23" s="30">
        <v>6.8</v>
      </c>
      <c r="L23" s="9"/>
    </row>
    <row r="24" spans="1:14" ht="13.5" thickBot="1" x14ac:dyDescent="0.25">
      <c r="A24" s="53"/>
      <c r="B24" s="39"/>
      <c r="C24" s="6"/>
      <c r="D24" s="40"/>
      <c r="E24" s="43">
        <v>110</v>
      </c>
      <c r="F24" s="43">
        <v>120</v>
      </c>
      <c r="G24" s="21">
        <v>165</v>
      </c>
      <c r="H24" s="20">
        <v>169</v>
      </c>
      <c r="J24" s="30">
        <v>6.8</v>
      </c>
      <c r="K24" s="30">
        <v>10</v>
      </c>
      <c r="L24" s="9"/>
    </row>
    <row r="25" spans="1:14" ht="13.5" thickBot="1" x14ac:dyDescent="0.25">
      <c r="A25" s="53"/>
      <c r="B25" s="39"/>
      <c r="C25" s="6"/>
      <c r="D25" s="40"/>
      <c r="E25" s="43">
        <v>120</v>
      </c>
      <c r="F25" s="43">
        <v>130</v>
      </c>
      <c r="G25" s="20">
        <v>169</v>
      </c>
      <c r="H25" s="21">
        <v>174</v>
      </c>
      <c r="J25" s="44"/>
      <c r="K25" s="44"/>
      <c r="L25" s="44"/>
    </row>
    <row r="26" spans="1:14" ht="13.5" thickBot="1" x14ac:dyDescent="0.25">
      <c r="A26" s="53"/>
      <c r="B26" s="39"/>
      <c r="C26" s="6"/>
      <c r="D26" s="40"/>
      <c r="E26" s="43">
        <v>130</v>
      </c>
      <c r="F26" s="43">
        <v>150</v>
      </c>
      <c r="G26" s="21">
        <v>174</v>
      </c>
      <c r="H26" s="20">
        <v>178</v>
      </c>
      <c r="J26" s="44"/>
      <c r="K26" s="44"/>
      <c r="L26" s="44"/>
    </row>
    <row r="27" spans="1:14" ht="13.5" thickBot="1" x14ac:dyDescent="0.25">
      <c r="A27" s="53"/>
      <c r="B27" s="39"/>
      <c r="C27" s="6"/>
      <c r="D27" s="40"/>
      <c r="E27" s="43">
        <v>150</v>
      </c>
      <c r="F27" s="43">
        <v>160</v>
      </c>
      <c r="G27" s="20">
        <v>178</v>
      </c>
      <c r="H27" s="21">
        <v>182</v>
      </c>
      <c r="I27" s="45"/>
      <c r="J27" s="44"/>
      <c r="K27" s="44"/>
      <c r="L27" s="44"/>
    </row>
    <row r="28" spans="1:14" ht="13.5" thickBot="1" x14ac:dyDescent="0.25">
      <c r="A28" s="53"/>
      <c r="B28" s="39"/>
      <c r="C28" s="6"/>
      <c r="D28" s="40"/>
      <c r="E28" s="43">
        <v>160</v>
      </c>
      <c r="F28" s="43">
        <v>180</v>
      </c>
      <c r="G28" s="21">
        <v>182</v>
      </c>
      <c r="H28" s="20">
        <v>187</v>
      </c>
      <c r="I28" s="45"/>
      <c r="J28" s="44"/>
      <c r="K28" s="44"/>
      <c r="L28" s="44"/>
    </row>
    <row r="29" spans="1:14" ht="13.5" thickBot="1" x14ac:dyDescent="0.25">
      <c r="A29" s="53"/>
      <c r="B29" s="39"/>
      <c r="C29" s="6"/>
      <c r="D29" s="40"/>
      <c r="E29" s="43">
        <v>180</v>
      </c>
      <c r="F29" s="46">
        <v>200</v>
      </c>
      <c r="G29" s="20">
        <v>187</v>
      </c>
      <c r="H29" s="21">
        <v>191</v>
      </c>
      <c r="I29" s="45"/>
      <c r="J29" s="44"/>
      <c r="K29" s="44"/>
      <c r="L29" s="44"/>
    </row>
    <row r="30" spans="1:14" ht="13.5" thickBot="1" x14ac:dyDescent="0.25">
      <c r="A30" s="53"/>
      <c r="B30" s="39"/>
      <c r="C30" s="6"/>
      <c r="D30" s="40"/>
      <c r="E30" s="46">
        <v>200</v>
      </c>
      <c r="F30" s="42">
        <v>220</v>
      </c>
      <c r="G30" s="21">
        <v>191</v>
      </c>
      <c r="H30" s="20">
        <v>196</v>
      </c>
      <c r="I30" s="45"/>
      <c r="J30" s="44"/>
      <c r="K30" s="44"/>
      <c r="L30" s="44"/>
    </row>
    <row r="31" spans="1:14" ht="13.5" thickBot="1" x14ac:dyDescent="0.25">
      <c r="A31" s="53"/>
      <c r="B31" s="39"/>
      <c r="C31" s="6"/>
      <c r="D31" s="40"/>
      <c r="E31" s="42">
        <v>220</v>
      </c>
      <c r="F31" s="43">
        <v>240</v>
      </c>
      <c r="G31" s="20">
        <v>196</v>
      </c>
      <c r="H31" s="21">
        <v>200</v>
      </c>
      <c r="I31" s="45"/>
      <c r="J31" s="44"/>
      <c r="K31" s="44"/>
      <c r="L31" s="44"/>
      <c r="N31" s="49"/>
    </row>
    <row r="32" spans="1:14" ht="13.5" thickBot="1" x14ac:dyDescent="0.25">
      <c r="A32" s="53"/>
      <c r="B32" s="39"/>
      <c r="C32" s="6"/>
      <c r="D32" s="40"/>
      <c r="E32" s="43">
        <v>240</v>
      </c>
      <c r="F32" s="43">
        <v>270</v>
      </c>
      <c r="G32" s="21">
        <v>200</v>
      </c>
      <c r="H32" s="20">
        <v>205</v>
      </c>
      <c r="I32" s="45"/>
      <c r="J32" s="44"/>
      <c r="K32" s="44"/>
      <c r="L32" s="44"/>
      <c r="N32" s="49"/>
    </row>
    <row r="33" spans="1:14" s="49" customFormat="1" ht="13.5" thickBot="1" x14ac:dyDescent="0.25">
      <c r="A33" s="53"/>
      <c r="B33" s="39"/>
      <c r="C33" s="6"/>
      <c r="D33" s="40"/>
      <c r="E33" s="43">
        <v>270</v>
      </c>
      <c r="F33" s="43">
        <v>300</v>
      </c>
      <c r="G33" s="20">
        <v>205</v>
      </c>
      <c r="H33" s="21">
        <v>210</v>
      </c>
      <c r="I33" s="47"/>
      <c r="J33" s="44"/>
      <c r="K33" s="44"/>
      <c r="L33" s="44"/>
    </row>
    <row r="34" spans="1:14" s="49" customFormat="1" ht="13.5" thickBot="1" x14ac:dyDescent="0.25">
      <c r="A34" s="48"/>
      <c r="B34" s="48"/>
      <c r="C34" s="48"/>
      <c r="D34" s="48"/>
      <c r="E34" s="43">
        <v>300</v>
      </c>
      <c r="F34" s="43">
        <v>330</v>
      </c>
      <c r="G34" s="21">
        <v>210</v>
      </c>
      <c r="H34" s="20">
        <v>215</v>
      </c>
      <c r="I34" s="10"/>
      <c r="J34" s="44"/>
      <c r="K34" s="44"/>
      <c r="L34" s="44"/>
    </row>
    <row r="35" spans="1:14" s="49" customFormat="1" ht="13.5" thickBot="1" x14ac:dyDescent="0.25">
      <c r="E35" s="43">
        <v>330</v>
      </c>
      <c r="F35" s="43">
        <v>360</v>
      </c>
      <c r="G35" s="20">
        <v>215</v>
      </c>
      <c r="H35" s="21">
        <v>221</v>
      </c>
      <c r="I35" s="10"/>
      <c r="J35" s="44"/>
      <c r="K35" s="44"/>
      <c r="L35" s="44"/>
    </row>
    <row r="36" spans="1:14" s="49" customFormat="1" ht="13.5" thickBot="1" x14ac:dyDescent="0.25">
      <c r="E36" s="43">
        <v>360</v>
      </c>
      <c r="F36" s="43">
        <v>390</v>
      </c>
      <c r="G36" s="21">
        <v>221</v>
      </c>
      <c r="H36" s="20">
        <v>226</v>
      </c>
      <c r="I36" s="10"/>
      <c r="J36" s="44"/>
      <c r="K36" s="44"/>
      <c r="L36" s="44"/>
      <c r="N36" s="7"/>
    </row>
    <row r="37" spans="1:14" s="49" customFormat="1" ht="13.5" thickBot="1" x14ac:dyDescent="0.25">
      <c r="E37" s="43">
        <v>390</v>
      </c>
      <c r="F37" s="46">
        <v>430</v>
      </c>
      <c r="G37" s="20">
        <v>226</v>
      </c>
      <c r="H37" s="21">
        <v>232</v>
      </c>
      <c r="I37" s="45"/>
      <c r="J37" s="44"/>
      <c r="K37" s="44"/>
      <c r="L37" s="44"/>
      <c r="N37" s="7"/>
    </row>
    <row r="38" spans="1:14" ht="13.5" thickBot="1" x14ac:dyDescent="0.25">
      <c r="E38" s="46">
        <v>430</v>
      </c>
      <c r="F38" s="42">
        <v>470</v>
      </c>
      <c r="G38" s="21">
        <v>232</v>
      </c>
      <c r="H38" s="20">
        <v>237</v>
      </c>
      <c r="I38" s="45"/>
      <c r="J38" s="44"/>
      <c r="K38" s="44"/>
      <c r="L38" s="44"/>
    </row>
    <row r="39" spans="1:14" ht="13.5" thickBot="1" x14ac:dyDescent="0.25">
      <c r="E39" s="42">
        <v>470</v>
      </c>
      <c r="F39" s="43">
        <v>510</v>
      </c>
      <c r="G39" s="20">
        <v>237</v>
      </c>
      <c r="H39" s="21">
        <v>243</v>
      </c>
      <c r="I39" s="45"/>
      <c r="J39" s="44"/>
      <c r="K39" s="44"/>
      <c r="L39" s="44"/>
    </row>
    <row r="40" spans="1:14" ht="13.5" thickBot="1" x14ac:dyDescent="0.25">
      <c r="E40" s="43">
        <v>510</v>
      </c>
      <c r="F40" s="43">
        <v>560</v>
      </c>
      <c r="G40" s="21">
        <v>243</v>
      </c>
      <c r="H40" s="20">
        <v>249</v>
      </c>
      <c r="I40" s="45"/>
      <c r="J40" s="44"/>
      <c r="K40" s="44"/>
      <c r="L40" s="44"/>
    </row>
    <row r="41" spans="1:14" ht="13.5" thickBot="1" x14ac:dyDescent="0.25">
      <c r="E41" s="43">
        <v>560</v>
      </c>
      <c r="F41" s="43">
        <v>620</v>
      </c>
      <c r="G41" s="20">
        <v>249</v>
      </c>
      <c r="H41" s="21">
        <v>255</v>
      </c>
      <c r="I41" s="45"/>
      <c r="J41" s="44"/>
      <c r="K41" s="44"/>
      <c r="L41" s="44"/>
    </row>
    <row r="42" spans="1:14" ht="13.5" thickBot="1" x14ac:dyDescent="0.25">
      <c r="E42" s="43">
        <v>620</v>
      </c>
      <c r="F42" s="43">
        <v>680</v>
      </c>
      <c r="G42" s="21">
        <v>255</v>
      </c>
      <c r="H42" s="20">
        <v>261</v>
      </c>
      <c r="I42" s="45"/>
      <c r="J42" s="44"/>
      <c r="K42" s="44"/>
      <c r="L42" s="44"/>
    </row>
    <row r="43" spans="1:14" ht="13.5" thickBot="1" x14ac:dyDescent="0.25">
      <c r="E43" s="43">
        <v>680</v>
      </c>
      <c r="F43" s="43">
        <v>750</v>
      </c>
      <c r="G43" s="20">
        <v>261</v>
      </c>
      <c r="H43" s="21">
        <v>267</v>
      </c>
      <c r="I43" s="45"/>
      <c r="J43" s="44"/>
      <c r="K43" s="44"/>
      <c r="L43" s="44"/>
    </row>
    <row r="44" spans="1:14" ht="13.5" thickBot="1" x14ac:dyDescent="0.25">
      <c r="E44" s="43">
        <v>750</v>
      </c>
      <c r="F44" s="43">
        <v>820</v>
      </c>
      <c r="G44" s="21">
        <v>267</v>
      </c>
      <c r="H44" s="20">
        <v>274</v>
      </c>
      <c r="J44" s="44"/>
      <c r="K44" s="44"/>
      <c r="L44" s="44"/>
    </row>
    <row r="45" spans="1:14" ht="13.5" thickBot="1" x14ac:dyDescent="0.25">
      <c r="E45" s="43">
        <v>820</v>
      </c>
      <c r="F45" s="46">
        <v>910</v>
      </c>
      <c r="G45" s="20">
        <v>274</v>
      </c>
      <c r="H45" s="21">
        <v>280</v>
      </c>
      <c r="J45" s="44"/>
      <c r="K45" s="44"/>
      <c r="L45" s="44"/>
    </row>
    <row r="46" spans="1:14" ht="13.5" thickBot="1" x14ac:dyDescent="0.25">
      <c r="E46" s="46">
        <v>910</v>
      </c>
      <c r="F46" s="46">
        <v>1000</v>
      </c>
      <c r="G46" s="21">
        <v>280</v>
      </c>
      <c r="H46" s="20">
        <v>287</v>
      </c>
      <c r="J46" s="44"/>
      <c r="K46" s="44"/>
      <c r="L46" s="44"/>
    </row>
    <row r="47" spans="1:14" ht="13.5" thickBot="1" x14ac:dyDescent="0.25">
      <c r="E47" s="116" t="s">
        <v>154</v>
      </c>
      <c r="F47" s="116"/>
      <c r="G47" s="20">
        <v>287</v>
      </c>
      <c r="H47" s="21">
        <v>294</v>
      </c>
      <c r="J47" s="44"/>
      <c r="K47" s="44"/>
      <c r="L47" s="44"/>
    </row>
    <row r="48" spans="1:14" ht="13.5" thickBot="1" x14ac:dyDescent="0.25">
      <c r="E48" s="50">
        <v>100</v>
      </c>
      <c r="F48" s="50">
        <v>105</v>
      </c>
      <c r="G48" s="21">
        <v>294</v>
      </c>
      <c r="H48" s="20">
        <v>301</v>
      </c>
      <c r="J48" s="44"/>
      <c r="K48" s="44"/>
      <c r="L48" s="44"/>
    </row>
    <row r="49" spans="5:12" ht="13.5" thickBot="1" x14ac:dyDescent="0.25">
      <c r="E49" s="50">
        <v>105</v>
      </c>
      <c r="F49" s="50">
        <v>110</v>
      </c>
      <c r="G49" s="20">
        <v>301</v>
      </c>
      <c r="H49" s="21">
        <v>309</v>
      </c>
      <c r="J49" s="44"/>
      <c r="K49" s="44"/>
      <c r="L49" s="44"/>
    </row>
    <row r="50" spans="5:12" ht="13.5" thickBot="1" x14ac:dyDescent="0.25">
      <c r="E50" s="50">
        <v>110</v>
      </c>
      <c r="F50" s="50">
        <v>115</v>
      </c>
      <c r="G50" s="21">
        <v>309</v>
      </c>
      <c r="H50" s="20">
        <v>316</v>
      </c>
      <c r="J50" s="44"/>
      <c r="K50" s="44"/>
      <c r="L50" s="44"/>
    </row>
    <row r="51" spans="5:12" ht="13.5" thickBot="1" x14ac:dyDescent="0.25">
      <c r="E51" s="50">
        <v>115</v>
      </c>
      <c r="F51" s="50">
        <v>121</v>
      </c>
      <c r="G51" s="20">
        <v>316</v>
      </c>
      <c r="H51" s="21">
        <v>324</v>
      </c>
      <c r="J51" s="44"/>
      <c r="K51" s="44"/>
      <c r="L51" s="44"/>
    </row>
    <row r="52" spans="5:12" ht="13.5" thickBot="1" x14ac:dyDescent="0.25">
      <c r="E52" s="50">
        <v>121</v>
      </c>
      <c r="F52" s="50">
        <v>127</v>
      </c>
      <c r="G52" s="21">
        <v>324</v>
      </c>
      <c r="H52" s="20">
        <v>332</v>
      </c>
      <c r="J52" s="44"/>
      <c r="K52" s="44"/>
      <c r="L52" s="44"/>
    </row>
    <row r="53" spans="5:12" ht="13.5" thickBot="1" x14ac:dyDescent="0.25">
      <c r="E53" s="50">
        <v>127</v>
      </c>
      <c r="F53" s="50">
        <v>133</v>
      </c>
      <c r="G53" s="20">
        <v>332</v>
      </c>
      <c r="H53" s="21">
        <v>340</v>
      </c>
      <c r="J53" s="44"/>
      <c r="K53" s="44"/>
      <c r="L53" s="44"/>
    </row>
    <row r="54" spans="5:12" ht="13.5" thickBot="1" x14ac:dyDescent="0.25">
      <c r="E54" s="50">
        <v>133</v>
      </c>
      <c r="F54" s="50">
        <v>140</v>
      </c>
      <c r="G54" s="21">
        <v>340</v>
      </c>
      <c r="H54" s="20">
        <v>348</v>
      </c>
      <c r="J54" s="44"/>
      <c r="K54" s="44"/>
      <c r="L54" s="44"/>
    </row>
    <row r="55" spans="5:12" ht="13.5" thickBot="1" x14ac:dyDescent="0.25">
      <c r="E55" s="50">
        <v>140</v>
      </c>
      <c r="F55" s="50">
        <v>147</v>
      </c>
      <c r="G55" s="20">
        <v>348</v>
      </c>
      <c r="H55" s="21">
        <v>357</v>
      </c>
      <c r="J55" s="44"/>
      <c r="K55" s="44"/>
      <c r="L55" s="44"/>
    </row>
    <row r="56" spans="5:12" ht="13.5" thickBot="1" x14ac:dyDescent="0.25">
      <c r="E56" s="50">
        <v>147</v>
      </c>
      <c r="F56" s="50">
        <v>154</v>
      </c>
      <c r="G56" s="21">
        <v>357</v>
      </c>
      <c r="H56" s="20">
        <v>365</v>
      </c>
      <c r="J56" s="44"/>
      <c r="K56" s="44"/>
      <c r="L56" s="44"/>
    </row>
    <row r="57" spans="5:12" ht="13.5" thickBot="1" x14ac:dyDescent="0.25">
      <c r="E57" s="50">
        <v>154</v>
      </c>
      <c r="F57" s="50">
        <v>162</v>
      </c>
      <c r="G57" s="20">
        <v>365</v>
      </c>
      <c r="H57" s="21">
        <v>374</v>
      </c>
      <c r="J57" s="44"/>
      <c r="K57" s="44"/>
      <c r="L57" s="44"/>
    </row>
    <row r="58" spans="5:12" ht="13.5" thickBot="1" x14ac:dyDescent="0.25">
      <c r="E58" s="50">
        <v>162</v>
      </c>
      <c r="F58" s="50">
        <v>169</v>
      </c>
      <c r="G58" s="21">
        <v>374</v>
      </c>
      <c r="H58" s="20">
        <v>383</v>
      </c>
      <c r="J58" s="44"/>
      <c r="K58" s="44"/>
      <c r="L58" s="44"/>
    </row>
    <row r="59" spans="5:12" ht="13.5" thickBot="1" x14ac:dyDescent="0.25">
      <c r="E59" s="50">
        <v>169</v>
      </c>
      <c r="F59" s="50">
        <v>178</v>
      </c>
      <c r="G59" s="20">
        <v>383</v>
      </c>
      <c r="H59" s="21">
        <v>392</v>
      </c>
      <c r="J59" s="44"/>
      <c r="K59" s="44"/>
      <c r="L59" s="44"/>
    </row>
    <row r="60" spans="5:12" ht="13.5" thickBot="1" x14ac:dyDescent="0.25">
      <c r="E60" s="50">
        <v>178</v>
      </c>
      <c r="F60" s="50">
        <v>187</v>
      </c>
      <c r="G60" s="21">
        <v>392</v>
      </c>
      <c r="H60" s="20">
        <v>402</v>
      </c>
      <c r="J60" s="44"/>
      <c r="K60" s="44"/>
      <c r="L60" s="44"/>
    </row>
    <row r="61" spans="5:12" ht="13.5" thickBot="1" x14ac:dyDescent="0.25">
      <c r="E61" s="50">
        <v>187</v>
      </c>
      <c r="F61" s="50">
        <v>196</v>
      </c>
      <c r="G61" s="20">
        <v>402</v>
      </c>
      <c r="H61" s="21">
        <v>412</v>
      </c>
      <c r="J61" s="44"/>
      <c r="K61" s="44"/>
      <c r="L61" s="44"/>
    </row>
    <row r="62" spans="5:12" ht="13.5" thickBot="1" x14ac:dyDescent="0.25">
      <c r="E62" s="50">
        <v>196</v>
      </c>
      <c r="F62" s="50">
        <v>205</v>
      </c>
      <c r="G62" s="21">
        <v>412</v>
      </c>
      <c r="H62" s="20">
        <v>422</v>
      </c>
      <c r="J62" s="44"/>
      <c r="K62" s="44"/>
      <c r="L62" s="44"/>
    </row>
    <row r="63" spans="5:12" ht="13.5" thickBot="1" x14ac:dyDescent="0.25">
      <c r="E63" s="50">
        <v>205</v>
      </c>
      <c r="F63" s="50">
        <v>215</v>
      </c>
      <c r="G63" s="20">
        <v>422</v>
      </c>
      <c r="H63" s="21">
        <v>432</v>
      </c>
      <c r="J63" s="44"/>
      <c r="K63" s="44"/>
      <c r="L63" s="44"/>
    </row>
    <row r="64" spans="5:12" ht="13.5" thickBot="1" x14ac:dyDescent="0.25">
      <c r="E64" s="50">
        <v>215</v>
      </c>
      <c r="F64" s="50">
        <v>226</v>
      </c>
      <c r="G64" s="21">
        <v>432</v>
      </c>
      <c r="H64" s="20">
        <v>442</v>
      </c>
      <c r="J64" s="44"/>
      <c r="K64" s="44"/>
      <c r="L64" s="44"/>
    </row>
    <row r="65" spans="5:12" ht="13.5" thickBot="1" x14ac:dyDescent="0.25">
      <c r="E65" s="50">
        <v>226</v>
      </c>
      <c r="F65" s="50">
        <v>237</v>
      </c>
      <c r="G65" s="20">
        <v>442</v>
      </c>
      <c r="H65" s="21">
        <v>453</v>
      </c>
      <c r="J65" s="44"/>
      <c r="K65" s="44"/>
      <c r="L65" s="44"/>
    </row>
    <row r="66" spans="5:12" ht="13.5" thickBot="1" x14ac:dyDescent="0.25">
      <c r="E66" s="50">
        <v>237</v>
      </c>
      <c r="F66" s="50">
        <v>249</v>
      </c>
      <c r="G66" s="21">
        <v>453</v>
      </c>
      <c r="H66" s="20">
        <v>464</v>
      </c>
      <c r="J66" s="44"/>
      <c r="K66" s="44"/>
      <c r="L66" s="44"/>
    </row>
    <row r="67" spans="5:12" ht="13.5" thickBot="1" x14ac:dyDescent="0.25">
      <c r="E67" s="50">
        <v>249</v>
      </c>
      <c r="F67" s="50">
        <v>261</v>
      </c>
      <c r="G67" s="20">
        <v>464</v>
      </c>
      <c r="H67" s="21">
        <v>475</v>
      </c>
      <c r="J67" s="44"/>
      <c r="K67" s="44"/>
      <c r="L67" s="44"/>
    </row>
    <row r="68" spans="5:12" ht="13.5" thickBot="1" x14ac:dyDescent="0.25">
      <c r="E68" s="50">
        <v>261</v>
      </c>
      <c r="F68" s="50">
        <v>274</v>
      </c>
      <c r="G68" s="21">
        <v>475</v>
      </c>
      <c r="H68" s="20">
        <v>487</v>
      </c>
      <c r="J68" s="44"/>
      <c r="K68" s="44"/>
      <c r="L68" s="44"/>
    </row>
    <row r="69" spans="5:12" ht="13.5" thickBot="1" x14ac:dyDescent="0.25">
      <c r="E69" s="50">
        <v>274</v>
      </c>
      <c r="F69" s="50">
        <v>287</v>
      </c>
      <c r="G69" s="20">
        <v>487</v>
      </c>
      <c r="H69" s="21">
        <v>499</v>
      </c>
      <c r="J69" s="44"/>
      <c r="K69" s="44"/>
      <c r="L69" s="44"/>
    </row>
    <row r="70" spans="5:12" ht="13.5" thickBot="1" x14ac:dyDescent="0.25">
      <c r="E70" s="50">
        <v>287</v>
      </c>
      <c r="F70" s="50">
        <v>301</v>
      </c>
      <c r="G70" s="21">
        <v>499</v>
      </c>
      <c r="H70" s="20">
        <v>511</v>
      </c>
      <c r="J70" s="44"/>
      <c r="K70" s="44"/>
      <c r="L70" s="44"/>
    </row>
    <row r="71" spans="5:12" ht="13.5" thickBot="1" x14ac:dyDescent="0.25">
      <c r="E71" s="50">
        <v>301</v>
      </c>
      <c r="F71" s="50">
        <v>316</v>
      </c>
      <c r="G71" s="20">
        <v>511</v>
      </c>
      <c r="H71" s="21">
        <v>523</v>
      </c>
      <c r="J71" s="44"/>
      <c r="K71" s="44"/>
      <c r="L71" s="44"/>
    </row>
    <row r="72" spans="5:12" ht="13.5" thickBot="1" x14ac:dyDescent="0.25">
      <c r="E72" s="50">
        <v>316</v>
      </c>
      <c r="F72" s="50">
        <v>332</v>
      </c>
      <c r="G72" s="21">
        <v>523</v>
      </c>
      <c r="H72" s="20">
        <v>536</v>
      </c>
      <c r="J72" s="44"/>
      <c r="K72" s="44"/>
      <c r="L72" s="44"/>
    </row>
    <row r="73" spans="5:12" ht="13.5" thickBot="1" x14ac:dyDescent="0.25">
      <c r="E73" s="50">
        <v>332</v>
      </c>
      <c r="F73" s="50">
        <v>348</v>
      </c>
      <c r="G73" s="20">
        <v>536</v>
      </c>
      <c r="H73" s="21">
        <v>549</v>
      </c>
      <c r="J73" s="44"/>
      <c r="K73" s="44"/>
      <c r="L73" s="44"/>
    </row>
    <row r="74" spans="5:12" ht="13.5" thickBot="1" x14ac:dyDescent="0.25">
      <c r="E74" s="50">
        <v>348</v>
      </c>
      <c r="F74" s="50">
        <v>365</v>
      </c>
      <c r="G74" s="21">
        <v>549</v>
      </c>
      <c r="H74" s="20">
        <v>562</v>
      </c>
      <c r="J74" s="44"/>
      <c r="K74" s="44"/>
      <c r="L74" s="44"/>
    </row>
    <row r="75" spans="5:12" ht="13.5" thickBot="1" x14ac:dyDescent="0.25">
      <c r="E75" s="50">
        <v>365</v>
      </c>
      <c r="F75" s="50">
        <v>383</v>
      </c>
      <c r="G75" s="20">
        <v>562</v>
      </c>
      <c r="H75" s="21">
        <v>576</v>
      </c>
      <c r="J75" s="51"/>
      <c r="K75" s="51"/>
      <c r="L75" s="51"/>
    </row>
    <row r="76" spans="5:12" ht="13.5" thickBot="1" x14ac:dyDescent="0.25">
      <c r="E76" s="50">
        <v>383</v>
      </c>
      <c r="F76" s="50">
        <v>402</v>
      </c>
      <c r="G76" s="21">
        <v>576</v>
      </c>
      <c r="H76" s="20">
        <v>590</v>
      </c>
      <c r="J76" s="51"/>
      <c r="K76" s="51"/>
      <c r="L76" s="51"/>
    </row>
    <row r="77" spans="5:12" ht="13.5" thickBot="1" x14ac:dyDescent="0.25">
      <c r="E77" s="50">
        <v>402</v>
      </c>
      <c r="F77" s="50">
        <v>422</v>
      </c>
      <c r="G77" s="20">
        <v>590</v>
      </c>
      <c r="H77" s="21">
        <v>604</v>
      </c>
      <c r="J77" s="51"/>
      <c r="K77" s="51"/>
      <c r="L77" s="51"/>
    </row>
    <row r="78" spans="5:12" ht="13.5" thickBot="1" x14ac:dyDescent="0.25">
      <c r="E78" s="50">
        <v>422</v>
      </c>
      <c r="F78" s="50">
        <v>442</v>
      </c>
      <c r="G78" s="21">
        <v>604</v>
      </c>
      <c r="H78" s="20">
        <v>619</v>
      </c>
      <c r="J78" s="51"/>
      <c r="K78" s="51"/>
      <c r="L78" s="51"/>
    </row>
    <row r="79" spans="5:12" ht="13.5" thickBot="1" x14ac:dyDescent="0.25">
      <c r="E79" s="50">
        <v>442</v>
      </c>
      <c r="F79" s="50">
        <v>464</v>
      </c>
      <c r="G79" s="20">
        <v>619</v>
      </c>
      <c r="H79" s="21">
        <v>634</v>
      </c>
      <c r="J79" s="51"/>
      <c r="K79" s="51"/>
      <c r="L79" s="51"/>
    </row>
    <row r="80" spans="5:12" ht="13.5" thickBot="1" x14ac:dyDescent="0.25">
      <c r="E80" s="50">
        <v>464</v>
      </c>
      <c r="F80" s="50">
        <v>487</v>
      </c>
      <c r="G80" s="21">
        <v>634</v>
      </c>
      <c r="H80" s="20">
        <v>649</v>
      </c>
      <c r="J80" s="51"/>
      <c r="K80" s="51"/>
      <c r="L80" s="51"/>
    </row>
    <row r="81" spans="5:12" ht="13.5" thickBot="1" x14ac:dyDescent="0.25">
      <c r="E81" s="50">
        <v>487</v>
      </c>
      <c r="F81" s="50">
        <v>511</v>
      </c>
      <c r="G81" s="20">
        <v>649</v>
      </c>
      <c r="H81" s="21">
        <v>665</v>
      </c>
      <c r="J81" s="51"/>
      <c r="K81" s="51"/>
      <c r="L81" s="51"/>
    </row>
    <row r="82" spans="5:12" ht="13.5" thickBot="1" x14ac:dyDescent="0.25">
      <c r="E82" s="50">
        <v>511</v>
      </c>
      <c r="F82" s="50">
        <v>536</v>
      </c>
      <c r="G82" s="21">
        <v>665</v>
      </c>
      <c r="H82" s="20">
        <v>681</v>
      </c>
      <c r="J82" s="51"/>
      <c r="K82" s="51"/>
      <c r="L82" s="51"/>
    </row>
    <row r="83" spans="5:12" ht="13.5" thickBot="1" x14ac:dyDescent="0.25">
      <c r="E83" s="50">
        <v>536</v>
      </c>
      <c r="F83" s="50">
        <v>562</v>
      </c>
      <c r="G83" s="20">
        <v>681</v>
      </c>
      <c r="H83" s="21">
        <v>698</v>
      </c>
      <c r="J83" s="51"/>
      <c r="K83" s="51"/>
      <c r="L83" s="51"/>
    </row>
    <row r="84" spans="5:12" ht="13.5" thickBot="1" x14ac:dyDescent="0.25">
      <c r="E84" s="50">
        <v>562</v>
      </c>
      <c r="F84" s="50">
        <v>590</v>
      </c>
      <c r="G84" s="21">
        <v>698</v>
      </c>
      <c r="H84" s="20">
        <v>715</v>
      </c>
      <c r="J84" s="51"/>
      <c r="K84" s="51"/>
      <c r="L84" s="51"/>
    </row>
    <row r="85" spans="5:12" ht="13.5" thickBot="1" x14ac:dyDescent="0.25">
      <c r="E85" s="50">
        <v>590</v>
      </c>
      <c r="F85" s="50">
        <v>619</v>
      </c>
      <c r="G85" s="20">
        <v>715</v>
      </c>
      <c r="H85" s="21">
        <v>732</v>
      </c>
      <c r="J85" s="51"/>
      <c r="K85" s="51"/>
      <c r="L85" s="51"/>
    </row>
    <row r="86" spans="5:12" ht="13.5" thickBot="1" x14ac:dyDescent="0.25">
      <c r="E86" s="50">
        <v>619</v>
      </c>
      <c r="F86" s="50">
        <v>649</v>
      </c>
      <c r="G86" s="21">
        <v>732</v>
      </c>
      <c r="H86" s="20">
        <v>750</v>
      </c>
      <c r="J86" s="51"/>
      <c r="K86" s="51"/>
      <c r="L86" s="51"/>
    </row>
    <row r="87" spans="5:12" ht="13.5" thickBot="1" x14ac:dyDescent="0.25">
      <c r="E87" s="50">
        <v>649</v>
      </c>
      <c r="F87" s="50">
        <v>681</v>
      </c>
      <c r="G87" s="20">
        <v>750</v>
      </c>
      <c r="H87" s="21">
        <v>768</v>
      </c>
      <c r="J87" s="51"/>
      <c r="K87" s="51"/>
      <c r="L87" s="51"/>
    </row>
    <row r="88" spans="5:12" ht="13.5" thickBot="1" x14ac:dyDescent="0.25">
      <c r="E88" s="50">
        <v>681</v>
      </c>
      <c r="F88" s="50">
        <v>715</v>
      </c>
      <c r="G88" s="21">
        <v>768</v>
      </c>
      <c r="H88" s="20">
        <v>787</v>
      </c>
      <c r="J88" s="51"/>
      <c r="K88" s="51"/>
      <c r="L88" s="51"/>
    </row>
    <row r="89" spans="5:12" ht="13.5" thickBot="1" x14ac:dyDescent="0.25">
      <c r="E89" s="50">
        <v>715</v>
      </c>
      <c r="F89" s="50">
        <v>750</v>
      </c>
      <c r="G89" s="20">
        <v>787</v>
      </c>
      <c r="H89" s="21">
        <v>806</v>
      </c>
      <c r="J89" s="51"/>
      <c r="K89" s="51"/>
      <c r="L89" s="51"/>
    </row>
    <row r="90" spans="5:12" ht="13.5" thickBot="1" x14ac:dyDescent="0.25">
      <c r="E90" s="50">
        <v>750</v>
      </c>
      <c r="F90" s="50">
        <v>787</v>
      </c>
      <c r="G90" s="21">
        <v>806</v>
      </c>
      <c r="H90" s="20">
        <v>825</v>
      </c>
      <c r="J90" s="51"/>
      <c r="K90" s="51"/>
      <c r="L90" s="51"/>
    </row>
    <row r="91" spans="5:12" ht="13.5" thickBot="1" x14ac:dyDescent="0.25">
      <c r="E91" s="50">
        <v>787</v>
      </c>
      <c r="F91" s="50">
        <v>825</v>
      </c>
      <c r="G91" s="20">
        <v>825</v>
      </c>
      <c r="H91" s="21">
        <v>845</v>
      </c>
      <c r="J91" s="51"/>
      <c r="K91" s="51"/>
      <c r="L91" s="51"/>
    </row>
    <row r="92" spans="5:12" ht="13.5" thickBot="1" x14ac:dyDescent="0.25">
      <c r="E92" s="50">
        <v>825</v>
      </c>
      <c r="F92" s="50">
        <v>866</v>
      </c>
      <c r="G92" s="21">
        <v>845</v>
      </c>
      <c r="H92" s="20">
        <v>866</v>
      </c>
      <c r="J92" s="51"/>
      <c r="K92" s="51"/>
      <c r="L92" s="51"/>
    </row>
    <row r="93" spans="5:12" ht="13.5" thickBot="1" x14ac:dyDescent="0.25">
      <c r="E93" s="50">
        <v>866</v>
      </c>
      <c r="F93" s="50">
        <v>909</v>
      </c>
      <c r="G93" s="20">
        <v>866</v>
      </c>
      <c r="H93" s="21">
        <v>887</v>
      </c>
      <c r="J93" s="51"/>
      <c r="K93" s="51"/>
      <c r="L93" s="51"/>
    </row>
    <row r="94" spans="5:12" ht="13.5" thickBot="1" x14ac:dyDescent="0.25">
      <c r="E94" s="50">
        <v>909</v>
      </c>
      <c r="F94" s="50">
        <v>953</v>
      </c>
      <c r="G94" s="21">
        <v>887</v>
      </c>
      <c r="H94" s="20">
        <v>909</v>
      </c>
      <c r="J94" s="51"/>
      <c r="K94" s="51"/>
      <c r="L94" s="51"/>
    </row>
    <row r="95" spans="5:12" ht="13.5" thickBot="1" x14ac:dyDescent="0.25">
      <c r="E95" s="50">
        <v>953</v>
      </c>
      <c r="F95" s="50">
        <v>1000</v>
      </c>
      <c r="G95" s="20">
        <v>909</v>
      </c>
      <c r="H95" s="21">
        <v>931</v>
      </c>
      <c r="J95" s="51"/>
      <c r="K95" s="51"/>
      <c r="L95" s="51"/>
    </row>
    <row r="96" spans="5:12" ht="13.5" thickBot="1" x14ac:dyDescent="0.25">
      <c r="G96" s="21">
        <v>931</v>
      </c>
      <c r="H96" s="20">
        <v>953</v>
      </c>
      <c r="J96" s="51"/>
      <c r="K96" s="51"/>
      <c r="L96" s="51"/>
    </row>
    <row r="97" spans="7:12" ht="13.5" thickBot="1" x14ac:dyDescent="0.25">
      <c r="G97" s="20">
        <v>953</v>
      </c>
      <c r="H97" s="21">
        <v>976</v>
      </c>
      <c r="J97" s="51"/>
      <c r="K97" s="51"/>
      <c r="L97" s="51"/>
    </row>
    <row r="98" spans="7:12" ht="13.5" thickBot="1" x14ac:dyDescent="0.25">
      <c r="G98" s="21">
        <v>976</v>
      </c>
      <c r="H98" s="21">
        <v>1000</v>
      </c>
      <c r="J98" s="51"/>
      <c r="K98" s="51"/>
      <c r="L98" s="51"/>
    </row>
    <row r="99" spans="7:12" x14ac:dyDescent="0.2">
      <c r="J99" s="51"/>
      <c r="K99" s="51"/>
      <c r="L99" s="51"/>
    </row>
    <row r="100" spans="7:12" x14ac:dyDescent="0.2">
      <c r="J100" s="51"/>
      <c r="K100" s="51"/>
      <c r="L100" s="51"/>
    </row>
    <row r="101" spans="7:12" x14ac:dyDescent="0.2">
      <c r="J101" s="51"/>
      <c r="K101" s="51"/>
      <c r="L101" s="51"/>
    </row>
    <row r="102" spans="7:12" x14ac:dyDescent="0.2">
      <c r="J102" s="51"/>
      <c r="K102" s="51"/>
      <c r="L102" s="51"/>
    </row>
    <row r="103" spans="7:12" x14ac:dyDescent="0.2">
      <c r="J103" s="51"/>
      <c r="K103" s="51"/>
      <c r="L103" s="51"/>
    </row>
    <row r="104" spans="7:12" x14ac:dyDescent="0.2">
      <c r="J104" s="51"/>
      <c r="K104" s="51"/>
      <c r="L104" s="51"/>
    </row>
    <row r="105" spans="7:12" x14ac:dyDescent="0.2">
      <c r="J105" s="51"/>
      <c r="K105" s="51"/>
      <c r="L105" s="51"/>
    </row>
    <row r="106" spans="7:12" x14ac:dyDescent="0.2">
      <c r="J106" s="51"/>
      <c r="K106" s="51"/>
      <c r="L106" s="51"/>
    </row>
    <row r="107" spans="7:12" x14ac:dyDescent="0.2">
      <c r="J107" s="51"/>
      <c r="K107" s="51"/>
      <c r="L107" s="51"/>
    </row>
    <row r="108" spans="7:12" x14ac:dyDescent="0.2">
      <c r="J108" s="51"/>
      <c r="K108" s="51"/>
      <c r="L108" s="51"/>
    </row>
    <row r="109" spans="7:12" x14ac:dyDescent="0.2">
      <c r="J109" s="51"/>
      <c r="K109" s="51"/>
      <c r="L109" s="51"/>
    </row>
    <row r="110" spans="7:12" x14ac:dyDescent="0.2">
      <c r="J110" s="51"/>
      <c r="K110" s="51"/>
      <c r="L110" s="51"/>
    </row>
    <row r="111" spans="7:12" x14ac:dyDescent="0.2">
      <c r="J111" s="51"/>
      <c r="K111" s="51"/>
      <c r="L111" s="51"/>
    </row>
    <row r="112" spans="7:12" x14ac:dyDescent="0.2">
      <c r="J112" s="51"/>
      <c r="K112" s="51"/>
      <c r="L112" s="51"/>
    </row>
    <row r="113" spans="10:12" x14ac:dyDescent="0.2">
      <c r="J113" s="51"/>
      <c r="K113" s="51"/>
      <c r="L113" s="51"/>
    </row>
    <row r="114" spans="10:12" x14ac:dyDescent="0.2">
      <c r="J114" s="51"/>
      <c r="K114" s="51"/>
      <c r="L114" s="51"/>
    </row>
    <row r="115" spans="10:12" x14ac:dyDescent="0.2">
      <c r="J115" s="51"/>
      <c r="K115" s="51"/>
      <c r="L115" s="51"/>
    </row>
    <row r="116" spans="10:12" x14ac:dyDescent="0.2">
      <c r="J116" s="51"/>
      <c r="K116" s="51"/>
      <c r="L116" s="51"/>
    </row>
    <row r="117" spans="10:12" x14ac:dyDescent="0.2">
      <c r="J117" s="51"/>
      <c r="K117" s="51"/>
      <c r="L117" s="51"/>
    </row>
    <row r="118" spans="10:12" x14ac:dyDescent="0.2">
      <c r="J118" s="51"/>
      <c r="K118" s="51"/>
      <c r="L118" s="51"/>
    </row>
    <row r="119" spans="10:12" x14ac:dyDescent="0.2">
      <c r="J119" s="51"/>
      <c r="K119" s="51"/>
      <c r="L119" s="51"/>
    </row>
    <row r="120" spans="10:12" x14ac:dyDescent="0.2">
      <c r="J120" s="51"/>
      <c r="K120" s="51"/>
      <c r="L120" s="51"/>
    </row>
    <row r="121" spans="10:12" x14ac:dyDescent="0.2">
      <c r="J121" s="51"/>
      <c r="K121" s="51"/>
      <c r="L121" s="51"/>
    </row>
    <row r="122" spans="10:12" x14ac:dyDescent="0.2">
      <c r="J122" s="51"/>
      <c r="K122" s="51"/>
      <c r="L122" s="51"/>
    </row>
    <row r="123" spans="10:12" x14ac:dyDescent="0.2">
      <c r="J123" s="51"/>
      <c r="K123" s="51"/>
      <c r="L123" s="51"/>
    </row>
    <row r="124" spans="10:12" x14ac:dyDescent="0.2">
      <c r="J124" s="51"/>
      <c r="K124" s="51"/>
      <c r="L124" s="51"/>
    </row>
    <row r="125" spans="10:12" x14ac:dyDescent="0.2">
      <c r="J125" s="51"/>
      <c r="K125" s="51"/>
      <c r="L125" s="51"/>
    </row>
    <row r="126" spans="10:12" x14ac:dyDescent="0.2">
      <c r="J126" s="51"/>
      <c r="K126" s="51"/>
      <c r="L126" s="51"/>
    </row>
    <row r="127" spans="10:12" x14ac:dyDescent="0.2">
      <c r="J127" s="51"/>
      <c r="K127" s="51"/>
      <c r="L127" s="51"/>
    </row>
    <row r="128" spans="10:12" x14ac:dyDescent="0.2">
      <c r="J128" s="51"/>
      <c r="K128" s="51"/>
      <c r="L128" s="51"/>
    </row>
    <row r="129" spans="10:12" x14ac:dyDescent="0.2">
      <c r="J129" s="51"/>
      <c r="K129" s="51"/>
      <c r="L129" s="51"/>
    </row>
    <row r="130" spans="10:12" x14ac:dyDescent="0.2">
      <c r="J130" s="51"/>
      <c r="K130" s="51"/>
      <c r="L130" s="51"/>
    </row>
    <row r="131" spans="10:12" x14ac:dyDescent="0.2">
      <c r="J131" s="51"/>
      <c r="K131" s="51"/>
      <c r="L131" s="51"/>
    </row>
    <row r="132" spans="10:12" x14ac:dyDescent="0.2">
      <c r="J132" s="51"/>
      <c r="K132" s="51"/>
      <c r="L132" s="51"/>
    </row>
    <row r="133" spans="10:12" x14ac:dyDescent="0.2">
      <c r="J133" s="51"/>
      <c r="K133" s="51"/>
      <c r="L133" s="51"/>
    </row>
    <row r="134" spans="10:12" x14ac:dyDescent="0.2">
      <c r="J134" s="51"/>
      <c r="K134" s="51"/>
      <c r="L134" s="51"/>
    </row>
    <row r="135" spans="10:12" x14ac:dyDescent="0.2">
      <c r="J135" s="51"/>
      <c r="K135" s="51"/>
      <c r="L135" s="51"/>
    </row>
    <row r="136" spans="10:12" x14ac:dyDescent="0.2">
      <c r="J136" s="51"/>
      <c r="K136" s="51"/>
      <c r="L136" s="51"/>
    </row>
    <row r="137" spans="10:12" x14ac:dyDescent="0.2">
      <c r="J137" s="51"/>
      <c r="K137" s="51"/>
      <c r="L137" s="51"/>
    </row>
    <row r="138" spans="10:12" x14ac:dyDescent="0.2">
      <c r="J138" s="51"/>
      <c r="K138" s="51"/>
      <c r="L138" s="51"/>
    </row>
    <row r="139" spans="10:12" x14ac:dyDescent="0.2">
      <c r="J139" s="51"/>
      <c r="K139" s="51"/>
      <c r="L139" s="51"/>
    </row>
    <row r="140" spans="10:12" x14ac:dyDescent="0.2">
      <c r="J140" s="51"/>
      <c r="K140" s="51"/>
      <c r="L140" s="51"/>
    </row>
    <row r="141" spans="10:12" x14ac:dyDescent="0.2">
      <c r="J141" s="51"/>
      <c r="K141" s="51"/>
      <c r="L141" s="51"/>
    </row>
    <row r="142" spans="10:12" x14ac:dyDescent="0.2">
      <c r="J142" s="51"/>
      <c r="K142" s="51"/>
      <c r="L142" s="51"/>
    </row>
    <row r="143" spans="10:12" x14ac:dyDescent="0.2">
      <c r="J143" s="51"/>
      <c r="K143" s="51"/>
      <c r="L143" s="51"/>
    </row>
    <row r="144" spans="10:12" x14ac:dyDescent="0.2">
      <c r="J144" s="51"/>
      <c r="K144" s="51"/>
      <c r="L144" s="51"/>
    </row>
    <row r="145" spans="10:12" x14ac:dyDescent="0.2">
      <c r="J145" s="51"/>
      <c r="K145" s="51"/>
      <c r="L145" s="51"/>
    </row>
  </sheetData>
  <mergeCells count="5">
    <mergeCell ref="E47:F47"/>
    <mergeCell ref="E2:F2"/>
    <mergeCell ref="G2:H2"/>
    <mergeCell ref="E9:F9"/>
    <mergeCell ref="E22:F2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96</vt:i4>
      </vt:variant>
    </vt:vector>
  </HeadingPairs>
  <TitlesOfParts>
    <vt:vector size="104" baseType="lpstr">
      <vt:lpstr>Instructions</vt:lpstr>
      <vt:lpstr>Functional Schematic</vt:lpstr>
      <vt:lpstr>Design Information</vt:lpstr>
      <vt:lpstr>Figure of T1 Current</vt:lpstr>
      <vt:lpstr>TABSET Valley Switching</vt:lpstr>
      <vt:lpstr>TCDSET Valley Switching</vt:lpstr>
      <vt:lpstr>Voltage Loop</vt:lpstr>
      <vt:lpstr>Standard R and C Look Up Table</vt:lpstr>
      <vt:lpstr>_imp2</vt:lpstr>
      <vt:lpstr>_ims2</vt:lpstr>
      <vt:lpstr>_ipp1</vt:lpstr>
      <vt:lpstr>_ta1</vt:lpstr>
      <vt:lpstr>_ta11</vt:lpstr>
      <vt:lpstr>_ta2</vt:lpstr>
      <vt:lpstr>_taa1</vt:lpstr>
      <vt:lpstr>_va1</vt:lpstr>
      <vt:lpstr>C_enter</vt:lpstr>
      <vt:lpstr>C_f1</vt:lpstr>
      <vt:lpstr>C_f2</vt:lpstr>
      <vt:lpstr>c_s1</vt:lpstr>
      <vt:lpstr>C_s2</vt:lpstr>
      <vt:lpstr>Center</vt:lpstr>
      <vt:lpstr>constant</vt:lpstr>
      <vt:lpstr>cossqaavg</vt:lpstr>
      <vt:lpstr>cossqaspec</vt:lpstr>
      <vt:lpstr>cossqeavg</vt:lpstr>
      <vt:lpstr>cout</vt:lpstr>
      <vt:lpstr>Cp</vt:lpstr>
      <vt:lpstr>Cstandard</vt:lpstr>
      <vt:lpstr>Cz</vt:lpstr>
      <vt:lpstr>d2a</vt:lpstr>
      <vt:lpstr>dclamp</vt:lpstr>
      <vt:lpstr>dcrlout</vt:lpstr>
      <vt:lpstr>dcrp</vt:lpstr>
      <vt:lpstr>dcrs</vt:lpstr>
      <vt:lpstr>dilmag</vt:lpstr>
      <vt:lpstr>dilout</vt:lpstr>
      <vt:lpstr>dmax</vt:lpstr>
      <vt:lpstr>dtyp</vt:lpstr>
      <vt:lpstr>E12_f</vt:lpstr>
      <vt:lpstr>E12_s</vt:lpstr>
      <vt:lpstr>E24_f</vt:lpstr>
      <vt:lpstr>E24_s</vt:lpstr>
      <vt:lpstr>E48_f</vt:lpstr>
      <vt:lpstr>E48_s</vt:lpstr>
      <vt:lpstr>E6_f</vt:lpstr>
      <vt:lpstr>E6_s</vt:lpstr>
      <vt:lpstr>E96_f</vt:lpstr>
      <vt:lpstr>E96_s</vt:lpstr>
      <vt:lpstr>Eff</vt:lpstr>
      <vt:lpstr>esrcout</vt:lpstr>
      <vt:lpstr>fc</vt:lpstr>
      <vt:lpstr>fpp</vt:lpstr>
      <vt:lpstr>fs</vt:lpstr>
      <vt:lpstr>iloutrms</vt:lpstr>
      <vt:lpstr>imp</vt:lpstr>
      <vt:lpstr>ims</vt:lpstr>
      <vt:lpstr>ipp</vt:lpstr>
      <vt:lpstr>iprms</vt:lpstr>
      <vt:lpstr>iprms1</vt:lpstr>
      <vt:lpstr>iprms2</vt:lpstr>
      <vt:lpstr>ips</vt:lpstr>
      <vt:lpstr>isrms</vt:lpstr>
      <vt:lpstr>isrms1</vt:lpstr>
      <vt:lpstr>isrms2</vt:lpstr>
      <vt:lpstr>isrms3</vt:lpstr>
      <vt:lpstr>llk</vt:lpstr>
      <vt:lpstr>lmag</vt:lpstr>
      <vt:lpstr>lmag1</vt:lpstr>
      <vt:lpstr>lmag2</vt:lpstr>
      <vt:lpstr>lout</vt:lpstr>
      <vt:lpstr>ls</vt:lpstr>
      <vt:lpstr>n1divd1</vt:lpstr>
      <vt:lpstr>pbudget</vt:lpstr>
      <vt:lpstr>pout</vt:lpstr>
      <vt:lpstr>QAg</vt:lpstr>
      <vt:lpstr>qeg</vt:lpstr>
      <vt:lpstr>rdsonqa</vt:lpstr>
      <vt:lpstr>rdsonqe</vt:lpstr>
      <vt:lpstr>rf</vt:lpstr>
      <vt:lpstr>RII</vt:lpstr>
      <vt:lpstr>rload</vt:lpstr>
      <vt:lpstr>RS</vt:lpstr>
      <vt:lpstr>sta</vt:lpstr>
      <vt:lpstr>stb</vt:lpstr>
      <vt:lpstr>tabset</vt:lpstr>
      <vt:lpstr>tafset</vt:lpstr>
      <vt:lpstr>tcdset</vt:lpstr>
      <vt:lpstr>tdelay</vt:lpstr>
      <vt:lpstr>thu</vt:lpstr>
      <vt:lpstr>tr</vt:lpstr>
      <vt:lpstr>vadel</vt:lpstr>
      <vt:lpstr>vdsqe</vt:lpstr>
      <vt:lpstr>vg</vt:lpstr>
      <vt:lpstr>vin</vt:lpstr>
      <vt:lpstr>VINMAX</vt:lpstr>
      <vt:lpstr>VINMIAX</vt:lpstr>
      <vt:lpstr>VINMIN</vt:lpstr>
      <vt:lpstr>VOUT</vt:lpstr>
      <vt:lpstr>voutmin</vt:lpstr>
      <vt:lpstr>vrdson</vt:lpstr>
      <vt:lpstr>Vslope1</vt:lpstr>
      <vt:lpstr>Vslope2</vt:lpstr>
      <vt:lpstr>VTRAN</vt:lpstr>
    </vt:vector>
  </TitlesOfParts>
  <Company>Texas Instruments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O'Loughlin</dc:creator>
  <cp:lastModifiedBy>USER</cp:lastModifiedBy>
  <cp:lastPrinted>2010-06-11T18:34:05Z</cp:lastPrinted>
  <dcterms:created xsi:type="dcterms:W3CDTF">2010-04-19T17:22:29Z</dcterms:created>
  <dcterms:modified xsi:type="dcterms:W3CDTF">2019-02-25T04:37:51Z</dcterms:modified>
</cp:coreProperties>
</file>