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gali.harinaik\Downloads\3kW PSFB DC_DC converter\"/>
    </mc:Choice>
  </mc:AlternateContent>
  <bookViews>
    <workbookView xWindow="0" yWindow="0" windowWidth="20490" windowHeight="7530" tabRatio="806" activeTab="2"/>
  </bookViews>
  <sheets>
    <sheet name="Instructions" sheetId="2" r:id="rId1"/>
    <sheet name="Functional Schematic" sheetId="7" r:id="rId2"/>
    <sheet name="Design Information" sheetId="1" r:id="rId3"/>
    <sheet name="Figure of T1 Current" sheetId="8" r:id="rId4"/>
    <sheet name="TABSET Valley Switching" sheetId="9" r:id="rId5"/>
    <sheet name="TCDSET Valley Switching" sheetId="10" r:id="rId6"/>
    <sheet name="Voltage Loop" sheetId="6" state="hidden" r:id="rId7"/>
    <sheet name="Standard R and C Look Up Table" sheetId="3" state="hidden" r:id="rId8"/>
  </sheets>
  <externalReferences>
    <externalReference r:id="rId9"/>
  </externalReferences>
  <definedNames>
    <definedName name="_imp2">'Design Information'!$C$40</definedName>
    <definedName name="_ims2">'Design Information'!$C$32</definedName>
    <definedName name="_ipp1">'Design Information'!$C$112</definedName>
    <definedName name="_st1">'Design Information'!#REF!</definedName>
    <definedName name="_st10">'Standard R and C Look Up Table'!#REF!</definedName>
    <definedName name="_st11">'Standard R and C Look Up Table'!#REF!</definedName>
    <definedName name="_st12">'Standard R and C Look Up Table'!#REF!</definedName>
    <definedName name="_st13">'Standard R and C Look Up Table'!#REF!</definedName>
    <definedName name="_st14">'Standard R and C Look Up Table'!#REF!</definedName>
    <definedName name="_st15">'Standard R and C Look Up Table'!#REF!</definedName>
    <definedName name="_st16">'Standard R and C Look Up Table'!#REF!</definedName>
    <definedName name="_st17">'Standard R and C Look Up Table'!#REF!</definedName>
    <definedName name="_st18">'Standard R and C Look Up Table'!#REF!</definedName>
    <definedName name="_st2">'Design Information'!#REF!</definedName>
    <definedName name="_st3">'Standard R and C Look Up Table'!#REF!</definedName>
    <definedName name="_st4">'Standard R and C Look Up Table'!#REF!</definedName>
    <definedName name="_st5">'Standard R and C Look Up Table'!#REF!</definedName>
    <definedName name="_st6">'Standard R and C Look Up Table'!#REF!</definedName>
    <definedName name="_st7">'Standard R and C Look Up Table'!#REF!</definedName>
    <definedName name="_st8">'Standard R and C Look Up Table'!#REF!</definedName>
    <definedName name="_st9">'Standard R and C Look Up Table'!#REF!</definedName>
    <definedName name="_std2">'Design Information'!#REF!</definedName>
    <definedName name="_ta1">'Design Information'!$C$25</definedName>
    <definedName name="_ta11">'Design Information'!$C$25</definedName>
    <definedName name="_ta2">'Design Information'!$C$111</definedName>
    <definedName name="_taa1">'Design Information'!$C$26</definedName>
    <definedName name="_va1">'Design Information'!$C$120</definedName>
    <definedName name="C_enter">'Standard R and C Look Up Table'!$K$2</definedName>
    <definedName name="C_f1">'Standard R and C Look Up Table'!$K$17</definedName>
    <definedName name="C_f2">'Standard R and C Look Up Table'!$K$24</definedName>
    <definedName name="c_s1">'Standard R and C Look Up Table'!$J$6</definedName>
    <definedName name="C_s2">'Standard R and C Look Up Table'!$J$19</definedName>
    <definedName name="Center">'Standard R and C Look Up Table'!$K$2</definedName>
    <definedName name="constant">'Design Information'!$C$132</definedName>
    <definedName name="cossqaavg">'Design Information'!$C$56</definedName>
    <definedName name="cossqaspec">'Design Information'!$C$53</definedName>
    <definedName name="cossqeavg">'Design Information'!$C$90</definedName>
    <definedName name="cout">'Design Information'!$C$80</definedName>
    <definedName name="Cp">'Design Information'!$C$151</definedName>
    <definedName name="CPC">'[1]Design Information'!$C$87</definedName>
    <definedName name="Cstandard">'Standard R and C Look Up Table'!$K$3</definedName>
    <definedName name="Cz">'Design Information'!$C$146</definedName>
    <definedName name="CZC">'[1]Design Information'!$C$85</definedName>
    <definedName name="d2a">'Design Information'!$C$135</definedName>
    <definedName name="dclamp">'Design Information'!$C$102</definedName>
    <definedName name="dcrlout">'Design Information'!$C$69</definedName>
    <definedName name="dcrp">'Design Information'!$C$45</definedName>
    <definedName name="dcrs">'Design Information'!$C$46</definedName>
    <definedName name="dilmag">'Design Information'!$C$37</definedName>
    <definedName name="dilout">'Design Information'!$C$28</definedName>
    <definedName name="dmax">'Design Information'!$C$24</definedName>
    <definedName name="dtyp">'Design Information'!$C$27</definedName>
    <definedName name="E12_f">'Standard R and C Look Up Table'!$F$21</definedName>
    <definedName name="E12_s">'Standard R and C Look Up Table'!$E$10</definedName>
    <definedName name="E24_f">'Standard R and C Look Up Table'!$F$46</definedName>
    <definedName name="E24_s">'Standard R and C Look Up Table'!$E$23</definedName>
    <definedName name="E48_f">'Standard R and C Look Up Table'!$F$95</definedName>
    <definedName name="E48_s">'Standard R and C Look Up Table'!$E$48</definedName>
    <definedName name="E6_f">'Standard R and C Look Up Table'!$F$8</definedName>
    <definedName name="E6_s">'Standard R and C Look Up Table'!$E$3</definedName>
    <definedName name="E96_f">'Standard R and C Look Up Table'!$H$98</definedName>
    <definedName name="E96_s">'Standard R and C Look Up Table'!$G$3</definedName>
    <definedName name="Eff">'Design Information'!$B$17</definedName>
    <definedName name="esrcout">'Design Information'!$C$81</definedName>
    <definedName name="fc">'Design Information'!$C$130</definedName>
    <definedName name="fpp">'Design Information'!$C$129</definedName>
    <definedName name="fs">'Design Information'!$C$18</definedName>
    <definedName name="iloutrms">'Design Information'!$C$67</definedName>
    <definedName name="imp">'Design Information'!$C$39</definedName>
    <definedName name="ims">'Design Information'!$C$31</definedName>
    <definedName name="ipp">'Design Information'!$C$38</definedName>
    <definedName name="iprms">'Design Information'!$C$43</definedName>
    <definedName name="iprms1">'Design Information'!$C$41</definedName>
    <definedName name="iprms2">'Design Information'!$C$42</definedName>
    <definedName name="ips">'Design Information'!$C$30</definedName>
    <definedName name="isrms">'Design Information'!$C$36</definedName>
    <definedName name="isrms1">'Design Information'!$C$33</definedName>
    <definedName name="isrms2">'Design Information'!$C$34</definedName>
    <definedName name="isrms3">'Design Information'!$C$35</definedName>
    <definedName name="LAVG">'[1]Design Information'!$C$29</definedName>
    <definedName name="llk">'Design Information'!$C$47</definedName>
    <definedName name="lmag">'Design Information'!$C$29</definedName>
    <definedName name="lmag1">'Design Information'!$C$29</definedName>
    <definedName name="lmag2">'Design Information'!$C$44</definedName>
    <definedName name="lout">'Design Information'!$C$68</definedName>
    <definedName name="ls">'Design Information'!$C$61</definedName>
    <definedName name="n1divd1">'Design Information'!$C$134</definedName>
    <definedName name="NCT">'[1]Design Information'!$C$40</definedName>
    <definedName name="pbudget">'Design Information'!$C$22</definedName>
    <definedName name="pout">'Design Information'!$D$16</definedName>
    <definedName name="QAg">'Design Information'!$C$54</definedName>
    <definedName name="qeg">'Design Information'!$C$86</definedName>
    <definedName name="rdsonqa">'Design Information'!$C$52</definedName>
    <definedName name="rdsonqe">'Design Information'!$C$87</definedName>
    <definedName name="rf">'Design Information'!$C$141</definedName>
    <definedName name="RII">'Design Information'!$C$128</definedName>
    <definedName name="rload">'Design Information'!$C$131</definedName>
    <definedName name="RS">'Design Information'!$C$115</definedName>
    <definedName name="RZC">'[1]Design Information'!$C$83</definedName>
    <definedName name="sta">'Standard R and C Look Up Table'!$L$6</definedName>
    <definedName name="stb">'Standard R and C Look Up Table'!$L$19</definedName>
    <definedName name="std">'Design Information'!#REF!</definedName>
    <definedName name="tabset">'Design Information'!$C$182</definedName>
    <definedName name="tafset">'Design Information'!$C$200</definedName>
    <definedName name="tcdset">'Design Information'!$C$194</definedName>
    <definedName name="tdelay">'Design Information'!$C$100</definedName>
    <definedName name="temp">#REF!</definedName>
    <definedName name="thu">'Design Information'!$C$73</definedName>
    <definedName name="tr">'Design Information'!$C$95</definedName>
    <definedName name="vadel">'Design Information'!$C$188</definedName>
    <definedName name="vdsqe">'Design Information'!$C$85</definedName>
    <definedName name="vg">'Design Information'!$C$51</definedName>
    <definedName name="vin">'Design Information'!$C$13</definedName>
    <definedName name="vinerror">'Design Information'!#REF!</definedName>
    <definedName name="VINMAX">'Design Information'!$D$13</definedName>
    <definedName name="VINMIAX">'Design Information'!$D$13</definedName>
    <definedName name="VINMIN">'Design Information'!$B$13</definedName>
    <definedName name="VOUT">'Design Information'!$C$14</definedName>
    <definedName name="voutmin">'Design Information'!$B$14</definedName>
    <definedName name="vrdson">'Design Information'!$C$23</definedName>
    <definedName name="Vslope1">'Design Information'!$C$221</definedName>
    <definedName name="Vslope2">'Design Information'!$C$222</definedName>
    <definedName name="VTRAN">'Design Information'!$D$15</definedName>
  </definedNames>
  <calcPr calcId="162913"/>
</workbook>
</file>

<file path=xl/calcChain.xml><?xml version="1.0" encoding="utf-8"?>
<calcChain xmlns="http://schemas.openxmlformats.org/spreadsheetml/2006/main">
  <c r="C25" i="1" l="1"/>
  <c r="C27" i="1"/>
  <c r="C220" i="1" s="1"/>
  <c r="C85" i="1"/>
  <c r="C90" i="1"/>
  <c r="C74" i="1"/>
  <c r="C28" i="1"/>
  <c r="C31" i="1" s="1"/>
  <c r="C221" i="1"/>
  <c r="C206" i="1"/>
  <c r="C207" i="1" s="1"/>
  <c r="C208" i="1" s="1"/>
  <c r="C202" i="1"/>
  <c r="C203" i="1" s="1"/>
  <c r="C204" i="1" s="1"/>
  <c r="C184" i="1"/>
  <c r="C185" i="1" s="1"/>
  <c r="C186" i="1" s="1"/>
  <c r="C56" i="1"/>
  <c r="C99" i="1" s="1"/>
  <c r="C100" i="1" s="1"/>
  <c r="C188" i="1"/>
  <c r="C195" i="1" s="1"/>
  <c r="C196" i="1" s="1"/>
  <c r="C189" i="1"/>
  <c r="C190" i="1" s="1"/>
  <c r="F18" i="1"/>
  <c r="F13" i="1"/>
  <c r="C22" i="1"/>
  <c r="C81" i="1"/>
  <c r="C95" i="1"/>
  <c r="F17" i="1"/>
  <c r="E121" i="1"/>
  <c r="E120" i="1"/>
  <c r="C199" i="1"/>
  <c r="F14" i="1"/>
  <c r="C101" i="1"/>
  <c r="E104" i="1"/>
  <c r="C4" i="3"/>
  <c r="C216" i="1"/>
  <c r="C131" i="1"/>
  <c r="C80" i="1"/>
  <c r="C129" i="1"/>
  <c r="E3" i="6"/>
  <c r="I3" i="6"/>
  <c r="J3" i="6"/>
  <c r="E2" i="6"/>
  <c r="I2" i="6"/>
  <c r="J2" i="6"/>
  <c r="R2" i="6"/>
  <c r="C130" i="1"/>
  <c r="A2" i="6"/>
  <c r="A3" i="6"/>
  <c r="A4" i="6"/>
  <c r="C7" i="3"/>
  <c r="C217" i="1"/>
  <c r="C212" i="1"/>
  <c r="C213" i="1" s="1"/>
  <c r="C175" i="1"/>
  <c r="C178" i="1"/>
  <c r="C177" i="1"/>
  <c r="C176" i="1" s="1"/>
  <c r="L6" i="3"/>
  <c r="K3" i="3" s="1"/>
  <c r="L19" i="3"/>
  <c r="C5" i="3"/>
  <c r="C8" i="3"/>
  <c r="C126" i="1"/>
  <c r="C127" i="1" s="1"/>
  <c r="C122" i="1"/>
  <c r="C123" i="1"/>
  <c r="C118" i="1"/>
  <c r="C6" i="3"/>
  <c r="C73" i="1"/>
  <c r="C75" i="1" s="1"/>
  <c r="C86" i="6" l="1"/>
  <c r="C78" i="6"/>
  <c r="C30" i="6"/>
  <c r="C94" i="6"/>
  <c r="C99" i="6"/>
  <c r="C53" i="6"/>
  <c r="C17" i="6"/>
  <c r="C9" i="6"/>
  <c r="C15" i="6"/>
  <c r="C35" i="6"/>
  <c r="C5" i="6"/>
  <c r="D3" i="6"/>
  <c r="F3" i="6" s="1"/>
  <c r="C85" i="6"/>
  <c r="C16" i="6"/>
  <c r="C132" i="1"/>
  <c r="K2" i="6"/>
  <c r="K3" i="6"/>
  <c r="C91" i="6"/>
  <c r="C52" i="6"/>
  <c r="C40" i="6"/>
  <c r="C41" i="6"/>
  <c r="C31" i="6"/>
  <c r="C87" i="6"/>
  <c r="C14" i="6"/>
  <c r="D2" i="6"/>
  <c r="F2" i="6" s="1"/>
  <c r="C63" i="6"/>
  <c r="C21" i="6"/>
  <c r="C29" i="6"/>
  <c r="C83" i="6"/>
  <c r="C43" i="6"/>
  <c r="C74" i="6"/>
  <c r="C101" i="6"/>
  <c r="C24" i="6"/>
  <c r="C13" i="6"/>
  <c r="C67" i="6"/>
  <c r="C95" i="6"/>
  <c r="C46" i="6"/>
  <c r="C93" i="6"/>
  <c r="C29" i="1"/>
  <c r="E44" i="1" s="1"/>
  <c r="C51" i="6"/>
  <c r="C7" i="6"/>
  <c r="C71" i="6"/>
  <c r="C92" i="6"/>
  <c r="C50" i="6"/>
  <c r="C82" i="6"/>
  <c r="C65" i="6"/>
  <c r="C57" i="6"/>
  <c r="C97" i="6"/>
  <c r="C73" i="6"/>
  <c r="C55" i="6"/>
  <c r="C68" i="6"/>
  <c r="C70" i="6"/>
  <c r="C23" i="6"/>
  <c r="C56" i="6"/>
  <c r="C96" i="6"/>
  <c r="C60" i="6"/>
  <c r="C90" i="6"/>
  <c r="C44" i="6"/>
  <c r="C19" i="6"/>
  <c r="C88" i="6"/>
  <c r="C11" i="6"/>
  <c r="C75" i="6"/>
  <c r="C54" i="6"/>
  <c r="C80" i="6"/>
  <c r="C4" i="6"/>
  <c r="C20" i="6"/>
  <c r="C72" i="6"/>
  <c r="C22" i="6"/>
  <c r="C61" i="6"/>
  <c r="C2" i="6"/>
  <c r="C81" i="6"/>
  <c r="C36" i="6"/>
  <c r="C89" i="6"/>
  <c r="C27" i="6"/>
  <c r="C33" i="6"/>
  <c r="C34" i="6"/>
  <c r="C10" i="6"/>
  <c r="C112" i="1"/>
  <c r="C113" i="1" s="1"/>
  <c r="C114" i="1" s="1"/>
  <c r="C79" i="6"/>
  <c r="C30" i="1"/>
  <c r="C77" i="6"/>
  <c r="C12" i="6"/>
  <c r="D27" i="1"/>
  <c r="C228" i="1"/>
  <c r="C230" i="1" s="1"/>
  <c r="C231" i="1" s="1"/>
  <c r="C222" i="1"/>
  <c r="C223" i="1" s="1"/>
  <c r="C224" i="1" s="1"/>
  <c r="C225" i="1" s="1"/>
  <c r="C39" i="6"/>
  <c r="C98" i="6"/>
  <c r="C28" i="6"/>
  <c r="C59" i="6"/>
  <c r="C100" i="6"/>
  <c r="C6" i="6"/>
  <c r="C58" i="6"/>
  <c r="C62" i="6"/>
  <c r="C8" i="6"/>
  <c r="C48" i="6"/>
  <c r="C49" i="6"/>
  <c r="C45" i="6"/>
  <c r="C84" i="6"/>
  <c r="C76" i="6"/>
  <c r="C38" i="6"/>
  <c r="C26" i="6"/>
  <c r="C25" i="6"/>
  <c r="C3" i="6"/>
  <c r="C64" i="6"/>
  <c r="C37" i="6"/>
  <c r="C42" i="6"/>
  <c r="C18" i="6"/>
  <c r="C69" i="6"/>
  <c r="C35" i="1"/>
  <c r="C32" i="6"/>
  <c r="C47" i="6"/>
  <c r="C76" i="1"/>
  <c r="C82" i="1" s="1"/>
  <c r="C67" i="1"/>
  <c r="C70" i="1" s="1"/>
  <c r="C66" i="1"/>
  <c r="E68" i="1" s="1"/>
  <c r="C66" i="6"/>
  <c r="C135" i="1"/>
  <c r="C134" i="1"/>
  <c r="C136" i="1" s="1"/>
  <c r="C147" i="1"/>
  <c r="C142" i="1"/>
  <c r="C133" i="1"/>
  <c r="B4" i="6"/>
  <c r="A5" i="6"/>
  <c r="C102" i="1"/>
  <c r="C181" i="1"/>
  <c r="C193" i="1"/>
  <c r="C137" i="1" l="1"/>
  <c r="C138" i="1" s="1"/>
  <c r="C139" i="1" s="1"/>
  <c r="C140" i="1" s="1"/>
  <c r="G3" i="6"/>
  <c r="H3" i="6" s="1"/>
  <c r="C37" i="1"/>
  <c r="G2" i="6"/>
  <c r="L2" i="6" s="1"/>
  <c r="C32" i="1"/>
  <c r="C34" i="1" s="1"/>
  <c r="C33" i="1"/>
  <c r="C145" i="1"/>
  <c r="C144" i="1"/>
  <c r="C143" i="1" s="1"/>
  <c r="C150" i="1"/>
  <c r="C149" i="1"/>
  <c r="C148" i="1" s="1"/>
  <c r="C103" i="1"/>
  <c r="C104" i="1" s="1"/>
  <c r="C117" i="1"/>
  <c r="B5" i="6"/>
  <c r="A6" i="6"/>
  <c r="E4" i="6"/>
  <c r="J4" i="6"/>
  <c r="D4" i="6"/>
  <c r="F4" i="6" s="1"/>
  <c r="G4" i="6" s="1"/>
  <c r="I4" i="6"/>
  <c r="L3" i="6" l="1"/>
  <c r="M3" i="6" s="1"/>
  <c r="K4" i="6"/>
  <c r="L4" i="6" s="1"/>
  <c r="C39" i="1"/>
  <c r="C38" i="1"/>
  <c r="H2" i="6"/>
  <c r="C36" i="1"/>
  <c r="H4" i="6"/>
  <c r="I5" i="6"/>
  <c r="J5" i="6"/>
  <c r="E5" i="6"/>
  <c r="D5" i="6"/>
  <c r="F5" i="6" s="1"/>
  <c r="G5" i="6" s="1"/>
  <c r="B6" i="6"/>
  <c r="A7" i="6"/>
  <c r="N2" i="6"/>
  <c r="O2" i="6" s="1"/>
  <c r="M2" i="6"/>
  <c r="N3" i="6" l="1"/>
  <c r="O3" i="6" s="1"/>
  <c r="K5" i="6"/>
  <c r="L5" i="6" s="1"/>
  <c r="C40" i="1"/>
  <c r="C42" i="1" s="1"/>
  <c r="C41" i="1"/>
  <c r="C60" i="1"/>
  <c r="E60" i="1" s="1"/>
  <c r="C96" i="1"/>
  <c r="C91" i="1"/>
  <c r="H5" i="6"/>
  <c r="B7" i="6"/>
  <c r="A8" i="6"/>
  <c r="J6" i="6"/>
  <c r="D6" i="6"/>
  <c r="F6" i="6" s="1"/>
  <c r="G6" i="6" s="1"/>
  <c r="I6" i="6"/>
  <c r="E6" i="6"/>
  <c r="N4" i="6"/>
  <c r="O4" i="6" s="1"/>
  <c r="M4" i="6"/>
  <c r="K6" i="6" l="1"/>
  <c r="L6" i="6" s="1"/>
  <c r="C43" i="1"/>
  <c r="C105" i="1"/>
  <c r="C108" i="1" s="1"/>
  <c r="C116" i="1"/>
  <c r="B8" i="6"/>
  <c r="A9" i="6"/>
  <c r="D7" i="6"/>
  <c r="J7" i="6"/>
  <c r="I7" i="6"/>
  <c r="E7" i="6"/>
  <c r="M5" i="6"/>
  <c r="N5" i="6"/>
  <c r="O5" i="6" s="1"/>
  <c r="H6" i="6"/>
  <c r="K7" i="6" l="1"/>
  <c r="C63" i="1"/>
  <c r="C57" i="1"/>
  <c r="C48" i="1"/>
  <c r="C49" i="1" s="1"/>
  <c r="F7" i="6"/>
  <c r="G7" i="6" s="1"/>
  <c r="A10" i="6"/>
  <c r="B9" i="6"/>
  <c r="M6" i="6"/>
  <c r="N6" i="6"/>
  <c r="O6" i="6" s="1"/>
  <c r="E8" i="6"/>
  <c r="J8" i="6"/>
  <c r="I8" i="6"/>
  <c r="D8" i="6"/>
  <c r="F8" i="6" s="1"/>
  <c r="G8" i="6" s="1"/>
  <c r="K8" i="6" l="1"/>
  <c r="L8" i="6" s="1"/>
  <c r="C58" i="1"/>
  <c r="E49" i="1"/>
  <c r="H7" i="6"/>
  <c r="L7" i="6"/>
  <c r="I9" i="6"/>
  <c r="D9" i="6"/>
  <c r="E9" i="6"/>
  <c r="J9" i="6"/>
  <c r="B10" i="6"/>
  <c r="A11" i="6"/>
  <c r="H8" i="6"/>
  <c r="E58" i="1" l="1"/>
  <c r="C64" i="1"/>
  <c r="E10" i="6"/>
  <c r="J10" i="6"/>
  <c r="D10" i="6"/>
  <c r="F10" i="6" s="1"/>
  <c r="G10" i="6" s="1"/>
  <c r="I10" i="6"/>
  <c r="K9" i="6"/>
  <c r="A12" i="6"/>
  <c r="B11" i="6"/>
  <c r="F9" i="6"/>
  <c r="G9" i="6" s="1"/>
  <c r="M7" i="6"/>
  <c r="N7" i="6"/>
  <c r="O7" i="6" s="1"/>
  <c r="N8" i="6"/>
  <c r="O8" i="6" s="1"/>
  <c r="M8" i="6"/>
  <c r="K10" i="6" l="1"/>
  <c r="L10" i="6" s="1"/>
  <c r="C71" i="1"/>
  <c r="E64" i="1"/>
  <c r="H10" i="6"/>
  <c r="E11" i="6"/>
  <c r="J11" i="6"/>
  <c r="I11" i="6"/>
  <c r="D11" i="6"/>
  <c r="F11" i="6" s="1"/>
  <c r="G11" i="6" s="1"/>
  <c r="B12" i="6"/>
  <c r="A13" i="6"/>
  <c r="H9" i="6"/>
  <c r="L9" i="6"/>
  <c r="K11" i="6" l="1"/>
  <c r="L11" i="6" s="1"/>
  <c r="C83" i="1"/>
  <c r="E71" i="1"/>
  <c r="B13" i="6"/>
  <c r="A14" i="6"/>
  <c r="M10" i="6"/>
  <c r="N10" i="6"/>
  <c r="O10" i="6" s="1"/>
  <c r="E12" i="6"/>
  <c r="J12" i="6"/>
  <c r="D12" i="6"/>
  <c r="F12" i="6" s="1"/>
  <c r="G12" i="6" s="1"/>
  <c r="I12" i="6"/>
  <c r="H11" i="6"/>
  <c r="M9" i="6"/>
  <c r="N9" i="6"/>
  <c r="O9" i="6" s="1"/>
  <c r="K12" i="6" l="1"/>
  <c r="L12" i="6" s="1"/>
  <c r="C97" i="1"/>
  <c r="E83" i="1"/>
  <c r="H12" i="6"/>
  <c r="B14" i="6"/>
  <c r="A15" i="6"/>
  <c r="N11" i="6"/>
  <c r="O11" i="6" s="1"/>
  <c r="M11" i="6"/>
  <c r="I13" i="6"/>
  <c r="J13" i="6"/>
  <c r="D13" i="6"/>
  <c r="E13" i="6"/>
  <c r="C109" i="1" l="1"/>
  <c r="E109" i="1" s="1"/>
  <c r="E97" i="1"/>
  <c r="F13" i="6"/>
  <c r="G13" i="6" s="1"/>
  <c r="M12" i="6"/>
  <c r="N12" i="6"/>
  <c r="O12" i="6" s="1"/>
  <c r="K13" i="6"/>
  <c r="B15" i="6"/>
  <c r="A16" i="6"/>
  <c r="E14" i="6"/>
  <c r="J14" i="6"/>
  <c r="I14" i="6"/>
  <c r="D14" i="6"/>
  <c r="B16" i="6" l="1"/>
  <c r="A17" i="6"/>
  <c r="J15" i="6"/>
  <c r="I15" i="6"/>
  <c r="K15" i="6" s="1"/>
  <c r="E15" i="6"/>
  <c r="D15" i="6"/>
  <c r="F15" i="6" s="1"/>
  <c r="G15" i="6" s="1"/>
  <c r="F14" i="6"/>
  <c r="G14" i="6" s="1"/>
  <c r="K14" i="6"/>
  <c r="L13" i="6"/>
  <c r="H13" i="6"/>
  <c r="A18" i="6" l="1"/>
  <c r="B17" i="6"/>
  <c r="M13" i="6"/>
  <c r="N13" i="6"/>
  <c r="O13" i="6" s="1"/>
  <c r="E16" i="6"/>
  <c r="J16" i="6"/>
  <c r="D16" i="6"/>
  <c r="F16" i="6" s="1"/>
  <c r="G16" i="6" s="1"/>
  <c r="I16" i="6"/>
  <c r="H14" i="6"/>
  <c r="L14" i="6"/>
  <c r="L15" i="6"/>
  <c r="H15" i="6"/>
  <c r="K16" i="6" l="1"/>
  <c r="L16" i="6" s="1"/>
  <c r="N15" i="6"/>
  <c r="O15" i="6" s="1"/>
  <c r="M15" i="6"/>
  <c r="N14" i="6"/>
  <c r="O14" i="6" s="1"/>
  <c r="M14" i="6"/>
  <c r="I17" i="6"/>
  <c r="E17" i="6"/>
  <c r="J17" i="6"/>
  <c r="D17" i="6"/>
  <c r="F17" i="6" s="1"/>
  <c r="G17" i="6" s="1"/>
  <c r="H16" i="6"/>
  <c r="A19" i="6"/>
  <c r="B18" i="6"/>
  <c r="H17" i="6" l="1"/>
  <c r="K17" i="6"/>
  <c r="L17" i="6" s="1"/>
  <c r="E18" i="6"/>
  <c r="I18" i="6"/>
  <c r="D18" i="6"/>
  <c r="F18" i="6" s="1"/>
  <c r="G18" i="6" s="1"/>
  <c r="J18" i="6"/>
  <c r="B19" i="6"/>
  <c r="A20" i="6"/>
  <c r="M16" i="6"/>
  <c r="N16" i="6"/>
  <c r="O16" i="6" s="1"/>
  <c r="K18" i="6" l="1"/>
  <c r="L18" i="6" s="1"/>
  <c r="M17" i="6"/>
  <c r="N17" i="6"/>
  <c r="O17" i="6" s="1"/>
  <c r="H18" i="6"/>
  <c r="E19" i="6"/>
  <c r="J19" i="6"/>
  <c r="D19" i="6"/>
  <c r="F19" i="6" s="1"/>
  <c r="G19" i="6" s="1"/>
  <c r="I19" i="6"/>
  <c r="B20" i="6"/>
  <c r="A21" i="6"/>
  <c r="K19" i="6" l="1"/>
  <c r="L19" i="6" s="1"/>
  <c r="H19" i="6"/>
  <c r="M18" i="6"/>
  <c r="N18" i="6"/>
  <c r="O18" i="6" s="1"/>
  <c r="B21" i="6"/>
  <c r="A22" i="6"/>
  <c r="E20" i="6"/>
  <c r="J20" i="6"/>
  <c r="D20" i="6"/>
  <c r="I20" i="6"/>
  <c r="K20" i="6" l="1"/>
  <c r="N19" i="6"/>
  <c r="O19" i="6" s="1"/>
  <c r="M19" i="6"/>
  <c r="B22" i="6"/>
  <c r="A23" i="6"/>
  <c r="I21" i="6"/>
  <c r="D21" i="6"/>
  <c r="F21" i="6" s="1"/>
  <c r="G21" i="6" s="1"/>
  <c r="E21" i="6"/>
  <c r="J21" i="6"/>
  <c r="F20" i="6"/>
  <c r="G20" i="6" s="1"/>
  <c r="K21" i="6" l="1"/>
  <c r="L21" i="6" s="1"/>
  <c r="B23" i="6"/>
  <c r="A24" i="6"/>
  <c r="L20" i="6"/>
  <c r="H20" i="6"/>
  <c r="H21" i="6"/>
  <c r="J22" i="6"/>
  <c r="I22" i="6"/>
  <c r="E22" i="6"/>
  <c r="D22" i="6"/>
  <c r="F22" i="6" s="1"/>
  <c r="G22" i="6" s="1"/>
  <c r="K22" i="6" l="1"/>
  <c r="L22" i="6" s="1"/>
  <c r="H22" i="6"/>
  <c r="B24" i="6"/>
  <c r="A25" i="6"/>
  <c r="N21" i="6"/>
  <c r="O21" i="6" s="1"/>
  <c r="M21" i="6"/>
  <c r="N20" i="6"/>
  <c r="O20" i="6" s="1"/>
  <c r="M20" i="6"/>
  <c r="D23" i="6"/>
  <c r="E23" i="6"/>
  <c r="J23" i="6"/>
  <c r="I23" i="6"/>
  <c r="K23" i="6" l="1"/>
  <c r="A26" i="6"/>
  <c r="B25" i="6"/>
  <c r="E24" i="6"/>
  <c r="J24" i="6"/>
  <c r="I24" i="6"/>
  <c r="D24" i="6"/>
  <c r="F24" i="6" s="1"/>
  <c r="G24" i="6" s="1"/>
  <c r="N22" i="6"/>
  <c r="O22" i="6" s="1"/>
  <c r="M22" i="6"/>
  <c r="F23" i="6"/>
  <c r="G23" i="6" s="1"/>
  <c r="K24" i="6" l="1"/>
  <c r="L24" i="6" s="1"/>
  <c r="R25" i="6"/>
  <c r="I25" i="6"/>
  <c r="E25" i="6"/>
  <c r="J25" i="6"/>
  <c r="D25" i="6"/>
  <c r="F25" i="6" s="1"/>
  <c r="G25" i="6" s="1"/>
  <c r="H24" i="6"/>
  <c r="L23" i="6"/>
  <c r="H23" i="6"/>
  <c r="A27" i="6"/>
  <c r="B26" i="6"/>
  <c r="H25" i="6" l="1"/>
  <c r="E26" i="6"/>
  <c r="D26" i="6"/>
  <c r="J26" i="6"/>
  <c r="I26" i="6"/>
  <c r="M24" i="6"/>
  <c r="N24" i="6"/>
  <c r="O24" i="6" s="1"/>
  <c r="K25" i="6"/>
  <c r="L25" i="6" s="1"/>
  <c r="N23" i="6"/>
  <c r="O23" i="6" s="1"/>
  <c r="M23" i="6"/>
  <c r="B27" i="6"/>
  <c r="A28" i="6"/>
  <c r="K26" i="6" l="1"/>
  <c r="B28" i="6"/>
  <c r="A29" i="6"/>
  <c r="I27" i="6"/>
  <c r="D27" i="6"/>
  <c r="J27" i="6"/>
  <c r="E27" i="6"/>
  <c r="F26" i="6"/>
  <c r="G26" i="6" s="1"/>
  <c r="M25" i="6"/>
  <c r="N25" i="6"/>
  <c r="O25" i="6" s="1"/>
  <c r="F27" i="6" l="1"/>
  <c r="G27" i="6" s="1"/>
  <c r="L26" i="6"/>
  <c r="H26" i="6"/>
  <c r="K27" i="6"/>
  <c r="A30" i="6"/>
  <c r="B29" i="6"/>
  <c r="E28" i="6"/>
  <c r="J28" i="6"/>
  <c r="I28" i="6"/>
  <c r="D28" i="6"/>
  <c r="F28" i="6" s="1"/>
  <c r="G28" i="6" s="1"/>
  <c r="J29" i="6" l="1"/>
  <c r="I29" i="6"/>
  <c r="E29" i="6"/>
  <c r="D29" i="6"/>
  <c r="B30" i="6"/>
  <c r="A31" i="6"/>
  <c r="H28" i="6"/>
  <c r="M26" i="6"/>
  <c r="N26" i="6"/>
  <c r="O26" i="6" s="1"/>
  <c r="K28" i="6"/>
  <c r="L28" i="6" s="1"/>
  <c r="H27" i="6"/>
  <c r="L27" i="6"/>
  <c r="K29" i="6" l="1"/>
  <c r="M28" i="6"/>
  <c r="N28" i="6"/>
  <c r="O28" i="6" s="1"/>
  <c r="M27" i="6"/>
  <c r="N27" i="6"/>
  <c r="O27" i="6" s="1"/>
  <c r="I30" i="6"/>
  <c r="E30" i="6"/>
  <c r="J30" i="6"/>
  <c r="D30" i="6"/>
  <c r="F30" i="6" s="1"/>
  <c r="G30" i="6" s="1"/>
  <c r="F29" i="6"/>
  <c r="G29" i="6" s="1"/>
  <c r="B31" i="6"/>
  <c r="A32" i="6"/>
  <c r="K30" i="6" l="1"/>
  <c r="L30" i="6" s="1"/>
  <c r="H30" i="6"/>
  <c r="B32" i="6"/>
  <c r="A33" i="6"/>
  <c r="D31" i="6"/>
  <c r="F31" i="6" s="1"/>
  <c r="G31" i="6" s="1"/>
  <c r="E31" i="6"/>
  <c r="J31" i="6"/>
  <c r="I31" i="6"/>
  <c r="L29" i="6"/>
  <c r="H29" i="6"/>
  <c r="K31" i="6" l="1"/>
  <c r="L31" i="6" s="1"/>
  <c r="H31" i="6"/>
  <c r="A34" i="6"/>
  <c r="B33" i="6"/>
  <c r="E32" i="6"/>
  <c r="D32" i="6"/>
  <c r="F32" i="6" s="1"/>
  <c r="G32" i="6" s="1"/>
  <c r="J32" i="6"/>
  <c r="I32" i="6"/>
  <c r="M29" i="6"/>
  <c r="N29" i="6"/>
  <c r="O29" i="6" s="1"/>
  <c r="N30" i="6"/>
  <c r="O30" i="6" s="1"/>
  <c r="M30" i="6"/>
  <c r="K32" i="6" l="1"/>
  <c r="L32" i="6" s="1"/>
  <c r="J33" i="6"/>
  <c r="I33" i="6"/>
  <c r="E33" i="6"/>
  <c r="D33" i="6"/>
  <c r="N31" i="6"/>
  <c r="O31" i="6" s="1"/>
  <c r="M31" i="6"/>
  <c r="H32" i="6"/>
  <c r="B34" i="6"/>
  <c r="A35" i="6"/>
  <c r="K33" i="6" l="1"/>
  <c r="F33" i="6"/>
  <c r="G33" i="6" s="1"/>
  <c r="B35" i="6"/>
  <c r="A36" i="6"/>
  <c r="N32" i="6"/>
  <c r="O32" i="6" s="1"/>
  <c r="M32" i="6"/>
  <c r="I34" i="6"/>
  <c r="E34" i="6"/>
  <c r="J34" i="6"/>
  <c r="D34" i="6"/>
  <c r="F34" i="6" s="1"/>
  <c r="G34" i="6" s="1"/>
  <c r="K34" i="6" l="1"/>
  <c r="L34" i="6" s="1"/>
  <c r="B36" i="6"/>
  <c r="A37" i="6"/>
  <c r="D35" i="6"/>
  <c r="E35" i="6"/>
  <c r="J35" i="6"/>
  <c r="I35" i="6"/>
  <c r="H34" i="6"/>
  <c r="L33" i="6"/>
  <c r="H33" i="6"/>
  <c r="K35" i="6" l="1"/>
  <c r="M34" i="6"/>
  <c r="N34" i="6"/>
  <c r="O34" i="6" s="1"/>
  <c r="F35" i="6"/>
  <c r="G35" i="6" s="1"/>
  <c r="N33" i="6"/>
  <c r="O33" i="6" s="1"/>
  <c r="M33" i="6"/>
  <c r="A38" i="6"/>
  <c r="B37" i="6"/>
  <c r="E36" i="6"/>
  <c r="I36" i="6"/>
  <c r="J36" i="6"/>
  <c r="D36" i="6"/>
  <c r="H35" i="6" l="1"/>
  <c r="L35" i="6"/>
  <c r="F36" i="6"/>
  <c r="G36" i="6" s="1"/>
  <c r="J37" i="6"/>
  <c r="I37" i="6"/>
  <c r="D37" i="6"/>
  <c r="F37" i="6" s="1"/>
  <c r="G37" i="6" s="1"/>
  <c r="E37" i="6"/>
  <c r="B38" i="6"/>
  <c r="A39" i="6"/>
  <c r="K36" i="6"/>
  <c r="K37" i="6" l="1"/>
  <c r="L37" i="6" s="1"/>
  <c r="H37" i="6"/>
  <c r="H36" i="6"/>
  <c r="L36" i="6"/>
  <c r="N35" i="6"/>
  <c r="O35" i="6" s="1"/>
  <c r="M35" i="6"/>
  <c r="E38" i="6"/>
  <c r="J38" i="6"/>
  <c r="I38" i="6"/>
  <c r="D38" i="6"/>
  <c r="F38" i="6" s="1"/>
  <c r="G38" i="6" s="1"/>
  <c r="B39" i="6"/>
  <c r="A40" i="6"/>
  <c r="B40" i="6" l="1"/>
  <c r="A41" i="6"/>
  <c r="N36" i="6"/>
  <c r="O36" i="6" s="1"/>
  <c r="M36" i="6"/>
  <c r="H38" i="6"/>
  <c r="J39" i="6"/>
  <c r="I39" i="6"/>
  <c r="E39" i="6"/>
  <c r="D39" i="6"/>
  <c r="F39" i="6" s="1"/>
  <c r="G39" i="6" s="1"/>
  <c r="K38" i="6"/>
  <c r="L38" i="6" s="1"/>
  <c r="M37" i="6"/>
  <c r="N37" i="6"/>
  <c r="O37" i="6" s="1"/>
  <c r="K39" i="6" l="1"/>
  <c r="L39" i="6" s="1"/>
  <c r="N38" i="6"/>
  <c r="O38" i="6" s="1"/>
  <c r="M38" i="6"/>
  <c r="H39" i="6"/>
  <c r="A42" i="6"/>
  <c r="B41" i="6"/>
  <c r="E40" i="6"/>
  <c r="J40" i="6"/>
  <c r="I40" i="6"/>
  <c r="D40" i="6"/>
  <c r="F40" i="6" s="1"/>
  <c r="G40" i="6" s="1"/>
  <c r="J41" i="6" l="1"/>
  <c r="I41" i="6"/>
  <c r="E41" i="6"/>
  <c r="D41" i="6"/>
  <c r="B42" i="6"/>
  <c r="A43" i="6"/>
  <c r="H40" i="6"/>
  <c r="N39" i="6"/>
  <c r="O39" i="6" s="1"/>
  <c r="M39" i="6"/>
  <c r="K40" i="6"/>
  <c r="L40" i="6" s="1"/>
  <c r="K41" i="6" l="1"/>
  <c r="N40" i="6"/>
  <c r="O40" i="6" s="1"/>
  <c r="M40" i="6"/>
  <c r="B43" i="6"/>
  <c r="A44" i="6"/>
  <c r="E42" i="6"/>
  <c r="J42" i="6"/>
  <c r="I42" i="6"/>
  <c r="D42" i="6"/>
  <c r="F42" i="6" s="1"/>
  <c r="G42" i="6" s="1"/>
  <c r="F41" i="6"/>
  <c r="G41" i="6" s="1"/>
  <c r="K42" i="6" l="1"/>
  <c r="L42" i="6" s="1"/>
  <c r="B44" i="6"/>
  <c r="A45" i="6"/>
  <c r="I43" i="6"/>
  <c r="D43" i="6"/>
  <c r="J43" i="6"/>
  <c r="E43" i="6"/>
  <c r="H42" i="6"/>
  <c r="L41" i="6"/>
  <c r="H41" i="6"/>
  <c r="M42" i="6" l="1"/>
  <c r="N42" i="6"/>
  <c r="O42" i="6" s="1"/>
  <c r="K43" i="6"/>
  <c r="A46" i="6"/>
  <c r="B45" i="6"/>
  <c r="F43" i="6"/>
  <c r="G43" i="6" s="1"/>
  <c r="N41" i="6"/>
  <c r="O41" i="6" s="1"/>
  <c r="M41" i="6"/>
  <c r="E44" i="6"/>
  <c r="D44" i="6"/>
  <c r="F44" i="6" s="1"/>
  <c r="G44" i="6" s="1"/>
  <c r="J44" i="6"/>
  <c r="I44" i="6"/>
  <c r="L43" i="6" l="1"/>
  <c r="H43" i="6"/>
  <c r="H44" i="6"/>
  <c r="J45" i="6"/>
  <c r="I45" i="6"/>
  <c r="E45" i="6"/>
  <c r="R45" i="6"/>
  <c r="D45" i="6"/>
  <c r="K44" i="6"/>
  <c r="L44" i="6" s="1"/>
  <c r="B46" i="6"/>
  <c r="A47" i="6"/>
  <c r="K45" i="6" l="1"/>
  <c r="M44" i="6"/>
  <c r="N44" i="6"/>
  <c r="O44" i="6" s="1"/>
  <c r="B47" i="6"/>
  <c r="A48" i="6"/>
  <c r="I46" i="6"/>
  <c r="D46" i="6"/>
  <c r="F46" i="6" s="1"/>
  <c r="G46" i="6" s="1"/>
  <c r="E46" i="6"/>
  <c r="J46" i="6"/>
  <c r="F45" i="6"/>
  <c r="G45" i="6" s="1"/>
  <c r="M43" i="6"/>
  <c r="N43" i="6"/>
  <c r="O43" i="6" s="1"/>
  <c r="H46" i="6" l="1"/>
  <c r="K46" i="6"/>
  <c r="L46" i="6" s="1"/>
  <c r="A49" i="6"/>
  <c r="B48" i="6"/>
  <c r="E47" i="6"/>
  <c r="D47" i="6"/>
  <c r="F47" i="6" s="1"/>
  <c r="G47" i="6" s="1"/>
  <c r="J47" i="6"/>
  <c r="I47" i="6"/>
  <c r="L45" i="6"/>
  <c r="H45" i="6"/>
  <c r="M46" i="6" l="1"/>
  <c r="N46" i="6"/>
  <c r="O46" i="6" s="1"/>
  <c r="H47" i="6"/>
  <c r="B49" i="6"/>
  <c r="A50" i="6"/>
  <c r="M45" i="6"/>
  <c r="N45" i="6"/>
  <c r="O45" i="6" s="1"/>
  <c r="D48" i="6"/>
  <c r="E48" i="6"/>
  <c r="J48" i="6"/>
  <c r="I48" i="6"/>
  <c r="K47" i="6"/>
  <c r="L47" i="6" s="1"/>
  <c r="N47" i="6" l="1"/>
  <c r="O47" i="6" s="1"/>
  <c r="M47" i="6"/>
  <c r="K48" i="6"/>
  <c r="B50" i="6"/>
  <c r="A51" i="6"/>
  <c r="E49" i="6"/>
  <c r="J49" i="6"/>
  <c r="D49" i="6"/>
  <c r="F49" i="6" s="1"/>
  <c r="G49" i="6" s="1"/>
  <c r="I49" i="6"/>
  <c r="F48" i="6"/>
  <c r="G48" i="6" s="1"/>
  <c r="B51" i="6" l="1"/>
  <c r="A52" i="6"/>
  <c r="I50" i="6"/>
  <c r="J50" i="6"/>
  <c r="E50" i="6"/>
  <c r="D50" i="6"/>
  <c r="F50" i="6" s="1"/>
  <c r="G50" i="6" s="1"/>
  <c r="L48" i="6"/>
  <c r="H48" i="6"/>
  <c r="H49" i="6"/>
  <c r="K49" i="6"/>
  <c r="L49" i="6" s="1"/>
  <c r="K50" i="6" l="1"/>
  <c r="L50" i="6" s="1"/>
  <c r="N49" i="6"/>
  <c r="O49" i="6" s="1"/>
  <c r="M49" i="6"/>
  <c r="N48" i="6"/>
  <c r="O48" i="6" s="1"/>
  <c r="M48" i="6"/>
  <c r="H50" i="6"/>
  <c r="B52" i="6"/>
  <c r="A53" i="6"/>
  <c r="D51" i="6"/>
  <c r="E51" i="6"/>
  <c r="J51" i="6"/>
  <c r="I51" i="6"/>
  <c r="J52" i="6" l="1"/>
  <c r="I52" i="6"/>
  <c r="E52" i="6"/>
  <c r="D52" i="6"/>
  <c r="F52" i="6" s="1"/>
  <c r="G52" i="6" s="1"/>
  <c r="K51" i="6"/>
  <c r="B53" i="6"/>
  <c r="A54" i="6"/>
  <c r="N50" i="6"/>
  <c r="O50" i="6" s="1"/>
  <c r="M50" i="6"/>
  <c r="F51" i="6"/>
  <c r="G51" i="6" s="1"/>
  <c r="K52" i="6" l="1"/>
  <c r="L52" i="6" s="1"/>
  <c r="B54" i="6"/>
  <c r="A55" i="6"/>
  <c r="H52" i="6"/>
  <c r="E53" i="6"/>
  <c r="J53" i="6"/>
  <c r="I53" i="6"/>
  <c r="D53" i="6"/>
  <c r="F53" i="6" s="1"/>
  <c r="G53" i="6" s="1"/>
  <c r="L51" i="6"/>
  <c r="H51" i="6"/>
  <c r="K53" i="6" l="1"/>
  <c r="L53" i="6" s="1"/>
  <c r="H53" i="6"/>
  <c r="M52" i="6"/>
  <c r="N52" i="6"/>
  <c r="O52" i="6" s="1"/>
  <c r="A56" i="6"/>
  <c r="B55" i="6"/>
  <c r="N51" i="6"/>
  <c r="O51" i="6" s="1"/>
  <c r="M51" i="6"/>
  <c r="I54" i="6"/>
  <c r="E54" i="6"/>
  <c r="J54" i="6"/>
  <c r="D54" i="6"/>
  <c r="F54" i="6" s="1"/>
  <c r="G54" i="6" s="1"/>
  <c r="H54" i="6" l="1"/>
  <c r="D55" i="6"/>
  <c r="F55" i="6" s="1"/>
  <c r="G55" i="6" s="1"/>
  <c r="E55" i="6"/>
  <c r="J55" i="6"/>
  <c r="I55" i="6"/>
  <c r="K55" i="6" s="1"/>
  <c r="B56" i="6"/>
  <c r="A57" i="6"/>
  <c r="M53" i="6"/>
  <c r="N53" i="6"/>
  <c r="O53" i="6" s="1"/>
  <c r="K54" i="6"/>
  <c r="L54" i="6" s="1"/>
  <c r="N54" i="6" l="1"/>
  <c r="O54" i="6" s="1"/>
  <c r="M54" i="6"/>
  <c r="B57" i="6"/>
  <c r="A58" i="6"/>
  <c r="E56" i="6"/>
  <c r="D56" i="6"/>
  <c r="F56" i="6" s="1"/>
  <c r="G56" i="6" s="1"/>
  <c r="J56" i="6"/>
  <c r="I56" i="6"/>
  <c r="H55" i="6"/>
  <c r="L55" i="6"/>
  <c r="K56" i="6" l="1"/>
  <c r="L56" i="6" s="1"/>
  <c r="H56" i="6"/>
  <c r="M55" i="6"/>
  <c r="N55" i="6"/>
  <c r="O55" i="6" s="1"/>
  <c r="B58" i="6"/>
  <c r="A59" i="6"/>
  <c r="E57" i="6"/>
  <c r="J57" i="6"/>
  <c r="D57" i="6"/>
  <c r="I57" i="6"/>
  <c r="B59" i="6" l="1"/>
  <c r="A60" i="6"/>
  <c r="I58" i="6"/>
  <c r="D58" i="6"/>
  <c r="E58" i="6"/>
  <c r="J58" i="6"/>
  <c r="M56" i="6"/>
  <c r="N56" i="6"/>
  <c r="O56" i="6" s="1"/>
  <c r="K57" i="6"/>
  <c r="F57" i="6"/>
  <c r="G57" i="6" s="1"/>
  <c r="F58" i="6" l="1"/>
  <c r="G58" i="6" s="1"/>
  <c r="K58" i="6"/>
  <c r="H57" i="6"/>
  <c r="L57" i="6"/>
  <c r="A61" i="6"/>
  <c r="B60" i="6"/>
  <c r="J59" i="6"/>
  <c r="I59" i="6"/>
  <c r="E59" i="6"/>
  <c r="D59" i="6"/>
  <c r="F59" i="6" s="1"/>
  <c r="G59" i="6" s="1"/>
  <c r="K59" i="6" l="1"/>
  <c r="L59" i="6" s="1"/>
  <c r="E60" i="6"/>
  <c r="D60" i="6"/>
  <c r="F60" i="6" s="1"/>
  <c r="G60" i="6" s="1"/>
  <c r="I60" i="6"/>
  <c r="J60" i="6"/>
  <c r="B61" i="6"/>
  <c r="A62" i="6"/>
  <c r="M57" i="6"/>
  <c r="N57" i="6"/>
  <c r="O57" i="6" s="1"/>
  <c r="H59" i="6"/>
  <c r="L58" i="6"/>
  <c r="H58" i="6"/>
  <c r="K60" i="6" l="1"/>
  <c r="L60" i="6" s="1"/>
  <c r="N58" i="6"/>
  <c r="O58" i="6" s="1"/>
  <c r="M58" i="6"/>
  <c r="A63" i="6"/>
  <c r="B62" i="6"/>
  <c r="E61" i="6"/>
  <c r="J61" i="6"/>
  <c r="I61" i="6"/>
  <c r="D61" i="6"/>
  <c r="F61" i="6" s="1"/>
  <c r="G61" i="6" s="1"/>
  <c r="H60" i="6"/>
  <c r="N59" i="6"/>
  <c r="O59" i="6" s="1"/>
  <c r="M59" i="6"/>
  <c r="K61" i="6" l="1"/>
  <c r="L61" i="6" s="1"/>
  <c r="I62" i="6"/>
  <c r="E62" i="6"/>
  <c r="J62" i="6"/>
  <c r="D62" i="6"/>
  <c r="F62" i="6" s="1"/>
  <c r="G62" i="6" s="1"/>
  <c r="H61" i="6"/>
  <c r="A64" i="6"/>
  <c r="B63" i="6"/>
  <c r="M60" i="6"/>
  <c r="N60" i="6"/>
  <c r="O60" i="6" s="1"/>
  <c r="H62" i="6" l="1"/>
  <c r="E63" i="6"/>
  <c r="J63" i="6"/>
  <c r="I63" i="6"/>
  <c r="K63" i="6" s="1"/>
  <c r="D63" i="6"/>
  <c r="F63" i="6" s="1"/>
  <c r="G63" i="6" s="1"/>
  <c r="A65" i="6"/>
  <c r="B64" i="6"/>
  <c r="N61" i="6"/>
  <c r="O61" i="6" s="1"/>
  <c r="M61" i="6"/>
  <c r="K62" i="6"/>
  <c r="L62" i="6" s="1"/>
  <c r="N62" i="6" l="1"/>
  <c r="O62" i="6" s="1"/>
  <c r="M62" i="6"/>
  <c r="I64" i="6"/>
  <c r="J64" i="6"/>
  <c r="E64" i="6"/>
  <c r="D64" i="6"/>
  <c r="F64" i="6" s="1"/>
  <c r="G64" i="6" s="1"/>
  <c r="B65" i="6"/>
  <c r="A66" i="6"/>
  <c r="L63" i="6"/>
  <c r="H63" i="6"/>
  <c r="K64" i="6" l="1"/>
  <c r="L64" i="6" s="1"/>
  <c r="B66" i="6"/>
  <c r="A67" i="6"/>
  <c r="E65" i="6"/>
  <c r="J65" i="6"/>
  <c r="I65" i="6"/>
  <c r="D65" i="6"/>
  <c r="F65" i="6" s="1"/>
  <c r="G65" i="6" s="1"/>
  <c r="H64" i="6"/>
  <c r="M63" i="6"/>
  <c r="N63" i="6"/>
  <c r="O63" i="6" s="1"/>
  <c r="K65" i="6" l="1"/>
  <c r="L65" i="6" s="1"/>
  <c r="H65" i="6"/>
  <c r="M64" i="6"/>
  <c r="N64" i="6"/>
  <c r="O64" i="6" s="1"/>
  <c r="A68" i="6"/>
  <c r="B67" i="6"/>
  <c r="I66" i="6"/>
  <c r="D66" i="6"/>
  <c r="F66" i="6" s="1"/>
  <c r="G66" i="6" s="1"/>
  <c r="J66" i="6"/>
  <c r="E66" i="6"/>
  <c r="K66" i="6" l="1"/>
  <c r="L66" i="6" s="1"/>
  <c r="I67" i="6"/>
  <c r="D67" i="6"/>
  <c r="F67" i="6" s="1"/>
  <c r="G67" i="6" s="1"/>
  <c r="E67" i="6"/>
  <c r="J67" i="6"/>
  <c r="B68" i="6"/>
  <c r="A69" i="6"/>
  <c r="H66" i="6"/>
  <c r="M65" i="6"/>
  <c r="N65" i="6"/>
  <c r="O65" i="6" s="1"/>
  <c r="B69" i="6" l="1"/>
  <c r="A70" i="6"/>
  <c r="J68" i="6"/>
  <c r="I68" i="6"/>
  <c r="K68" i="6" s="1"/>
  <c r="D68" i="6"/>
  <c r="F68" i="6" s="1"/>
  <c r="G68" i="6" s="1"/>
  <c r="E68" i="6"/>
  <c r="H67" i="6"/>
  <c r="N66" i="6"/>
  <c r="O66" i="6" s="1"/>
  <c r="M66" i="6"/>
  <c r="K67" i="6"/>
  <c r="L67" i="6" s="1"/>
  <c r="L68" i="6" l="1"/>
  <c r="H68" i="6"/>
  <c r="N67" i="6"/>
  <c r="O67" i="6" s="1"/>
  <c r="M67" i="6"/>
  <c r="B70" i="6"/>
  <c r="A71" i="6"/>
  <c r="E69" i="6"/>
  <c r="J69" i="6"/>
  <c r="I69" i="6"/>
  <c r="D69" i="6"/>
  <c r="F69" i="6" s="1"/>
  <c r="G69" i="6" s="1"/>
  <c r="A72" i="6" l="1"/>
  <c r="B71" i="6"/>
  <c r="I70" i="6"/>
  <c r="E70" i="6"/>
  <c r="J70" i="6"/>
  <c r="D70" i="6"/>
  <c r="F70" i="6" s="1"/>
  <c r="G70" i="6" s="1"/>
  <c r="H69" i="6"/>
  <c r="K69" i="6"/>
  <c r="L69" i="6" s="1"/>
  <c r="N68" i="6"/>
  <c r="O68" i="6" s="1"/>
  <c r="M68" i="6"/>
  <c r="M69" i="6" l="1"/>
  <c r="N69" i="6"/>
  <c r="O69" i="6" s="1"/>
  <c r="H70" i="6"/>
  <c r="K70" i="6"/>
  <c r="L70" i="6" s="1"/>
  <c r="E71" i="6"/>
  <c r="J71" i="6"/>
  <c r="I71" i="6"/>
  <c r="D71" i="6"/>
  <c r="B72" i="6"/>
  <c r="A73" i="6"/>
  <c r="K71" i="6" l="1"/>
  <c r="N70" i="6"/>
  <c r="O70" i="6" s="1"/>
  <c r="M70" i="6"/>
  <c r="B73" i="6"/>
  <c r="A74" i="6"/>
  <c r="E72" i="6"/>
  <c r="J72" i="6"/>
  <c r="D72" i="6"/>
  <c r="F72" i="6" s="1"/>
  <c r="G72" i="6" s="1"/>
  <c r="I72" i="6"/>
  <c r="F71" i="6"/>
  <c r="G71" i="6" s="1"/>
  <c r="K72" i="6" l="1"/>
  <c r="L72" i="6" s="1"/>
  <c r="H72" i="6"/>
  <c r="A75" i="6"/>
  <c r="B74" i="6"/>
  <c r="E73" i="6"/>
  <c r="J73" i="6"/>
  <c r="D73" i="6"/>
  <c r="F73" i="6" s="1"/>
  <c r="G73" i="6" s="1"/>
  <c r="I73" i="6"/>
  <c r="H71" i="6"/>
  <c r="L71" i="6"/>
  <c r="K73" i="6" l="1"/>
  <c r="L73" i="6" s="1"/>
  <c r="I74" i="6"/>
  <c r="E74" i="6"/>
  <c r="D74" i="6"/>
  <c r="F74" i="6" s="1"/>
  <c r="G74" i="6" s="1"/>
  <c r="J74" i="6"/>
  <c r="H73" i="6"/>
  <c r="B75" i="6"/>
  <c r="A76" i="6"/>
  <c r="N71" i="6"/>
  <c r="O71" i="6" s="1"/>
  <c r="M71" i="6"/>
  <c r="M72" i="6"/>
  <c r="N72" i="6"/>
  <c r="O72" i="6" s="1"/>
  <c r="H74" i="6" l="1"/>
  <c r="A77" i="6"/>
  <c r="B76" i="6"/>
  <c r="J75" i="6"/>
  <c r="I75" i="6"/>
  <c r="E75" i="6"/>
  <c r="D75" i="6"/>
  <c r="F75" i="6" s="1"/>
  <c r="G75" i="6" s="1"/>
  <c r="M73" i="6"/>
  <c r="N73" i="6"/>
  <c r="O73" i="6" s="1"/>
  <c r="K74" i="6"/>
  <c r="L74" i="6" s="1"/>
  <c r="K75" i="6" l="1"/>
  <c r="L75" i="6" s="1"/>
  <c r="N74" i="6"/>
  <c r="O74" i="6" s="1"/>
  <c r="M74" i="6"/>
  <c r="D76" i="6"/>
  <c r="J76" i="6"/>
  <c r="I76" i="6"/>
  <c r="K76" i="6" s="1"/>
  <c r="E76" i="6"/>
  <c r="H75" i="6"/>
  <c r="B77" i="6"/>
  <c r="A78" i="6"/>
  <c r="F76" i="6" l="1"/>
  <c r="G76" i="6" s="1"/>
  <c r="A79" i="6"/>
  <c r="B78" i="6"/>
  <c r="M75" i="6"/>
  <c r="N75" i="6"/>
  <c r="O75" i="6" s="1"/>
  <c r="E77" i="6"/>
  <c r="J77" i="6"/>
  <c r="I77" i="6"/>
  <c r="D77" i="6"/>
  <c r="K77" i="6" l="1"/>
  <c r="I78" i="6"/>
  <c r="D78" i="6"/>
  <c r="E78" i="6"/>
  <c r="J78" i="6"/>
  <c r="B79" i="6"/>
  <c r="A80" i="6"/>
  <c r="F77" i="6"/>
  <c r="G77" i="6" s="1"/>
  <c r="H76" i="6"/>
  <c r="L76" i="6"/>
  <c r="L77" i="6" l="1"/>
  <c r="H77" i="6"/>
  <c r="A81" i="6"/>
  <c r="B80" i="6"/>
  <c r="E79" i="6"/>
  <c r="J79" i="6"/>
  <c r="I79" i="6"/>
  <c r="D79" i="6"/>
  <c r="F79" i="6" s="1"/>
  <c r="G79" i="6" s="1"/>
  <c r="F78" i="6"/>
  <c r="G78" i="6" s="1"/>
  <c r="N76" i="6"/>
  <c r="O76" i="6" s="1"/>
  <c r="M76" i="6"/>
  <c r="K78" i="6"/>
  <c r="K79" i="6" l="1"/>
  <c r="L79" i="6" s="1"/>
  <c r="E80" i="6"/>
  <c r="J80" i="6"/>
  <c r="I80" i="6"/>
  <c r="K80" i="6" s="1"/>
  <c r="D80" i="6"/>
  <c r="F80" i="6" s="1"/>
  <c r="G80" i="6" s="1"/>
  <c r="H79" i="6"/>
  <c r="B81" i="6"/>
  <c r="A82" i="6"/>
  <c r="L78" i="6"/>
  <c r="H78" i="6"/>
  <c r="N77" i="6"/>
  <c r="O77" i="6" s="1"/>
  <c r="M77" i="6"/>
  <c r="B82" i="6" l="1"/>
  <c r="A83" i="6"/>
  <c r="E81" i="6"/>
  <c r="J81" i="6"/>
  <c r="D81" i="6"/>
  <c r="F81" i="6" s="1"/>
  <c r="G81" i="6" s="1"/>
  <c r="I81" i="6"/>
  <c r="N79" i="6"/>
  <c r="O79" i="6" s="1"/>
  <c r="M79" i="6"/>
  <c r="H80" i="6"/>
  <c r="L80" i="6"/>
  <c r="M78" i="6"/>
  <c r="N78" i="6"/>
  <c r="O78" i="6" s="1"/>
  <c r="K81" i="6" l="1"/>
  <c r="L81" i="6" s="1"/>
  <c r="H81" i="6"/>
  <c r="M80" i="6"/>
  <c r="N80" i="6"/>
  <c r="O80" i="6" s="1"/>
  <c r="B83" i="6"/>
  <c r="A84" i="6"/>
  <c r="I82" i="6"/>
  <c r="J82" i="6"/>
  <c r="D82" i="6"/>
  <c r="F82" i="6" s="1"/>
  <c r="G82" i="6" s="1"/>
  <c r="E82" i="6"/>
  <c r="K82" i="6" l="1"/>
  <c r="L82" i="6" s="1"/>
  <c r="B84" i="6"/>
  <c r="A85" i="6"/>
  <c r="D83" i="6"/>
  <c r="F83" i="6" s="1"/>
  <c r="G83" i="6" s="1"/>
  <c r="E83" i="6"/>
  <c r="J83" i="6"/>
  <c r="I83" i="6"/>
  <c r="H82" i="6"/>
  <c r="N81" i="6"/>
  <c r="O81" i="6" s="1"/>
  <c r="M81" i="6"/>
  <c r="K83" i="6" l="1"/>
  <c r="L83" i="6" s="1"/>
  <c r="B85" i="6"/>
  <c r="A86" i="6"/>
  <c r="D84" i="6"/>
  <c r="J84" i="6"/>
  <c r="I84" i="6"/>
  <c r="K84" i="6" s="1"/>
  <c r="R84" i="6"/>
  <c r="E84" i="6"/>
  <c r="H83" i="6"/>
  <c r="M82" i="6"/>
  <c r="N82" i="6"/>
  <c r="O82" i="6" s="1"/>
  <c r="F84" i="6" l="1"/>
  <c r="G84" i="6" s="1"/>
  <c r="A87" i="6"/>
  <c r="B86" i="6"/>
  <c r="N83" i="6"/>
  <c r="O83" i="6" s="1"/>
  <c r="M83" i="6"/>
  <c r="E85" i="6"/>
  <c r="D85" i="6"/>
  <c r="F85" i="6" s="1"/>
  <c r="G85" i="6" s="1"/>
  <c r="J85" i="6"/>
  <c r="I85" i="6"/>
  <c r="K85" i="6" l="1"/>
  <c r="L85" i="6" s="1"/>
  <c r="H85" i="6"/>
  <c r="J86" i="6"/>
  <c r="I86" i="6"/>
  <c r="D86" i="6"/>
  <c r="E86" i="6"/>
  <c r="B87" i="6"/>
  <c r="A88" i="6"/>
  <c r="L84" i="6"/>
  <c r="H84" i="6"/>
  <c r="K86" i="6" l="1"/>
  <c r="F86" i="6"/>
  <c r="G86" i="6" s="1"/>
  <c r="A89" i="6"/>
  <c r="B88" i="6"/>
  <c r="I87" i="6"/>
  <c r="E87" i="6"/>
  <c r="D87" i="6"/>
  <c r="F87" i="6" s="1"/>
  <c r="G87" i="6" s="1"/>
  <c r="J87" i="6"/>
  <c r="M84" i="6"/>
  <c r="N84" i="6"/>
  <c r="O84" i="6" s="1"/>
  <c r="M85" i="6"/>
  <c r="N85" i="6"/>
  <c r="O85" i="6" s="1"/>
  <c r="K87" i="6" l="1"/>
  <c r="L87" i="6" s="1"/>
  <c r="H87" i="6"/>
  <c r="E88" i="6"/>
  <c r="D88" i="6"/>
  <c r="F88" i="6" s="1"/>
  <c r="G88" i="6" s="1"/>
  <c r="J88" i="6"/>
  <c r="I88" i="6"/>
  <c r="K88" i="6" s="1"/>
  <c r="B89" i="6"/>
  <c r="A90" i="6"/>
  <c r="H86" i="6"/>
  <c r="L86" i="6"/>
  <c r="H88" i="6" l="1"/>
  <c r="L88" i="6"/>
  <c r="M87" i="6"/>
  <c r="N87" i="6"/>
  <c r="O87" i="6" s="1"/>
  <c r="I89" i="6"/>
  <c r="J89" i="6"/>
  <c r="D89" i="6"/>
  <c r="F89" i="6" s="1"/>
  <c r="G89" i="6" s="1"/>
  <c r="E89" i="6"/>
  <c r="M86" i="6"/>
  <c r="N86" i="6"/>
  <c r="O86" i="6" s="1"/>
  <c r="A91" i="6"/>
  <c r="B90" i="6"/>
  <c r="K89" i="6" l="1"/>
  <c r="L89" i="6" s="1"/>
  <c r="H89" i="6"/>
  <c r="B91" i="6"/>
  <c r="A92" i="6"/>
  <c r="N88" i="6"/>
  <c r="O88" i="6" s="1"/>
  <c r="M88" i="6"/>
  <c r="E90" i="6"/>
  <c r="J90" i="6"/>
  <c r="D90" i="6"/>
  <c r="I90" i="6"/>
  <c r="B92" i="6" l="1"/>
  <c r="A93" i="6"/>
  <c r="J91" i="6"/>
  <c r="I91" i="6"/>
  <c r="K91" i="6" s="1"/>
  <c r="E91" i="6"/>
  <c r="D91" i="6"/>
  <c r="F91" i="6" s="1"/>
  <c r="G91" i="6" s="1"/>
  <c r="K90" i="6"/>
  <c r="N89" i="6"/>
  <c r="O89" i="6" s="1"/>
  <c r="M89" i="6"/>
  <c r="F90" i="6"/>
  <c r="G90" i="6" s="1"/>
  <c r="L91" i="6" l="1"/>
  <c r="H91" i="6"/>
  <c r="H90" i="6"/>
  <c r="L90" i="6"/>
  <c r="B93" i="6"/>
  <c r="A94" i="6"/>
  <c r="D92" i="6"/>
  <c r="F92" i="6" s="1"/>
  <c r="G92" i="6" s="1"/>
  <c r="E92" i="6"/>
  <c r="I92" i="6"/>
  <c r="J92" i="6"/>
  <c r="K92" i="6" l="1"/>
  <c r="L92" i="6" s="1"/>
  <c r="J93" i="6"/>
  <c r="I93" i="6"/>
  <c r="E93" i="6"/>
  <c r="D93" i="6"/>
  <c r="F93" i="6" s="1"/>
  <c r="G93" i="6" s="1"/>
  <c r="M90" i="6"/>
  <c r="N90" i="6"/>
  <c r="O90" i="6" s="1"/>
  <c r="H92" i="6"/>
  <c r="B94" i="6"/>
  <c r="A95" i="6"/>
  <c r="M91" i="6"/>
  <c r="N91" i="6"/>
  <c r="O91" i="6" s="1"/>
  <c r="H93" i="6" l="1"/>
  <c r="M92" i="6"/>
  <c r="N92" i="6"/>
  <c r="O92" i="6" s="1"/>
  <c r="B95" i="6"/>
  <c r="A96" i="6"/>
  <c r="K93" i="6"/>
  <c r="L93" i="6" s="1"/>
  <c r="D94" i="6"/>
  <c r="F94" i="6" s="1"/>
  <c r="G94" i="6" s="1"/>
  <c r="E94" i="6"/>
  <c r="J94" i="6"/>
  <c r="I94" i="6"/>
  <c r="K94" i="6" l="1"/>
  <c r="L94" i="6" s="1"/>
  <c r="M93" i="6"/>
  <c r="N93" i="6"/>
  <c r="O93" i="6" s="1"/>
  <c r="A97" i="6"/>
  <c r="B96" i="6"/>
  <c r="E95" i="6"/>
  <c r="J95" i="6"/>
  <c r="I95" i="6"/>
  <c r="D95" i="6"/>
  <c r="F95" i="6" s="1"/>
  <c r="G95" i="6" s="1"/>
  <c r="H94" i="6"/>
  <c r="K95" i="6" l="1"/>
  <c r="L95" i="6" s="1"/>
  <c r="I96" i="6"/>
  <c r="D96" i="6"/>
  <c r="F96" i="6" s="1"/>
  <c r="G96" i="6" s="1"/>
  <c r="E96" i="6"/>
  <c r="J96" i="6"/>
  <c r="H95" i="6"/>
  <c r="N94" i="6"/>
  <c r="O94" i="6" s="1"/>
  <c r="M94" i="6"/>
  <c r="B97" i="6"/>
  <c r="A98" i="6"/>
  <c r="M95" i="6" l="1"/>
  <c r="N95" i="6"/>
  <c r="O95" i="6" s="1"/>
  <c r="H96" i="6"/>
  <c r="A99" i="6"/>
  <c r="B98" i="6"/>
  <c r="E97" i="6"/>
  <c r="D97" i="6"/>
  <c r="F97" i="6" s="1"/>
  <c r="G97" i="6" s="1"/>
  <c r="J97" i="6"/>
  <c r="I97" i="6"/>
  <c r="K96" i="6"/>
  <c r="L96" i="6" s="1"/>
  <c r="K97" i="6" l="1"/>
  <c r="L97" i="6" s="1"/>
  <c r="N96" i="6"/>
  <c r="O96" i="6" s="1"/>
  <c r="M96" i="6"/>
  <c r="J98" i="6"/>
  <c r="D98" i="6"/>
  <c r="I98" i="6"/>
  <c r="K98" i="6" s="1"/>
  <c r="E98" i="6"/>
  <c r="H97" i="6"/>
  <c r="B99" i="6"/>
  <c r="A100" i="6"/>
  <c r="F98" i="6" l="1"/>
  <c r="G98" i="6" s="1"/>
  <c r="M97" i="6"/>
  <c r="N97" i="6"/>
  <c r="O97" i="6" s="1"/>
  <c r="B100" i="6"/>
  <c r="A101" i="6"/>
  <c r="B101" i="6" s="1"/>
  <c r="I99" i="6"/>
  <c r="E99" i="6"/>
  <c r="J99" i="6"/>
  <c r="D99" i="6"/>
  <c r="K99" i="6" l="1"/>
  <c r="J101" i="6"/>
  <c r="I101" i="6"/>
  <c r="R101" i="6"/>
  <c r="E101" i="6"/>
  <c r="D101" i="6"/>
  <c r="F101" i="6" s="1"/>
  <c r="G101" i="6" s="1"/>
  <c r="I100" i="6"/>
  <c r="D100" i="6"/>
  <c r="E100" i="6"/>
  <c r="J100" i="6"/>
  <c r="F99" i="6"/>
  <c r="G99" i="6" s="1"/>
  <c r="H98" i="6"/>
  <c r="L98" i="6"/>
  <c r="K100" i="6" l="1"/>
  <c r="K101" i="6"/>
  <c r="L101" i="6" s="1"/>
  <c r="M98" i="6"/>
  <c r="N98" i="6"/>
  <c r="O98" i="6" s="1"/>
  <c r="H101" i="6"/>
  <c r="H99" i="6"/>
  <c r="L99" i="6"/>
  <c r="F100" i="6"/>
  <c r="G100" i="6" s="1"/>
  <c r="M101" i="6" l="1"/>
  <c r="N101" i="6"/>
  <c r="O101" i="6" s="1"/>
  <c r="L100" i="6"/>
  <c r="H100" i="6"/>
  <c r="N99" i="6"/>
  <c r="O99" i="6" s="1"/>
  <c r="M99" i="6"/>
  <c r="N100" i="6" l="1"/>
  <c r="O100" i="6" s="1"/>
  <c r="M100" i="6"/>
</calcChain>
</file>

<file path=xl/sharedStrings.xml><?xml version="1.0" encoding="utf-8"?>
<sst xmlns="http://schemas.openxmlformats.org/spreadsheetml/2006/main" count="618" uniqueCount="340">
  <si>
    <t>This spreadsheet guides the User through the design process for a CONTINUOUS CONDUCTION MODE PFC BOOST converter using the UCC28019 controller.</t>
  </si>
  <si>
    <t>1. The Macros must be ENABLED.</t>
  </si>
  <si>
    <t>2. The Analysis ToolPak Add-In must be checked.</t>
  </si>
  <si>
    <t>• This feature can be found in the Tools Menu.</t>
  </si>
  <si>
    <t>• Select Add-Ins</t>
  </si>
  <si>
    <t>• Check the box next to Analysis ToolPak</t>
  </si>
  <si>
    <t>3. Enter the desired design parameters in the YELLOW shaded boxes</t>
  </si>
  <si>
    <t>5. Actual standard values must be entered for the spreadsheet to calculate the gain-phase plots.</t>
  </si>
  <si>
    <t>Design Specifications</t>
  </si>
  <si>
    <t>Description</t>
  </si>
  <si>
    <t xml:space="preserve">Minimum </t>
  </si>
  <si>
    <t>Maximum</t>
  </si>
  <si>
    <t xml:space="preserve">Typical </t>
  </si>
  <si>
    <t>Input Voltage</t>
  </si>
  <si>
    <t>Output Voltage</t>
  </si>
  <si>
    <t>Allowable Output Voltage
Transients (90% Load Step)</t>
  </si>
  <si>
    <t>Unit</t>
  </si>
  <si>
    <t>V</t>
  </si>
  <si>
    <t>W</t>
  </si>
  <si>
    <t xml:space="preserve"> </t>
  </si>
  <si>
    <t>kHz</t>
  </si>
  <si>
    <r>
      <t>Output Power (P</t>
    </r>
    <r>
      <rPr>
        <b/>
        <vertAlign val="subscript"/>
        <sz val="12"/>
        <rFont val="Arial"/>
        <family val="2"/>
      </rPr>
      <t>OUT</t>
    </r>
    <r>
      <rPr>
        <b/>
        <sz val="12"/>
        <rFont val="Arial"/>
        <family val="2"/>
      </rPr>
      <t>)</t>
    </r>
  </si>
  <si>
    <r>
      <t>Inductor (L</t>
    </r>
    <r>
      <rPr>
        <b/>
        <vertAlign val="subscript"/>
        <sz val="12"/>
        <rFont val="Arial"/>
        <family val="2"/>
      </rPr>
      <t>OUT</t>
    </r>
    <r>
      <rPr>
        <b/>
        <sz val="12"/>
        <rFont val="Arial"/>
        <family val="2"/>
      </rPr>
      <t>) Switching Frequency</t>
    </r>
  </si>
  <si>
    <t>Full Load Efficiency</t>
  </si>
  <si>
    <r>
      <t>P</t>
    </r>
    <r>
      <rPr>
        <b/>
        <vertAlign val="subscript"/>
        <sz val="12"/>
        <rFont val="Arial"/>
        <family val="2"/>
      </rPr>
      <t>BUDGET</t>
    </r>
  </si>
  <si>
    <r>
      <t>V</t>
    </r>
    <r>
      <rPr>
        <b/>
        <vertAlign val="subscript"/>
        <sz val="12"/>
        <rFont val="Arial"/>
        <family val="2"/>
      </rPr>
      <t>RDSON</t>
    </r>
  </si>
  <si>
    <t>a1</t>
  </si>
  <si>
    <t>Variable</t>
  </si>
  <si>
    <r>
      <t>T1 Transformer Turns Ratio=N</t>
    </r>
    <r>
      <rPr>
        <b/>
        <vertAlign val="subscript"/>
        <sz val="12"/>
        <rFont val="Arial"/>
        <family val="2"/>
      </rPr>
      <t>P</t>
    </r>
    <r>
      <rPr>
        <b/>
        <sz val="12"/>
        <rFont val="Arial"/>
        <family val="2"/>
      </rPr>
      <t>/N</t>
    </r>
    <r>
      <rPr>
        <b/>
        <vertAlign val="subscript"/>
        <sz val="12"/>
        <rFont val="Arial"/>
        <family val="2"/>
      </rPr>
      <t>S</t>
    </r>
  </si>
  <si>
    <t>Maximum Duty Cycle Nominal</t>
  </si>
  <si>
    <t>Typical Duty Cycle</t>
  </si>
  <si>
    <r>
      <t>D</t>
    </r>
    <r>
      <rPr>
        <b/>
        <vertAlign val="subscript"/>
        <sz val="12"/>
        <rFont val="Arial"/>
        <family val="2"/>
      </rPr>
      <t>MAX</t>
    </r>
  </si>
  <si>
    <r>
      <t>D</t>
    </r>
    <r>
      <rPr>
        <b/>
        <vertAlign val="subscript"/>
        <sz val="12"/>
        <rFont val="Arial"/>
        <family val="2"/>
      </rPr>
      <t>TYP</t>
    </r>
  </si>
  <si>
    <t>Inductor Ripple Current</t>
  </si>
  <si>
    <t>A</t>
  </si>
  <si>
    <r>
      <t>L</t>
    </r>
    <r>
      <rPr>
        <b/>
        <vertAlign val="subscript"/>
        <sz val="12"/>
        <rFont val="Arial"/>
        <family val="2"/>
      </rPr>
      <t>MAG</t>
    </r>
  </si>
  <si>
    <t>mH</t>
  </si>
  <si>
    <r>
      <t>I</t>
    </r>
    <r>
      <rPr>
        <b/>
        <vertAlign val="subscript"/>
        <sz val="12"/>
        <rFont val="Arial"/>
        <family val="2"/>
      </rPr>
      <t>PS</t>
    </r>
  </si>
  <si>
    <r>
      <t>I</t>
    </r>
    <r>
      <rPr>
        <b/>
        <vertAlign val="subscript"/>
        <sz val="12"/>
        <rFont val="Arial"/>
        <family val="2"/>
      </rPr>
      <t>MS</t>
    </r>
  </si>
  <si>
    <r>
      <t>I</t>
    </r>
    <r>
      <rPr>
        <b/>
        <vertAlign val="subscript"/>
        <sz val="12"/>
        <rFont val="Arial"/>
        <family val="2"/>
      </rPr>
      <t>SRMS1</t>
    </r>
  </si>
  <si>
    <r>
      <t>I</t>
    </r>
    <r>
      <rPr>
        <b/>
        <vertAlign val="subscript"/>
        <sz val="12"/>
        <rFont val="Arial"/>
        <family val="2"/>
      </rPr>
      <t>MS2</t>
    </r>
  </si>
  <si>
    <r>
      <t>I</t>
    </r>
    <r>
      <rPr>
        <b/>
        <vertAlign val="subscript"/>
        <sz val="12"/>
        <rFont val="Arial"/>
        <family val="2"/>
      </rPr>
      <t>SRMS2</t>
    </r>
  </si>
  <si>
    <r>
      <t>I</t>
    </r>
    <r>
      <rPr>
        <b/>
        <vertAlign val="subscript"/>
        <sz val="12"/>
        <rFont val="Arial"/>
        <family val="2"/>
      </rPr>
      <t>SRMS3</t>
    </r>
  </si>
  <si>
    <r>
      <t>I</t>
    </r>
    <r>
      <rPr>
        <b/>
        <vertAlign val="subscript"/>
        <sz val="12"/>
        <rFont val="Arial"/>
        <family val="2"/>
      </rPr>
      <t>SRMS</t>
    </r>
  </si>
  <si>
    <r>
      <t>dIL</t>
    </r>
    <r>
      <rPr>
        <b/>
        <vertAlign val="subscript"/>
        <sz val="12"/>
        <rFont val="Arial"/>
        <family val="2"/>
      </rPr>
      <t>MAG</t>
    </r>
  </si>
  <si>
    <r>
      <t>I</t>
    </r>
    <r>
      <rPr>
        <b/>
        <vertAlign val="subscript"/>
        <sz val="12"/>
        <rFont val="Arial"/>
        <family val="2"/>
      </rPr>
      <t>PP</t>
    </r>
  </si>
  <si>
    <r>
      <t>I</t>
    </r>
    <r>
      <rPr>
        <b/>
        <vertAlign val="subscript"/>
        <sz val="12"/>
        <rFont val="Arial"/>
        <family val="2"/>
      </rPr>
      <t>MP</t>
    </r>
  </si>
  <si>
    <r>
      <t>I</t>
    </r>
    <r>
      <rPr>
        <b/>
        <vertAlign val="subscript"/>
        <sz val="12"/>
        <rFont val="Arial"/>
        <family val="2"/>
      </rPr>
      <t>MP2</t>
    </r>
  </si>
  <si>
    <r>
      <t>I</t>
    </r>
    <r>
      <rPr>
        <b/>
        <vertAlign val="subscript"/>
        <sz val="12"/>
        <rFont val="Arial"/>
        <family val="2"/>
      </rPr>
      <t>PRMS1</t>
    </r>
  </si>
  <si>
    <r>
      <t>I</t>
    </r>
    <r>
      <rPr>
        <b/>
        <vertAlign val="subscript"/>
        <sz val="12"/>
        <rFont val="Arial"/>
        <family val="2"/>
      </rPr>
      <t>PRMS2</t>
    </r>
  </si>
  <si>
    <r>
      <t>DCR</t>
    </r>
    <r>
      <rPr>
        <b/>
        <vertAlign val="subscript"/>
        <sz val="12"/>
        <rFont val="Arial"/>
        <family val="2"/>
      </rPr>
      <t>P</t>
    </r>
  </si>
  <si>
    <r>
      <t>I</t>
    </r>
    <r>
      <rPr>
        <b/>
        <vertAlign val="subscript"/>
        <sz val="12"/>
        <rFont val="Arial"/>
        <family val="2"/>
      </rPr>
      <t>PRMS</t>
    </r>
  </si>
  <si>
    <r>
      <t>DCR</t>
    </r>
    <r>
      <rPr>
        <b/>
        <vertAlign val="subscript"/>
        <sz val="12"/>
        <rFont val="Arial"/>
        <family val="2"/>
      </rPr>
      <t>S</t>
    </r>
  </si>
  <si>
    <r>
      <t>P</t>
    </r>
    <r>
      <rPr>
        <b/>
        <vertAlign val="subscript"/>
        <sz val="12"/>
        <rFont val="Arial"/>
        <family val="2"/>
      </rPr>
      <t>T1</t>
    </r>
  </si>
  <si>
    <t>Transformer Primary DC Resistance</t>
  </si>
  <si>
    <t>Transformer Secondary DC Resistance</t>
  </si>
  <si>
    <t>Estimated transform loss, 2X Copper Losses</t>
  </si>
  <si>
    <t>Recalculate Power Budget</t>
  </si>
  <si>
    <t>QA, QB, QC, QD FET selection:</t>
  </si>
  <si>
    <r>
      <t>R</t>
    </r>
    <r>
      <rPr>
        <b/>
        <vertAlign val="subscript"/>
        <sz val="12"/>
        <rFont val="Arial"/>
        <family val="2"/>
      </rPr>
      <t>ds(on)QA</t>
    </r>
  </si>
  <si>
    <t>FET drain to source on resistance</t>
  </si>
  <si>
    <t>FET Specified Coss</t>
  </si>
  <si>
    <t>pF</t>
  </si>
  <si>
    <r>
      <t>C</t>
    </r>
    <r>
      <rPr>
        <b/>
        <vertAlign val="subscript"/>
        <sz val="12"/>
        <rFont val="Arial"/>
        <family val="2"/>
      </rPr>
      <t>OSS_QA_SPEC</t>
    </r>
  </si>
  <si>
    <r>
      <t>V</t>
    </r>
    <r>
      <rPr>
        <b/>
        <vertAlign val="subscript"/>
        <sz val="12"/>
        <rFont val="Arial"/>
        <family val="2"/>
      </rPr>
      <t>dsQA</t>
    </r>
  </si>
  <si>
    <r>
      <t>Calculate average C</t>
    </r>
    <r>
      <rPr>
        <b/>
        <vertAlign val="subscript"/>
        <sz val="12"/>
        <rFont val="Arial"/>
        <family val="2"/>
      </rPr>
      <t xml:space="preserve">OSS </t>
    </r>
  </si>
  <si>
    <r>
      <t>C</t>
    </r>
    <r>
      <rPr>
        <b/>
        <vertAlign val="subscript"/>
        <sz val="12"/>
        <rFont val="Arial"/>
        <family val="2"/>
      </rPr>
      <t>OSS_QA_AVG</t>
    </r>
  </si>
  <si>
    <r>
      <t>P</t>
    </r>
    <r>
      <rPr>
        <b/>
        <vertAlign val="subscript"/>
        <sz val="12"/>
        <rFont val="Arial"/>
        <family val="2"/>
      </rPr>
      <t>QA</t>
    </r>
  </si>
  <si>
    <t xml:space="preserve">Calculate QA losses </t>
  </si>
  <si>
    <r>
      <t>V</t>
    </r>
    <r>
      <rPr>
        <b/>
        <vertAlign val="subscript"/>
        <sz val="12"/>
        <rFont val="Arial"/>
        <family val="2"/>
      </rPr>
      <t>g</t>
    </r>
  </si>
  <si>
    <r>
      <t>QA</t>
    </r>
    <r>
      <rPr>
        <b/>
        <vertAlign val="subscript"/>
        <sz val="12"/>
        <rFont val="Arial"/>
        <family val="2"/>
      </rPr>
      <t>g</t>
    </r>
  </si>
  <si>
    <t>nC</t>
  </si>
  <si>
    <t>Primary Magnetizing Inductance</t>
  </si>
  <si>
    <r>
      <t>L</t>
    </r>
    <r>
      <rPr>
        <b/>
        <vertAlign val="subscript"/>
        <sz val="12"/>
        <rFont val="Arial"/>
        <family val="2"/>
      </rPr>
      <t>S</t>
    </r>
  </si>
  <si>
    <t>uH</t>
  </si>
  <si>
    <r>
      <t>DCR</t>
    </r>
    <r>
      <rPr>
        <b/>
        <vertAlign val="subscript"/>
        <sz val="12"/>
        <rFont val="Arial"/>
        <family val="2"/>
      </rPr>
      <t>LS</t>
    </r>
  </si>
  <si>
    <r>
      <t>L</t>
    </r>
    <r>
      <rPr>
        <b/>
        <vertAlign val="subscript"/>
        <sz val="12"/>
        <rFont val="Arial"/>
        <family val="2"/>
      </rPr>
      <t>S</t>
    </r>
    <r>
      <rPr>
        <b/>
        <sz val="12"/>
        <rFont val="Arial"/>
        <family val="2"/>
      </rPr>
      <t xml:space="preserve"> DC Resistance</t>
    </r>
  </si>
  <si>
    <r>
      <t>Estimate L</t>
    </r>
    <r>
      <rPr>
        <b/>
        <vertAlign val="subscript"/>
        <sz val="12"/>
        <rFont val="Arial"/>
        <family val="2"/>
      </rPr>
      <t xml:space="preserve">S </t>
    </r>
    <r>
      <rPr>
        <b/>
        <sz val="12"/>
        <rFont val="Arial"/>
        <family val="2"/>
      </rPr>
      <t>power loss (P</t>
    </r>
    <r>
      <rPr>
        <b/>
        <vertAlign val="subscript"/>
        <sz val="12"/>
        <rFont val="Arial"/>
        <family val="2"/>
      </rPr>
      <t>LS</t>
    </r>
    <r>
      <rPr>
        <b/>
        <sz val="12"/>
        <rFont val="Arial"/>
        <family val="2"/>
      </rPr>
      <t xml:space="preserve">) </t>
    </r>
  </si>
  <si>
    <r>
      <t>P</t>
    </r>
    <r>
      <rPr>
        <b/>
        <vertAlign val="subscript"/>
        <sz val="12"/>
        <rFont val="Arial"/>
        <family val="2"/>
      </rPr>
      <t>LS</t>
    </r>
  </si>
  <si>
    <r>
      <t>L</t>
    </r>
    <r>
      <rPr>
        <b/>
        <vertAlign val="subscript"/>
        <sz val="12"/>
        <rFont val="Arial"/>
        <family val="2"/>
      </rPr>
      <t>OUT</t>
    </r>
  </si>
  <si>
    <r>
      <t>DCR</t>
    </r>
    <r>
      <rPr>
        <b/>
        <vertAlign val="subscript"/>
        <sz val="12"/>
        <rFont val="Arial"/>
        <family val="2"/>
      </rPr>
      <t>LOUT</t>
    </r>
  </si>
  <si>
    <r>
      <t>Estimate L</t>
    </r>
    <r>
      <rPr>
        <b/>
        <vertAlign val="subscript"/>
        <sz val="12"/>
        <rFont val="Arial"/>
        <family val="2"/>
      </rPr>
      <t xml:space="preserve">OUT </t>
    </r>
    <r>
      <rPr>
        <b/>
        <sz val="12"/>
        <rFont val="Arial"/>
        <family val="2"/>
      </rPr>
      <t>power loss</t>
    </r>
  </si>
  <si>
    <r>
      <t>P</t>
    </r>
    <r>
      <rPr>
        <b/>
        <vertAlign val="subscript"/>
        <sz val="12"/>
        <rFont val="Arial"/>
        <family val="2"/>
      </rPr>
      <t>LOUT</t>
    </r>
  </si>
  <si>
    <r>
      <t>Calculate L</t>
    </r>
    <r>
      <rPr>
        <b/>
        <vertAlign val="subscript"/>
        <sz val="12"/>
        <rFont val="Arial"/>
        <family val="2"/>
      </rPr>
      <t>OUT</t>
    </r>
    <r>
      <rPr>
        <b/>
        <sz val="12"/>
        <rFont val="Arial"/>
        <family val="2"/>
      </rPr>
      <t xml:space="preserve"> RMS Current</t>
    </r>
  </si>
  <si>
    <r>
      <t>I</t>
    </r>
    <r>
      <rPr>
        <b/>
        <vertAlign val="subscript"/>
        <sz val="12"/>
        <rFont val="Arial"/>
        <family val="2"/>
      </rPr>
      <t>LOUT_RMS</t>
    </r>
  </si>
  <si>
    <t>Calculated Shim Inductance</t>
  </si>
  <si>
    <t>Calculate Output Inductance</t>
  </si>
  <si>
    <r>
      <t>t</t>
    </r>
    <r>
      <rPr>
        <b/>
        <vertAlign val="subscript"/>
        <sz val="12"/>
        <rFont val="Arial"/>
        <family val="2"/>
      </rPr>
      <t>HU</t>
    </r>
  </si>
  <si>
    <r>
      <t>Time it takes L</t>
    </r>
    <r>
      <rPr>
        <b/>
        <vertAlign val="subscript"/>
        <sz val="12"/>
        <rFont val="Arial"/>
        <family val="2"/>
      </rPr>
      <t xml:space="preserve">OUT </t>
    </r>
    <r>
      <rPr>
        <b/>
        <sz val="12"/>
        <rFont val="Arial"/>
        <family val="2"/>
      </rPr>
      <t>to change 90% of its full load current</t>
    </r>
  </si>
  <si>
    <t>us</t>
  </si>
  <si>
    <r>
      <t>ESR</t>
    </r>
    <r>
      <rPr>
        <b/>
        <vertAlign val="subscript"/>
        <sz val="12"/>
        <rFont val="Arial"/>
        <family val="2"/>
      </rPr>
      <t>COUT</t>
    </r>
  </si>
  <si>
    <r>
      <t>C</t>
    </r>
    <r>
      <rPr>
        <b/>
        <vertAlign val="subscript"/>
        <sz val="12"/>
        <rFont val="Arial"/>
        <family val="2"/>
      </rPr>
      <t>OUT</t>
    </r>
  </si>
  <si>
    <t>uF</t>
  </si>
  <si>
    <t>n</t>
  </si>
  <si>
    <t>Single Capacitor Capacitance</t>
  </si>
  <si>
    <t>Single Capacitor ESR</t>
  </si>
  <si>
    <t>Total Output Capacitance</t>
  </si>
  <si>
    <r>
      <t>I</t>
    </r>
    <r>
      <rPr>
        <b/>
        <vertAlign val="subscript"/>
        <sz val="12"/>
        <rFont val="Arial"/>
        <family val="2"/>
      </rPr>
      <t>COUT_RMS</t>
    </r>
  </si>
  <si>
    <t>Output Capacitance RMS Current</t>
  </si>
  <si>
    <t>Calculate Output Capacitance Loss</t>
  </si>
  <si>
    <r>
      <t>P</t>
    </r>
    <r>
      <rPr>
        <b/>
        <vertAlign val="subscript"/>
        <sz val="12"/>
        <rFont val="Arial"/>
        <family val="2"/>
      </rPr>
      <t>COUT</t>
    </r>
  </si>
  <si>
    <r>
      <t>V</t>
    </r>
    <r>
      <rPr>
        <b/>
        <vertAlign val="subscript"/>
        <sz val="12"/>
        <rFont val="Arial"/>
        <family val="2"/>
      </rPr>
      <t>DROP</t>
    </r>
  </si>
  <si>
    <t>Minimum Input During Line Dropout</t>
  </si>
  <si>
    <r>
      <t>C</t>
    </r>
    <r>
      <rPr>
        <b/>
        <vertAlign val="subscript"/>
        <sz val="12"/>
        <rFont val="Arial"/>
        <family val="2"/>
      </rPr>
      <t>IN</t>
    </r>
  </si>
  <si>
    <t>Calculate Minimum Input Capacitance</t>
  </si>
  <si>
    <r>
      <t>High Frequency C</t>
    </r>
    <r>
      <rPr>
        <b/>
        <vertAlign val="subscript"/>
        <sz val="12"/>
        <rFont val="Arial"/>
        <family val="2"/>
      </rPr>
      <t>IN</t>
    </r>
    <r>
      <rPr>
        <b/>
        <sz val="12"/>
        <rFont val="Arial"/>
        <family val="2"/>
      </rPr>
      <t xml:space="preserve"> RMS Current</t>
    </r>
  </si>
  <si>
    <r>
      <t>I</t>
    </r>
    <r>
      <rPr>
        <b/>
        <vertAlign val="subscript"/>
        <sz val="12"/>
        <rFont val="Arial"/>
        <family val="2"/>
      </rPr>
      <t>CINRMS</t>
    </r>
  </si>
  <si>
    <r>
      <t>ESR</t>
    </r>
    <r>
      <rPr>
        <b/>
        <vertAlign val="subscript"/>
        <sz val="12"/>
        <rFont val="Arial"/>
        <family val="2"/>
      </rPr>
      <t>CIN</t>
    </r>
  </si>
  <si>
    <r>
      <t>P</t>
    </r>
    <r>
      <rPr>
        <b/>
        <vertAlign val="subscript"/>
        <sz val="12"/>
        <rFont val="Arial"/>
        <family val="2"/>
      </rPr>
      <t>CIN</t>
    </r>
  </si>
  <si>
    <t>Select FETs QE and QF:</t>
  </si>
  <si>
    <r>
      <t>QE</t>
    </r>
    <r>
      <rPr>
        <b/>
        <vertAlign val="subscript"/>
        <sz val="12"/>
        <rFont val="Arial"/>
        <family val="2"/>
      </rPr>
      <t>g</t>
    </r>
  </si>
  <si>
    <r>
      <t>R</t>
    </r>
    <r>
      <rPr>
        <b/>
        <vertAlign val="subscript"/>
        <sz val="12"/>
        <rFont val="Arial"/>
        <family val="2"/>
      </rPr>
      <t>ds(on)QE</t>
    </r>
  </si>
  <si>
    <t>QE and QF Gate Charge</t>
  </si>
  <si>
    <t xml:space="preserve">Set Initial Power Budget </t>
  </si>
  <si>
    <t>Estimated FET Voltage Drop</t>
  </si>
  <si>
    <t>QA FET Gate Charge</t>
  </si>
  <si>
    <r>
      <t>Voltage Across Drain to Source Where C</t>
    </r>
    <r>
      <rPr>
        <b/>
        <vertAlign val="subscript"/>
        <sz val="12"/>
        <rFont val="Arial"/>
        <family val="2"/>
      </rPr>
      <t xml:space="preserve">OSS </t>
    </r>
    <r>
      <rPr>
        <b/>
        <sz val="12"/>
        <color indexed="8"/>
        <rFont val="Arial"/>
        <family val="2"/>
      </rPr>
      <t>was Measured, Data Sheet Parameter</t>
    </r>
  </si>
  <si>
    <r>
      <t>V</t>
    </r>
    <r>
      <rPr>
        <b/>
        <vertAlign val="subscript"/>
        <sz val="12"/>
        <rFont val="Arial"/>
        <family val="2"/>
      </rPr>
      <t>dsQE</t>
    </r>
  </si>
  <si>
    <r>
      <t>V</t>
    </r>
    <r>
      <rPr>
        <b/>
        <vertAlign val="subscript"/>
        <sz val="12"/>
        <rFont val="Arial"/>
        <family val="2"/>
      </rPr>
      <t>dsQE_SPEC</t>
    </r>
  </si>
  <si>
    <r>
      <t>Voltage Specified at C</t>
    </r>
    <r>
      <rPr>
        <b/>
        <vertAlign val="subscript"/>
        <sz val="12"/>
        <rFont val="Arial"/>
        <family val="2"/>
      </rPr>
      <t>OSS</t>
    </r>
    <r>
      <rPr>
        <b/>
        <sz val="12"/>
        <rFont val="Arial"/>
        <family val="2"/>
      </rPr>
      <t xml:space="preserve"> Specified in the Data Sheet</t>
    </r>
  </si>
  <si>
    <r>
      <t>C</t>
    </r>
    <r>
      <rPr>
        <b/>
        <vertAlign val="subscript"/>
        <sz val="12"/>
        <rFont val="Arial"/>
        <family val="2"/>
      </rPr>
      <t>OSS_SPEC</t>
    </r>
  </si>
  <si>
    <r>
      <t>Specified QE and QF C</t>
    </r>
    <r>
      <rPr>
        <b/>
        <vertAlign val="subscript"/>
        <sz val="12"/>
        <rFont val="Arial"/>
        <family val="2"/>
      </rPr>
      <t xml:space="preserve">OSS </t>
    </r>
    <r>
      <rPr>
        <b/>
        <sz val="12"/>
        <rFont val="Arial"/>
        <family val="2"/>
      </rPr>
      <t>From the Data Sheet</t>
    </r>
  </si>
  <si>
    <r>
      <t>C</t>
    </r>
    <r>
      <rPr>
        <b/>
        <vertAlign val="subscript"/>
        <sz val="12"/>
        <rFont val="Arial"/>
        <family val="2"/>
      </rPr>
      <t>OSS_QE_AVG</t>
    </r>
  </si>
  <si>
    <r>
      <t>Average QE and QF C</t>
    </r>
    <r>
      <rPr>
        <b/>
        <vertAlign val="subscript"/>
        <sz val="12"/>
        <rFont val="Arial"/>
        <family val="2"/>
      </rPr>
      <t>OSS</t>
    </r>
  </si>
  <si>
    <t>QE and QF RMS Current</t>
  </si>
  <si>
    <r>
      <t>I</t>
    </r>
    <r>
      <rPr>
        <b/>
        <vertAlign val="subscript"/>
        <sz val="12"/>
        <rFont val="Arial"/>
        <family val="2"/>
      </rPr>
      <t>QE_RMS</t>
    </r>
  </si>
  <si>
    <r>
      <t>QE</t>
    </r>
    <r>
      <rPr>
        <b/>
        <vertAlign val="subscript"/>
        <sz val="12"/>
        <rFont val="Arial"/>
        <family val="2"/>
      </rPr>
      <t>MILLER_MAX</t>
    </r>
  </si>
  <si>
    <r>
      <t>QE</t>
    </r>
    <r>
      <rPr>
        <b/>
        <vertAlign val="subscript"/>
        <sz val="12"/>
        <rFont val="Arial"/>
        <family val="2"/>
      </rPr>
      <t>MILLER_MIN</t>
    </r>
  </si>
  <si>
    <t>Maximum Gate Charge at the end of the Miller Plateau</t>
  </si>
  <si>
    <t>Peak Current Gate of QE and QF is Driven with</t>
  </si>
  <si>
    <r>
      <t>I</t>
    </r>
    <r>
      <rPr>
        <b/>
        <vertAlign val="subscript"/>
        <sz val="12"/>
        <rFont val="Arial"/>
        <family val="2"/>
      </rPr>
      <t>P</t>
    </r>
  </si>
  <si>
    <r>
      <t>t</t>
    </r>
    <r>
      <rPr>
        <b/>
        <vertAlign val="subscript"/>
        <sz val="12"/>
        <rFont val="Arial"/>
        <family val="2"/>
      </rPr>
      <t>r</t>
    </r>
    <r>
      <rPr>
        <b/>
        <sz val="12"/>
        <rFont val="Arial"/>
        <family val="2"/>
      </rPr>
      <t xml:space="preserve"> ≈ t</t>
    </r>
    <r>
      <rPr>
        <b/>
        <vertAlign val="subscript"/>
        <sz val="12"/>
        <rFont val="Arial"/>
        <family val="2"/>
      </rPr>
      <t>f</t>
    </r>
  </si>
  <si>
    <t>ns</t>
  </si>
  <si>
    <t>Estimate QE FET Losses</t>
  </si>
  <si>
    <r>
      <t>P</t>
    </r>
    <r>
      <rPr>
        <b/>
        <vertAlign val="subscript"/>
        <sz val="12"/>
        <rFont val="Arial"/>
        <family val="2"/>
      </rPr>
      <t>QE</t>
    </r>
  </si>
  <si>
    <t>Maximum Voltage Across QE and QF</t>
  </si>
  <si>
    <t>a2</t>
  </si>
  <si>
    <r>
      <t>Select CT and Enter Turns Ratio a2 = I</t>
    </r>
    <r>
      <rPr>
        <b/>
        <vertAlign val="subscript"/>
        <sz val="12"/>
        <rFont val="Arial"/>
        <family val="2"/>
      </rPr>
      <t>P</t>
    </r>
    <r>
      <rPr>
        <b/>
        <sz val="12"/>
        <rFont val="Arial"/>
        <family val="2"/>
      </rPr>
      <t>/I</t>
    </r>
    <r>
      <rPr>
        <b/>
        <vertAlign val="subscript"/>
        <sz val="12"/>
        <rFont val="Arial"/>
        <family val="2"/>
      </rPr>
      <t>S</t>
    </r>
  </si>
  <si>
    <t>Std. Resistors</t>
  </si>
  <si>
    <t>Capacitors</t>
  </si>
  <si>
    <t>Enter resistor value</t>
  </si>
  <si>
    <t>E6</t>
  </si>
  <si>
    <t>E96</t>
  </si>
  <si>
    <t>Cap value</t>
  </si>
  <si>
    <t>Closest E6 Value</t>
  </si>
  <si>
    <t>Closest E12 Value</t>
  </si>
  <si>
    <t>C values up to 10nF</t>
  </si>
  <si>
    <t>Closest E24 Value</t>
  </si>
  <si>
    <t>Closest E48 Value</t>
  </si>
  <si>
    <t>Closest E96 Value</t>
  </si>
  <si>
    <t>E12</t>
  </si>
  <si>
    <t>C values greater than 10nF</t>
  </si>
  <si>
    <t>E24</t>
  </si>
  <si>
    <t>E48</t>
  </si>
  <si>
    <r>
      <t>R</t>
    </r>
    <r>
      <rPr>
        <b/>
        <vertAlign val="subscript"/>
        <sz val="12"/>
        <rFont val="Arial"/>
        <family val="2"/>
      </rPr>
      <t>S</t>
    </r>
  </si>
  <si>
    <t>Calculate Current Sense Resistor</t>
  </si>
  <si>
    <t>Ω</t>
  </si>
  <si>
    <r>
      <t>I</t>
    </r>
    <r>
      <rPr>
        <b/>
        <vertAlign val="subscript"/>
        <sz val="12"/>
        <rFont val="Arial"/>
        <family val="2"/>
      </rPr>
      <t>P1</t>
    </r>
  </si>
  <si>
    <r>
      <t>Calculate nominal peak current (I</t>
    </r>
    <r>
      <rPr>
        <b/>
        <vertAlign val="subscript"/>
        <sz val="12"/>
        <rFont val="Arial"/>
        <family val="2"/>
      </rPr>
      <t>P1</t>
    </r>
    <r>
      <rPr>
        <b/>
        <sz val="12"/>
        <rFont val="Arial"/>
        <family val="2"/>
      </rPr>
      <t>) at V</t>
    </r>
    <r>
      <rPr>
        <b/>
        <vertAlign val="subscript"/>
        <sz val="12"/>
        <rFont val="Arial"/>
        <family val="2"/>
      </rPr>
      <t>INMIN</t>
    </r>
  </si>
  <si>
    <t>Select Current Sense Resistor for Your Design</t>
  </si>
  <si>
    <t>Estimate Rs Power Loss</t>
  </si>
  <si>
    <r>
      <t>P</t>
    </r>
    <r>
      <rPr>
        <b/>
        <vertAlign val="subscript"/>
        <sz val="12"/>
        <rFont val="Arial"/>
        <family val="2"/>
      </rPr>
      <t>RS</t>
    </r>
  </si>
  <si>
    <r>
      <t>V</t>
    </r>
    <r>
      <rPr>
        <b/>
        <vertAlign val="subscript"/>
        <sz val="12"/>
        <rFont val="Arial"/>
        <family val="2"/>
      </rPr>
      <t>DA</t>
    </r>
  </si>
  <si>
    <r>
      <t>Maximum Diode D</t>
    </r>
    <r>
      <rPr>
        <b/>
        <vertAlign val="sub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Reverse Voltage</t>
    </r>
  </si>
  <si>
    <r>
      <t>t</t>
    </r>
    <r>
      <rPr>
        <b/>
        <vertAlign val="subscript"/>
        <sz val="12"/>
        <rFont val="Arial"/>
        <family val="2"/>
      </rPr>
      <t>DELAY</t>
    </r>
  </si>
  <si>
    <t>fr</t>
  </si>
  <si>
    <t>Calculate Resonant Tank Frequency</t>
  </si>
  <si>
    <t>Possible Delay That will Be Required for ZVS</t>
  </si>
  <si>
    <r>
      <t>D</t>
    </r>
    <r>
      <rPr>
        <b/>
        <vertAlign val="subscript"/>
        <sz val="12"/>
        <rFont val="Arial"/>
        <family val="2"/>
      </rPr>
      <t>CLAMP</t>
    </r>
  </si>
  <si>
    <r>
      <t>t</t>
    </r>
    <r>
      <rPr>
        <b/>
        <vertAlign val="subscript"/>
        <sz val="12"/>
        <rFont val="Arial"/>
        <family val="2"/>
      </rPr>
      <t>DELAY</t>
    </r>
    <r>
      <rPr>
        <b/>
        <sz val="12"/>
        <rFont val="Arial"/>
        <family val="2"/>
      </rPr>
      <t xml:space="preserve"> will act as a duty cycle clamp</t>
    </r>
  </si>
  <si>
    <t>Switching Cycle Period</t>
  </si>
  <si>
    <t>ts</t>
  </si>
  <si>
    <t>Shim Inductance Used</t>
  </si>
  <si>
    <t>Output Inductance Used</t>
  </si>
  <si>
    <t>Selecting Power Transformer (T1)</t>
  </si>
  <si>
    <t>Number of Output Capacitors Used</t>
  </si>
  <si>
    <t>Input Capacitance Used</t>
  </si>
  <si>
    <r>
      <t>Estimate D</t>
    </r>
    <r>
      <rPr>
        <b/>
        <vertAlign val="sub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Losses</t>
    </r>
  </si>
  <si>
    <r>
      <t>P</t>
    </r>
    <r>
      <rPr>
        <b/>
        <vertAlign val="subscript"/>
        <sz val="12"/>
        <rFont val="Arial"/>
        <family val="2"/>
      </rPr>
      <t>DA</t>
    </r>
  </si>
  <si>
    <t>V1</t>
  </si>
  <si>
    <r>
      <t>R</t>
    </r>
    <r>
      <rPr>
        <b/>
        <vertAlign val="subscript"/>
        <sz val="12"/>
        <rFont val="Arial"/>
        <family val="2"/>
      </rPr>
      <t>B</t>
    </r>
  </si>
  <si>
    <t>Select Standard Resistor</t>
  </si>
  <si>
    <r>
      <t>R</t>
    </r>
    <r>
      <rPr>
        <b/>
        <vertAlign val="subscript"/>
        <sz val="12"/>
        <rFont val="Arial"/>
        <family val="2"/>
      </rPr>
      <t>A</t>
    </r>
  </si>
  <si>
    <t>Calculated Resistance</t>
  </si>
  <si>
    <r>
      <t>R</t>
    </r>
    <r>
      <rPr>
        <b/>
        <vertAlign val="subscript"/>
        <sz val="12"/>
        <rFont val="Arial"/>
        <family val="2"/>
      </rPr>
      <t>C</t>
    </r>
  </si>
  <si>
    <r>
      <t>R</t>
    </r>
    <r>
      <rPr>
        <b/>
        <vertAlign val="subscript"/>
        <sz val="12"/>
        <rFont val="Arial"/>
        <family val="2"/>
      </rPr>
      <t>I</t>
    </r>
  </si>
  <si>
    <r>
      <t>f</t>
    </r>
    <r>
      <rPr>
        <b/>
        <vertAlign val="subscript"/>
        <sz val="12"/>
        <rFont val="Arial"/>
        <family val="2"/>
      </rPr>
      <t>C</t>
    </r>
  </si>
  <si>
    <t>Voltage Loop Crossover Frequency</t>
  </si>
  <si>
    <r>
      <t>R</t>
    </r>
    <r>
      <rPr>
        <b/>
        <vertAlign val="subscript"/>
        <sz val="12"/>
        <rFont val="Arial"/>
        <family val="2"/>
      </rPr>
      <t>LOAD</t>
    </r>
  </si>
  <si>
    <t>a1*a2*rload/rs</t>
  </si>
  <si>
    <t>Constant</t>
  </si>
  <si>
    <t>n1/d1</t>
  </si>
  <si>
    <t>n1divd1</t>
  </si>
  <si>
    <t>1/d2</t>
  </si>
  <si>
    <t>n1/(d1*d2)</t>
  </si>
  <si>
    <t>a1*a2*rload/rs*(n1/(d1*d2))</t>
  </si>
  <si>
    <t>absolute maximum(a1*a2*rload/rs*(n1/(d1*d2)))</t>
  </si>
  <si>
    <t>n1</t>
  </si>
  <si>
    <t>|Gco(fc)|</t>
  </si>
  <si>
    <r>
      <t>R</t>
    </r>
    <r>
      <rPr>
        <b/>
        <vertAlign val="subscript"/>
        <sz val="12"/>
        <rFont val="Arial"/>
        <family val="2"/>
      </rPr>
      <t>F</t>
    </r>
  </si>
  <si>
    <t>Calculate Feedback Resistor</t>
  </si>
  <si>
    <r>
      <t>C</t>
    </r>
    <r>
      <rPr>
        <b/>
        <vertAlign val="subscript"/>
        <sz val="12"/>
        <rFont val="Arial"/>
        <family val="2"/>
      </rPr>
      <t>Z</t>
    </r>
  </si>
  <si>
    <t>nF</t>
  </si>
  <si>
    <t>Calculate Pole Capacitor</t>
  </si>
  <si>
    <t>Calculate Zero Capacitor</t>
  </si>
  <si>
    <t>mΩ</t>
  </si>
  <si>
    <t>Output Capacitance ESR  ≤</t>
  </si>
  <si>
    <t>Output Capacitance Cout  ≥</t>
  </si>
  <si>
    <t>kΩ</t>
  </si>
  <si>
    <r>
      <t>C</t>
    </r>
    <r>
      <rPr>
        <b/>
        <vertAlign val="subscript"/>
        <sz val="12"/>
        <rFont val="Arial"/>
        <family val="2"/>
      </rPr>
      <t>P</t>
    </r>
  </si>
  <si>
    <t>Cz</t>
  </si>
  <si>
    <t>values up to 10 nF</t>
  </si>
  <si>
    <t>values greater than 10nf</t>
  </si>
  <si>
    <r>
      <t>t</t>
    </r>
    <r>
      <rPr>
        <b/>
        <vertAlign val="subscript"/>
        <sz val="12"/>
        <rFont val="Arial"/>
        <family val="2"/>
      </rPr>
      <t>SS</t>
    </r>
  </si>
  <si>
    <t>Soft Start Time</t>
  </si>
  <si>
    <t>ms</t>
  </si>
  <si>
    <r>
      <t>C</t>
    </r>
    <r>
      <rPr>
        <b/>
        <vertAlign val="subscript"/>
        <sz val="12"/>
        <rFont val="Arial"/>
        <family val="2"/>
      </rPr>
      <t>SS</t>
    </r>
  </si>
  <si>
    <t>values greater than 10 nf</t>
  </si>
  <si>
    <r>
      <t>t</t>
    </r>
    <r>
      <rPr>
        <b/>
        <vertAlign val="subscript"/>
        <sz val="12"/>
        <rFont val="Arial"/>
        <family val="2"/>
      </rPr>
      <t>ABSET</t>
    </r>
  </si>
  <si>
    <r>
      <t>R</t>
    </r>
    <r>
      <rPr>
        <b/>
        <vertAlign val="subscript"/>
        <sz val="12"/>
        <rFont val="Arial"/>
        <family val="2"/>
      </rPr>
      <t>DELAB</t>
    </r>
  </si>
  <si>
    <r>
      <t>R</t>
    </r>
    <r>
      <rPr>
        <b/>
        <vertAlign val="subscript"/>
        <sz val="12"/>
        <rFont val="Arial"/>
        <family val="2"/>
      </rPr>
      <t>DELCD</t>
    </r>
  </si>
  <si>
    <r>
      <t>t</t>
    </r>
    <r>
      <rPr>
        <b/>
        <vertAlign val="subscript"/>
        <sz val="12"/>
        <rFont val="Arial"/>
        <family val="2"/>
      </rPr>
      <t>CDSET</t>
    </r>
  </si>
  <si>
    <r>
      <t>Set to half of t</t>
    </r>
    <r>
      <rPr>
        <b/>
        <vertAlign val="subscript"/>
        <sz val="12"/>
        <rFont val="Arial"/>
        <family val="2"/>
      </rPr>
      <t>ABSET</t>
    </r>
  </si>
  <si>
    <r>
      <t>R</t>
    </r>
    <r>
      <rPr>
        <b/>
        <vertAlign val="subscript"/>
        <sz val="12"/>
        <rFont val="Arial"/>
        <family val="2"/>
      </rPr>
      <t>DELEF</t>
    </r>
  </si>
  <si>
    <t>Setting Minimum on Time</t>
  </si>
  <si>
    <t>Minimum on Time</t>
  </si>
  <si>
    <r>
      <t>t</t>
    </r>
    <r>
      <rPr>
        <b/>
        <vertAlign val="subscript"/>
        <sz val="12"/>
        <rFont val="Arial"/>
        <family val="2"/>
      </rPr>
      <t>MIN</t>
    </r>
  </si>
  <si>
    <r>
      <t>R</t>
    </r>
    <r>
      <rPr>
        <b/>
        <vertAlign val="subscript"/>
        <sz val="12"/>
        <rFont val="Arial"/>
        <family val="2"/>
      </rPr>
      <t>TMIN</t>
    </r>
  </si>
  <si>
    <r>
      <t>Calculate R</t>
    </r>
    <r>
      <rPr>
        <b/>
        <vertAlign val="subscript"/>
        <sz val="12"/>
        <rFont val="Arial"/>
        <family val="2"/>
      </rPr>
      <t>TMIN</t>
    </r>
  </si>
  <si>
    <t>Setup PWM Switching Frequency</t>
  </si>
  <si>
    <r>
      <t>Calculate R</t>
    </r>
    <r>
      <rPr>
        <b/>
        <vertAlign val="subscript"/>
        <sz val="12"/>
        <rFont val="Arial"/>
        <family val="2"/>
      </rPr>
      <t>T</t>
    </r>
    <r>
      <rPr>
        <b/>
        <sz val="12"/>
        <rFont val="Arial"/>
        <family val="2"/>
      </rPr>
      <t xml:space="preserve"> Value</t>
    </r>
  </si>
  <si>
    <r>
      <t>R</t>
    </r>
    <r>
      <rPr>
        <b/>
        <vertAlign val="subscript"/>
        <sz val="12"/>
        <rFont val="Arial"/>
        <family val="2"/>
      </rPr>
      <t>T</t>
    </r>
  </si>
  <si>
    <t>Setup Slope Compensation</t>
  </si>
  <si>
    <t>V/us</t>
  </si>
  <si>
    <r>
      <t>Calculate V</t>
    </r>
    <r>
      <rPr>
        <b/>
        <vertAlign val="subscript"/>
        <sz val="12"/>
        <rFont val="Arial"/>
        <family val="2"/>
      </rPr>
      <t>SLOPE</t>
    </r>
  </si>
  <si>
    <r>
      <t>V</t>
    </r>
    <r>
      <rPr>
        <b/>
        <vertAlign val="subscript"/>
        <sz val="12"/>
        <rFont val="Arial"/>
        <family val="2"/>
      </rPr>
      <t>SLOPE</t>
    </r>
  </si>
  <si>
    <r>
      <t>Calculate R</t>
    </r>
    <r>
      <rPr>
        <b/>
        <vertAlign val="subscript"/>
        <sz val="12"/>
        <rFont val="Arial"/>
        <family val="2"/>
      </rPr>
      <t>SUM</t>
    </r>
  </si>
  <si>
    <r>
      <t>R</t>
    </r>
    <r>
      <rPr>
        <b/>
        <vertAlign val="subscript"/>
        <sz val="12"/>
        <rFont val="Arial"/>
        <family val="2"/>
      </rPr>
      <t>SUM</t>
    </r>
  </si>
  <si>
    <r>
      <t>Voltage across R</t>
    </r>
    <r>
      <rPr>
        <b/>
        <vertAlign val="subscript"/>
        <sz val="12"/>
        <rFont val="Arial"/>
        <family val="2"/>
      </rPr>
      <t>S</t>
    </r>
    <r>
      <rPr>
        <b/>
        <sz val="12"/>
        <rFont val="Arial"/>
        <family val="2"/>
      </rPr>
      <t xml:space="preserve"> at 15% load</t>
    </r>
  </si>
  <si>
    <r>
      <t>V</t>
    </r>
    <r>
      <rPr>
        <b/>
        <vertAlign val="subscript"/>
        <sz val="12"/>
        <rFont val="Arial"/>
        <family val="2"/>
      </rPr>
      <t>RS</t>
    </r>
  </si>
  <si>
    <r>
      <t>R</t>
    </r>
    <r>
      <rPr>
        <b/>
        <vertAlign val="subscript"/>
        <sz val="12"/>
        <rFont val="Arial"/>
        <family val="2"/>
      </rPr>
      <t>G</t>
    </r>
  </si>
  <si>
    <r>
      <t>R</t>
    </r>
    <r>
      <rPr>
        <b/>
        <vertAlign val="subscript"/>
        <sz val="12"/>
        <rFont val="Arial"/>
        <family val="2"/>
      </rPr>
      <t>E</t>
    </r>
  </si>
  <si>
    <r>
      <t>Calculate R</t>
    </r>
    <r>
      <rPr>
        <b/>
        <vertAlign val="subscript"/>
        <sz val="12"/>
        <rFont val="Arial"/>
        <family val="2"/>
      </rPr>
      <t xml:space="preserve">E </t>
    </r>
  </si>
  <si>
    <r>
      <t>Δ</t>
    </r>
    <r>
      <rPr>
        <b/>
        <sz val="12"/>
        <rFont val="Arial"/>
        <family val="2"/>
      </rPr>
      <t>I</t>
    </r>
    <r>
      <rPr>
        <b/>
        <vertAlign val="subscript"/>
        <sz val="12"/>
        <rFont val="Arial"/>
        <family val="2"/>
      </rPr>
      <t>LOUT</t>
    </r>
  </si>
  <si>
    <t>Partial RMS Current</t>
  </si>
  <si>
    <t>Counter</t>
  </si>
  <si>
    <t>Gco n1/d1</t>
  </si>
  <si>
    <t>Gco 1/d2</t>
  </si>
  <si>
    <t>Gco n1/(d1*d2)</t>
  </si>
  <si>
    <t>Gco(f)</t>
  </si>
  <si>
    <t>|Gco(f)|</t>
  </si>
  <si>
    <t>Gc n1/n1</t>
  </si>
  <si>
    <t>Gc 1/n2</t>
  </si>
  <si>
    <t>Gc(f)</t>
  </si>
  <si>
    <t>Gc(f)*Gco(f)</t>
  </si>
  <si>
    <t>TvdB(f)</t>
  </si>
  <si>
    <r>
      <t>ӨT</t>
    </r>
    <r>
      <rPr>
        <vertAlign val="subscript"/>
        <sz val="10"/>
        <rFont val="Arial"/>
        <family val="2"/>
      </rPr>
      <t>V</t>
    </r>
    <r>
      <rPr>
        <sz val="10"/>
        <rFont val="Arial"/>
      </rPr>
      <t>(f)</t>
    </r>
  </si>
  <si>
    <t>frequency</t>
  </si>
  <si>
    <t>TvdB(f)
MathCad Check</t>
  </si>
  <si>
    <r>
      <t>ӨT</t>
    </r>
    <r>
      <rPr>
        <vertAlign val="subscript"/>
        <sz val="10"/>
        <rFont val="Arial"/>
        <family val="2"/>
      </rPr>
      <t>V</t>
    </r>
    <r>
      <rPr>
        <sz val="10"/>
        <rFont val="Arial"/>
      </rPr>
      <t>(f)
MathCAD
Check</t>
    </r>
  </si>
  <si>
    <t>Frequency</t>
  </si>
  <si>
    <t>ӨTv(f)</t>
  </si>
  <si>
    <t>T1 Primary Magnetizing Inductance &gt; or =</t>
  </si>
  <si>
    <r>
      <t>Calculate T1 Secondary RMS Current (I</t>
    </r>
    <r>
      <rPr>
        <b/>
        <vertAlign val="subscript"/>
        <sz val="12"/>
        <rFont val="Arial"/>
        <family val="2"/>
      </rPr>
      <t>SRMS</t>
    </r>
    <r>
      <rPr>
        <b/>
        <sz val="12"/>
        <rFont val="Arial"/>
        <family val="2"/>
      </rPr>
      <t>)</t>
    </r>
  </si>
  <si>
    <r>
      <t>L</t>
    </r>
    <r>
      <rPr>
        <b/>
        <vertAlign val="subscript"/>
        <sz val="12"/>
        <rFont val="Arial"/>
        <family val="2"/>
      </rPr>
      <t>OUT</t>
    </r>
    <r>
      <rPr>
        <b/>
        <sz val="12"/>
        <rFont val="Arial"/>
        <family val="2"/>
      </rPr>
      <t xml:space="preserve"> equivalent series resistance</t>
    </r>
  </si>
  <si>
    <t>Total Equivalent Series Resistance</t>
  </si>
  <si>
    <t>QE and QF on Resistance</t>
  </si>
  <si>
    <t>Minimum Gate Charge at the beginning of the Miller Plateau</t>
  </si>
  <si>
    <r>
      <t>Approximate QE and QF V</t>
    </r>
    <r>
      <rPr>
        <b/>
        <vertAlign val="subscript"/>
        <sz val="12"/>
        <rFont val="Arial"/>
        <family val="2"/>
      </rPr>
      <t>ds</t>
    </r>
    <r>
      <rPr>
        <b/>
        <sz val="12"/>
        <rFont val="Arial"/>
        <family val="2"/>
      </rPr>
      <t xml:space="preserve"> Rise and Fall Times</t>
    </r>
  </si>
  <si>
    <t>Equivalent Series Resistance</t>
  </si>
  <si>
    <r>
      <t>Estimate C</t>
    </r>
    <r>
      <rPr>
        <b/>
        <vertAlign val="subscript"/>
        <sz val="12"/>
        <rFont val="Arial"/>
        <family val="2"/>
      </rPr>
      <t>IN</t>
    </r>
    <r>
      <rPr>
        <b/>
        <sz val="12"/>
        <rFont val="Arial"/>
        <family val="2"/>
      </rPr>
      <t xml:space="preserve"> Power Dissipation</t>
    </r>
  </si>
  <si>
    <t>Programmed Voltage Reference, Needs to be &lt; 5V</t>
  </si>
  <si>
    <t>Load Impedance at 10% Load</t>
  </si>
  <si>
    <t>Calculate Soft Start Capacitor</t>
  </si>
  <si>
    <t>Calculate 1/4 LC Tank Frequency and set AB Initial Delay</t>
  </si>
  <si>
    <t>Calculate AB timing resistor</t>
  </si>
  <si>
    <r>
      <t>Set Initial CD delay to AB Delay t</t>
    </r>
    <r>
      <rPr>
        <b/>
        <vertAlign val="subscript"/>
        <sz val="12"/>
        <rFont val="Arial"/>
        <family val="2"/>
      </rPr>
      <t>ABSET</t>
    </r>
    <r>
      <rPr>
        <b/>
        <sz val="12"/>
        <rFont val="Arial"/>
        <family val="2"/>
      </rPr>
      <t xml:space="preserve"> = t</t>
    </r>
    <r>
      <rPr>
        <b/>
        <vertAlign val="subscript"/>
        <sz val="12"/>
        <rFont val="Arial"/>
        <family val="2"/>
      </rPr>
      <t>CDSET</t>
    </r>
  </si>
  <si>
    <r>
      <t>Calculate Magnetizing Current during I</t>
    </r>
    <r>
      <rPr>
        <b/>
        <vertAlign val="subscript"/>
        <sz val="12"/>
        <rFont val="Arial"/>
        <family val="2"/>
      </rPr>
      <t>LOUT</t>
    </r>
    <r>
      <rPr>
        <b/>
        <sz val="12"/>
        <rFont val="Arial"/>
        <family val="2"/>
      </rPr>
      <t xml:space="preserve"> down slope</t>
    </r>
  </si>
  <si>
    <t>Setup DCM Comparator</t>
  </si>
  <si>
    <t>Voltage Applied to FET Gate ≈ VDD</t>
  </si>
  <si>
    <r>
      <t>Double pole of G</t>
    </r>
    <r>
      <rPr>
        <b/>
        <vertAlign val="subscript"/>
        <sz val="12"/>
        <rFont val="Arial"/>
        <family val="2"/>
      </rPr>
      <t>CO</t>
    </r>
    <r>
      <rPr>
        <b/>
        <sz val="12"/>
        <rFont val="Arial"/>
        <family val="2"/>
      </rPr>
      <t>(f)</t>
    </r>
  </si>
  <si>
    <r>
      <t>f</t>
    </r>
    <r>
      <rPr>
        <b/>
        <vertAlign val="subscript"/>
        <sz val="12"/>
        <rFont val="Arial"/>
        <family val="2"/>
      </rPr>
      <t>PP</t>
    </r>
  </si>
  <si>
    <r>
      <t>Select Shim Inductor (L</t>
    </r>
    <r>
      <rPr>
        <b/>
        <vertAlign val="subscript"/>
        <sz val="12"/>
        <color indexed="9"/>
        <rFont val="Arial"/>
        <family val="2"/>
      </rPr>
      <t>S</t>
    </r>
    <r>
      <rPr>
        <b/>
        <sz val="12"/>
        <color indexed="9"/>
        <rFont val="Arial"/>
        <family val="2"/>
      </rPr>
      <t>)</t>
    </r>
  </si>
  <si>
    <r>
      <t>Selecting Output Inductor (L</t>
    </r>
    <r>
      <rPr>
        <b/>
        <vertAlign val="subscript"/>
        <sz val="12"/>
        <color indexed="9"/>
        <rFont val="Arial"/>
        <family val="2"/>
      </rPr>
      <t>OUT</t>
    </r>
    <r>
      <rPr>
        <b/>
        <sz val="12"/>
        <color indexed="9"/>
        <rFont val="Arial"/>
        <family val="2"/>
      </rPr>
      <t>)</t>
    </r>
  </si>
  <si>
    <r>
      <t>Selecting Output Capacitance (C</t>
    </r>
    <r>
      <rPr>
        <b/>
        <vertAlign val="subscript"/>
        <sz val="12"/>
        <color indexed="9"/>
        <rFont val="Arial"/>
        <family val="2"/>
      </rPr>
      <t>OUT</t>
    </r>
    <r>
      <rPr>
        <b/>
        <sz val="12"/>
        <color indexed="9"/>
        <rFont val="Arial"/>
        <family val="2"/>
      </rPr>
      <t>)</t>
    </r>
  </si>
  <si>
    <r>
      <t>Input Capacitance Calculations (C</t>
    </r>
    <r>
      <rPr>
        <b/>
        <vertAlign val="subscript"/>
        <sz val="12"/>
        <color indexed="9"/>
        <rFont val="Arial"/>
        <family val="2"/>
      </rPr>
      <t>IN</t>
    </r>
    <r>
      <rPr>
        <b/>
        <sz val="12"/>
        <color indexed="9"/>
        <rFont val="Arial"/>
        <family val="2"/>
      </rPr>
      <t>)</t>
    </r>
  </si>
  <si>
    <t>Recalculate Power Budget 
This is the remaining power left for the CT network, IC and IC sensing resistors</t>
  </si>
  <si>
    <r>
      <t>Setting up Voltage Amplifier Reference G</t>
    </r>
    <r>
      <rPr>
        <b/>
        <vertAlign val="subscript"/>
        <sz val="12"/>
        <color indexed="9"/>
        <rFont val="Arial"/>
        <family val="2"/>
      </rPr>
      <t>C</t>
    </r>
    <r>
      <rPr>
        <b/>
        <sz val="12"/>
        <color indexed="9"/>
        <rFont val="Arial"/>
        <family val="2"/>
      </rPr>
      <t>(f)</t>
    </r>
  </si>
  <si>
    <r>
      <t>Select Soft Start Capacitor (C</t>
    </r>
    <r>
      <rPr>
        <b/>
        <vertAlign val="subscript"/>
        <sz val="12"/>
        <color indexed="9"/>
        <rFont val="Arial"/>
        <family val="2"/>
      </rPr>
      <t>SS</t>
    </r>
    <r>
      <rPr>
        <b/>
        <sz val="12"/>
        <color indexed="9"/>
        <rFont val="Arial"/>
        <family val="2"/>
      </rPr>
      <t>)</t>
    </r>
  </si>
  <si>
    <t>It is recommended that you read this application note before using this design tool</t>
  </si>
  <si>
    <t>Please Refer to Figure of T1 Current</t>
  </si>
  <si>
    <r>
      <t>Primary Magnetizing Current Based on L</t>
    </r>
    <r>
      <rPr>
        <b/>
        <vertAlign val="subscript"/>
        <sz val="12"/>
        <rFont val="Arial"/>
        <family val="2"/>
      </rPr>
      <t>MAG</t>
    </r>
  </si>
  <si>
    <r>
      <t>Calculate T1 Primary RMS Current (I</t>
    </r>
    <r>
      <rPr>
        <b/>
        <vertAlign val="subscript"/>
        <sz val="12"/>
        <rFont val="Arial"/>
        <family val="2"/>
      </rPr>
      <t>PRMS</t>
    </r>
    <r>
      <rPr>
        <b/>
        <sz val="12"/>
        <rFont val="Arial"/>
        <family val="2"/>
      </rPr>
      <t>)</t>
    </r>
  </si>
  <si>
    <r>
      <t>Setting up the current sense network (CT, R</t>
    </r>
    <r>
      <rPr>
        <b/>
        <vertAlign val="subscript"/>
        <sz val="12"/>
        <color indexed="9"/>
        <rFont val="Arial"/>
        <family val="2"/>
      </rPr>
      <t>S</t>
    </r>
    <r>
      <rPr>
        <b/>
        <sz val="12"/>
        <color indexed="9"/>
        <rFont val="Arial"/>
        <family val="2"/>
      </rPr>
      <t>, R</t>
    </r>
    <r>
      <rPr>
        <b/>
        <vertAlign val="subscript"/>
        <sz val="12"/>
        <color indexed="9"/>
        <rFont val="Arial"/>
        <family val="2"/>
      </rPr>
      <t xml:space="preserve">RE, </t>
    </r>
    <r>
      <rPr>
        <b/>
        <sz val="12"/>
        <color indexed="9"/>
        <rFont val="Arial"/>
        <family val="2"/>
      </rPr>
      <t>D</t>
    </r>
    <r>
      <rPr>
        <b/>
        <vertAlign val="subscript"/>
        <sz val="12"/>
        <color indexed="9"/>
        <rFont val="Arial"/>
        <family val="2"/>
      </rPr>
      <t>A</t>
    </r>
    <r>
      <rPr>
        <b/>
        <sz val="12"/>
        <color indexed="9"/>
        <rFont val="Arial"/>
        <family val="2"/>
      </rPr>
      <t>):</t>
    </r>
  </si>
  <si>
    <t>Closest Standard Capacitor Value</t>
  </si>
  <si>
    <t>Closest Standard Resistor Value (E48)</t>
  </si>
  <si>
    <t>4. The spreadsheet will calculate the ideal values and display the results in red type.</t>
  </si>
  <si>
    <r>
      <t>L</t>
    </r>
    <r>
      <rPr>
        <b/>
        <vertAlign val="subscript"/>
        <sz val="12"/>
        <rFont val="Arial"/>
        <family val="2"/>
      </rPr>
      <t>LK</t>
    </r>
  </si>
  <si>
    <t>Measured Transformer Primary Leakage Inductance</t>
  </si>
  <si>
    <t>&gt; Invalid parameters entered in yellow cells</t>
  </si>
  <si>
    <t>&gt; Design cannot calculate realistic values for your design parameters</t>
  </si>
  <si>
    <t>&gt; Efficiency goal with selected components may not be achievable</t>
  </si>
  <si>
    <t>Warning Negative Numbers in Calculated Values Could Indicate</t>
  </si>
  <si>
    <t>Select Transformer Turns Ratio</t>
  </si>
  <si>
    <r>
      <t>R</t>
    </r>
    <r>
      <rPr>
        <b/>
        <vertAlign val="subscript"/>
        <sz val="12"/>
        <rFont val="Arial"/>
        <family val="2"/>
      </rPr>
      <t>DA1</t>
    </r>
  </si>
  <si>
    <r>
      <t>V</t>
    </r>
    <r>
      <rPr>
        <b/>
        <vertAlign val="subscript"/>
        <sz val="12"/>
        <rFont val="Arial"/>
        <family val="2"/>
      </rPr>
      <t>ADEL</t>
    </r>
  </si>
  <si>
    <t>Calculate Voltage at ADEL pin to Meet Delay Range</t>
  </si>
  <si>
    <r>
      <t>Select Standard Resistor for R</t>
    </r>
    <r>
      <rPr>
        <b/>
        <vertAlign val="subscript"/>
        <sz val="12"/>
        <rFont val="Arial"/>
        <family val="2"/>
      </rPr>
      <t xml:space="preserve">DA1 </t>
    </r>
    <r>
      <rPr>
        <b/>
        <sz val="12"/>
        <rFont val="Arial"/>
        <family val="2"/>
      </rPr>
      <t>for t</t>
    </r>
    <r>
      <rPr>
        <b/>
        <vertAlign val="subscript"/>
        <sz val="12"/>
        <rFont val="Arial"/>
        <family val="2"/>
      </rPr>
      <t xml:space="preserve">ABSET </t>
    </r>
    <r>
      <rPr>
        <b/>
        <sz val="12"/>
        <rFont val="Arial"/>
        <family val="2"/>
      </rPr>
      <t>Delay Range</t>
    </r>
  </si>
  <si>
    <r>
      <t>Calculate R</t>
    </r>
    <r>
      <rPr>
        <b/>
        <vertAlign val="subscript"/>
        <sz val="12"/>
        <rFont val="Arial"/>
        <family val="2"/>
      </rPr>
      <t>DA2</t>
    </r>
  </si>
  <si>
    <r>
      <t>R</t>
    </r>
    <r>
      <rPr>
        <b/>
        <vertAlign val="subscript"/>
        <sz val="12"/>
        <rFont val="Arial"/>
        <family val="2"/>
      </rPr>
      <t>DA2</t>
    </r>
  </si>
  <si>
    <r>
      <t>Select Standard Resistor for R</t>
    </r>
    <r>
      <rPr>
        <b/>
        <vertAlign val="subscript"/>
        <sz val="12"/>
        <rFont val="Arial"/>
        <family val="2"/>
      </rPr>
      <t xml:space="preserve">DA2 </t>
    </r>
    <r>
      <rPr>
        <b/>
        <sz val="12"/>
        <rFont val="Arial"/>
        <family val="2"/>
      </rPr>
      <t>for t</t>
    </r>
    <r>
      <rPr>
        <b/>
        <vertAlign val="subscript"/>
        <sz val="12"/>
        <rFont val="Arial"/>
        <family val="2"/>
      </rPr>
      <t xml:space="preserve">ABSET </t>
    </r>
    <r>
      <rPr>
        <b/>
        <sz val="12"/>
        <rFont val="Arial"/>
        <family val="2"/>
      </rPr>
      <t>Delay Range</t>
    </r>
  </si>
  <si>
    <r>
      <t>Recalculate V</t>
    </r>
    <r>
      <rPr>
        <b/>
        <vertAlign val="subscript"/>
        <sz val="12"/>
        <rFont val="Arial"/>
        <family val="2"/>
      </rPr>
      <t>ADEL</t>
    </r>
    <r>
      <rPr>
        <b/>
        <sz val="12"/>
        <rFont val="Arial"/>
        <family val="2"/>
      </rPr>
      <t xml:space="preserve"> Based on R</t>
    </r>
    <r>
      <rPr>
        <b/>
        <vertAlign val="subscript"/>
        <sz val="12"/>
        <rFont val="Arial"/>
        <family val="2"/>
      </rPr>
      <t>DA1</t>
    </r>
    <r>
      <rPr>
        <b/>
        <sz val="12"/>
        <rFont val="Arial"/>
        <family val="2"/>
      </rPr>
      <t xml:space="preserve"> and R</t>
    </r>
    <r>
      <rPr>
        <b/>
        <vertAlign val="subscript"/>
        <sz val="12"/>
        <rFont val="Arial"/>
        <family val="2"/>
      </rPr>
      <t>DA2</t>
    </r>
    <r>
      <rPr>
        <b/>
        <sz val="12"/>
        <rFont val="Arial"/>
        <family val="2"/>
      </rPr>
      <t xml:space="preserve"> Selection</t>
    </r>
  </si>
  <si>
    <r>
      <t>Enter/Fine Tune t</t>
    </r>
    <r>
      <rPr>
        <b/>
        <vertAlign val="subscript"/>
        <sz val="12"/>
        <rFont val="Arial"/>
        <family val="2"/>
      </rPr>
      <t>ABSET</t>
    </r>
    <r>
      <rPr>
        <b/>
        <sz val="12"/>
        <rFont val="Arial"/>
        <family val="2"/>
      </rPr>
      <t xml:space="preserve"> Based on Valley Switching/ZVS</t>
    </r>
  </si>
  <si>
    <r>
      <t>Setting AB Initial Turn-on Delay (t</t>
    </r>
    <r>
      <rPr>
        <b/>
        <vertAlign val="subscript"/>
        <sz val="12"/>
        <color indexed="9"/>
        <rFont val="Arial"/>
        <family val="2"/>
      </rPr>
      <t>ABSET</t>
    </r>
    <r>
      <rPr>
        <b/>
        <sz val="12"/>
        <color indexed="9"/>
        <rFont val="Arial"/>
        <family val="2"/>
      </rPr>
      <t>)</t>
    </r>
  </si>
  <si>
    <r>
      <t>Setting CD Initial Turn-on Delay (t</t>
    </r>
    <r>
      <rPr>
        <b/>
        <vertAlign val="subscript"/>
        <sz val="12"/>
        <color indexed="9"/>
        <rFont val="Arial"/>
        <family val="2"/>
      </rPr>
      <t>CDSET</t>
    </r>
    <r>
      <rPr>
        <b/>
        <sz val="12"/>
        <color indexed="9"/>
        <rFont val="Arial"/>
        <family val="2"/>
      </rPr>
      <t>)</t>
    </r>
  </si>
  <si>
    <r>
      <t>R</t>
    </r>
    <r>
      <rPr>
        <b/>
        <vertAlign val="subscript"/>
        <sz val="12"/>
        <rFont val="Arial"/>
        <family val="2"/>
      </rPr>
      <t>CA1</t>
    </r>
  </si>
  <si>
    <r>
      <t>Select Standard Resistor for R</t>
    </r>
    <r>
      <rPr>
        <b/>
        <vertAlign val="subscript"/>
        <sz val="12"/>
        <rFont val="Arial"/>
        <family val="2"/>
      </rPr>
      <t xml:space="preserve">CA1 </t>
    </r>
    <r>
      <rPr>
        <b/>
        <sz val="12"/>
        <rFont val="Arial"/>
        <family val="2"/>
      </rPr>
      <t>for t</t>
    </r>
    <r>
      <rPr>
        <b/>
        <vertAlign val="subscript"/>
        <sz val="12"/>
        <rFont val="Arial"/>
        <family val="2"/>
      </rPr>
      <t xml:space="preserve">AFSET </t>
    </r>
    <r>
      <rPr>
        <b/>
        <sz val="12"/>
        <rFont val="Arial"/>
        <family val="2"/>
      </rPr>
      <t>Delay Range</t>
    </r>
  </si>
  <si>
    <r>
      <t>Calculate R</t>
    </r>
    <r>
      <rPr>
        <b/>
        <vertAlign val="subscript"/>
        <sz val="12"/>
        <rFont val="Arial"/>
        <family val="2"/>
      </rPr>
      <t>CA2</t>
    </r>
  </si>
  <si>
    <r>
      <t>R</t>
    </r>
    <r>
      <rPr>
        <b/>
        <vertAlign val="subscript"/>
        <sz val="12"/>
        <rFont val="Arial"/>
        <family val="2"/>
      </rPr>
      <t>CA2</t>
    </r>
  </si>
  <si>
    <t>Calculate Voltage at ADELEF pin to Meet Delay Range</t>
  </si>
  <si>
    <r>
      <t>V</t>
    </r>
    <r>
      <rPr>
        <b/>
        <vertAlign val="subscript"/>
        <sz val="12"/>
        <rFont val="Arial"/>
        <family val="2"/>
      </rPr>
      <t>ADELEF</t>
    </r>
  </si>
  <si>
    <r>
      <t>t</t>
    </r>
    <r>
      <rPr>
        <b/>
        <vertAlign val="subscript"/>
        <sz val="12"/>
        <rFont val="Arial"/>
        <family val="2"/>
      </rPr>
      <t xml:space="preserve">AFSET </t>
    </r>
    <r>
      <rPr>
        <b/>
        <sz val="12"/>
        <rFont val="Arial"/>
        <family val="2"/>
      </rPr>
      <t>= t</t>
    </r>
    <r>
      <rPr>
        <b/>
        <vertAlign val="subscript"/>
        <sz val="12"/>
        <rFont val="Arial"/>
        <family val="2"/>
      </rPr>
      <t>BESET</t>
    </r>
  </si>
  <si>
    <r>
      <t>Enter/Fine Tune t</t>
    </r>
    <r>
      <rPr>
        <b/>
        <vertAlign val="subscript"/>
        <sz val="12"/>
        <rFont val="Arial"/>
        <family val="2"/>
      </rPr>
      <t xml:space="preserve">AFSET </t>
    </r>
    <r>
      <rPr>
        <b/>
        <sz val="12"/>
        <rFont val="Arial"/>
        <family val="2"/>
      </rPr>
      <t>and t</t>
    </r>
    <r>
      <rPr>
        <b/>
        <vertAlign val="subscript"/>
        <sz val="12"/>
        <rFont val="Arial"/>
        <family val="2"/>
      </rPr>
      <t>AFSET</t>
    </r>
  </si>
  <si>
    <t>Select Standard Resistor Value</t>
  </si>
  <si>
    <r>
      <t>Setting AF and BE turnoff delay (t</t>
    </r>
    <r>
      <rPr>
        <b/>
        <vertAlign val="subscript"/>
        <sz val="12"/>
        <color indexed="9"/>
        <rFont val="Arial"/>
        <family val="2"/>
      </rPr>
      <t>AFSET</t>
    </r>
    <r>
      <rPr>
        <b/>
        <sz val="12"/>
        <color indexed="9"/>
        <rFont val="Arial"/>
        <family val="2"/>
      </rPr>
      <t>, t</t>
    </r>
    <r>
      <rPr>
        <b/>
        <vertAlign val="subscript"/>
        <sz val="12"/>
        <color indexed="9"/>
        <rFont val="Arial"/>
        <family val="2"/>
      </rPr>
      <t>BESET</t>
    </r>
    <r>
      <rPr>
        <b/>
        <sz val="12"/>
        <color indexed="9"/>
        <rFont val="Arial"/>
        <family val="2"/>
      </rPr>
      <t>)</t>
    </r>
  </si>
  <si>
    <t>Select Standard Capacitor Value</t>
  </si>
  <si>
    <t>Select Standard Resistor Value (Between 13K and 90K ohm)</t>
  </si>
  <si>
    <t>Select Standard Resistor Value(Between 13K and 90K ohm)</t>
  </si>
  <si>
    <t>This design tool was generated based on the information in application report SLUA560</t>
  </si>
  <si>
    <r>
      <t>Δ</t>
    </r>
    <r>
      <rPr>
        <b/>
        <sz val="12"/>
        <rFont val="Arial"/>
        <family val="2"/>
      </rPr>
      <t>I</t>
    </r>
    <r>
      <rPr>
        <b/>
        <vertAlign val="subscript"/>
        <sz val="12"/>
        <rFont val="Arial"/>
        <family val="2"/>
      </rPr>
      <t>LMAG</t>
    </r>
  </si>
  <si>
    <t>6. Note this design tool was generated to accompany application report     SLUA560</t>
  </si>
  <si>
    <t>Enter Design Parameters and Chosen Component Values in Yellow Cells</t>
  </si>
  <si>
    <r>
      <t>V</t>
    </r>
    <r>
      <rPr>
        <b/>
        <vertAlign val="subscript"/>
        <sz val="12"/>
        <rFont val="Arial"/>
        <family val="2"/>
      </rPr>
      <t>SLOPE1</t>
    </r>
  </si>
  <si>
    <r>
      <t>V</t>
    </r>
    <r>
      <rPr>
        <b/>
        <vertAlign val="subscript"/>
        <sz val="12"/>
        <rFont val="Arial"/>
        <family val="2"/>
      </rPr>
      <t>SLOPE2</t>
    </r>
  </si>
  <si>
    <r>
      <t>Calculate V</t>
    </r>
    <r>
      <rPr>
        <b/>
        <vertAlign val="subscript"/>
        <sz val="12"/>
        <rFont val="Arial"/>
        <family val="2"/>
      </rPr>
      <t>SLOPE1</t>
    </r>
  </si>
  <si>
    <r>
      <t>Calculate V</t>
    </r>
    <r>
      <rPr>
        <b/>
        <vertAlign val="subscript"/>
        <sz val="12"/>
        <rFont val="Arial"/>
        <family val="2"/>
      </rPr>
      <t>SLOPE2</t>
    </r>
  </si>
  <si>
    <t>Assumes the centre tapped secondary - as per Functional Schematic</t>
  </si>
  <si>
    <t>UCC28950 Excel Design Tool: SLUC222D</t>
  </si>
  <si>
    <t>Revision: D</t>
  </si>
  <si>
    <t>UCC28950 Design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</si>
</sst>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3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26"/>
      <color indexed="10"/>
      <name val="Arial"/>
      <family val="2"/>
    </font>
    <font>
      <sz val="20"/>
      <name val="Arial"/>
      <family val="2"/>
    </font>
    <font>
      <b/>
      <vertAlign val="subscript"/>
      <sz val="12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4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color indexed="17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22"/>
      <name val="Arial"/>
      <family val="2"/>
    </font>
    <font>
      <sz val="14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vertAlign val="subscript"/>
      <sz val="10"/>
      <name val="Arial"/>
      <family val="2"/>
    </font>
    <font>
      <b/>
      <sz val="12"/>
      <color indexed="9"/>
      <name val="Arial"/>
      <family val="2"/>
    </font>
    <font>
      <b/>
      <vertAlign val="subscript"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53"/>
      <name val="Arial"/>
      <family val="2"/>
    </font>
    <font>
      <b/>
      <sz val="12"/>
      <color rgb="FFFF0000"/>
      <name val="Arial"/>
      <family val="2"/>
    </font>
    <font>
      <sz val="11"/>
      <color rgb="FF00B050"/>
      <name val="Calibri"/>
      <family val="2"/>
    </font>
    <font>
      <b/>
      <sz val="12"/>
      <color rgb="FF00B05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2" borderId="0" xfId="0" applyFont="1" applyFill="1" applyAlignment="1">
      <alignment vertical="center"/>
    </xf>
    <xf numFmtId="0" fontId="7" fillId="3" borderId="0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8" fillId="3" borderId="0" xfId="0" applyFont="1" applyFill="1" applyBorder="1" applyProtection="1">
      <protection hidden="1"/>
    </xf>
    <xf numFmtId="0" fontId="1" fillId="3" borderId="0" xfId="0" applyFont="1" applyFill="1" applyBorder="1" applyProtection="1">
      <protection hidden="1"/>
    </xf>
    <xf numFmtId="49" fontId="1" fillId="3" borderId="0" xfId="0" applyNumberFormat="1" applyFont="1" applyFill="1" applyBorder="1" applyProtection="1">
      <protection hidden="1"/>
    </xf>
    <xf numFmtId="0" fontId="7" fillId="3" borderId="1" xfId="0" applyFont="1" applyFill="1" applyBorder="1" applyProtection="1">
      <protection hidden="1"/>
    </xf>
    <xf numFmtId="0" fontId="1" fillId="3" borderId="2" xfId="0" applyFont="1" applyFill="1" applyBorder="1" applyProtection="1">
      <protection hidden="1"/>
    </xf>
    <xf numFmtId="0" fontId="9" fillId="4" borderId="3" xfId="0" applyFont="1" applyFill="1" applyBorder="1" applyProtection="1">
      <protection hidden="1"/>
    </xf>
    <xf numFmtId="1" fontId="7" fillId="3" borderId="0" xfId="0" applyNumberFormat="1" applyFont="1" applyFill="1" applyBorder="1" applyProtection="1">
      <protection hidden="1"/>
    </xf>
    <xf numFmtId="1" fontId="11" fillId="5" borderId="4" xfId="0" applyNumberFormat="1" applyFont="1" applyFill="1" applyBorder="1" applyAlignment="1" applyProtection="1">
      <alignment horizontal="center"/>
      <protection hidden="1"/>
    </xf>
    <xf numFmtId="0" fontId="11" fillId="5" borderId="5" xfId="0" applyFont="1" applyFill="1" applyBorder="1" applyProtection="1">
      <protection hidden="1"/>
    </xf>
    <xf numFmtId="0" fontId="7" fillId="3" borderId="0" xfId="0" applyFont="1" applyFill="1" applyProtection="1">
      <protection hidden="1"/>
    </xf>
    <xf numFmtId="0" fontId="10" fillId="6" borderId="6" xfId="0" applyFont="1" applyFill="1" applyBorder="1" applyAlignment="1">
      <alignment horizontal="center" wrapText="1"/>
    </xf>
    <xf numFmtId="0" fontId="10" fillId="6" borderId="7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0" fontId="10" fillId="7" borderId="8" xfId="0" applyFont="1" applyFill="1" applyBorder="1" applyAlignment="1">
      <alignment horizontal="center" wrapText="1"/>
    </xf>
    <xf numFmtId="0" fontId="9" fillId="4" borderId="9" xfId="0" applyFont="1" applyFill="1" applyBorder="1" applyAlignment="1" applyProtection="1">
      <alignment horizontal="center"/>
      <protection hidden="1"/>
    </xf>
    <xf numFmtId="0" fontId="9" fillId="4" borderId="10" xfId="0" applyFont="1" applyFill="1" applyBorder="1" applyProtection="1">
      <protection hidden="1"/>
    </xf>
    <xf numFmtId="0" fontId="1" fillId="3" borderId="11" xfId="0" applyFont="1" applyFill="1" applyBorder="1" applyProtection="1">
      <protection hidden="1"/>
    </xf>
    <xf numFmtId="1" fontId="12" fillId="3" borderId="0" xfId="0" applyNumberFormat="1" applyFont="1" applyFill="1" applyBorder="1" applyProtection="1">
      <protection hidden="1"/>
    </xf>
    <xf numFmtId="165" fontId="13" fillId="3" borderId="0" xfId="0" applyNumberFormat="1" applyFont="1" applyFill="1" applyBorder="1" applyAlignment="1" applyProtection="1">
      <alignment horizontal="center"/>
      <protection hidden="1"/>
    </xf>
    <xf numFmtId="2" fontId="12" fillId="3" borderId="0" xfId="0" applyNumberFormat="1" applyFont="1" applyFill="1" applyBorder="1" applyAlignment="1" applyProtection="1">
      <alignment horizontal="center"/>
      <protection hidden="1"/>
    </xf>
    <xf numFmtId="0" fontId="1" fillId="3" borderId="12" xfId="0" applyFont="1" applyFill="1" applyBorder="1" applyProtection="1">
      <protection hidden="1"/>
    </xf>
    <xf numFmtId="0" fontId="14" fillId="3" borderId="0" xfId="0" applyFont="1" applyFill="1" applyBorder="1" applyProtection="1">
      <protection hidden="1"/>
    </xf>
    <xf numFmtId="0" fontId="15" fillId="3" borderId="0" xfId="0" applyFont="1" applyFill="1" applyBorder="1" applyAlignment="1" applyProtection="1">
      <alignment horizontal="center" wrapText="1"/>
      <protection hidden="1"/>
    </xf>
    <xf numFmtId="2" fontId="1" fillId="3" borderId="0" xfId="0" applyNumberFormat="1" applyFont="1" applyFill="1" applyBorder="1" applyAlignment="1" applyProtection="1">
      <alignment horizontal="center"/>
      <protection hidden="1"/>
    </xf>
    <xf numFmtId="1" fontId="16" fillId="3" borderId="0" xfId="0" applyNumberFormat="1" applyFont="1" applyFill="1" applyBorder="1" applyProtection="1"/>
    <xf numFmtId="0" fontId="1" fillId="3" borderId="13" xfId="0" applyFont="1" applyFill="1" applyBorder="1" applyProtection="1">
      <protection hidden="1"/>
    </xf>
    <xf numFmtId="0" fontId="10" fillId="8" borderId="14" xfId="0" applyFont="1" applyFill="1" applyBorder="1" applyAlignment="1">
      <alignment horizontal="center" wrapText="1"/>
    </xf>
    <xf numFmtId="0" fontId="16" fillId="3" borderId="0" xfId="0" applyFont="1" applyFill="1" applyBorder="1" applyProtection="1">
      <protection hidden="1"/>
    </xf>
    <xf numFmtId="0" fontId="10" fillId="8" borderId="6" xfId="0" applyFont="1" applyFill="1" applyBorder="1" applyAlignment="1">
      <alignment horizontal="center" wrapText="1"/>
    </xf>
    <xf numFmtId="0" fontId="10" fillId="8" borderId="7" xfId="0" applyFont="1" applyFill="1" applyBorder="1" applyAlignment="1">
      <alignment horizontal="center" wrapText="1"/>
    </xf>
    <xf numFmtId="0" fontId="1" fillId="3" borderId="0" xfId="0" applyFont="1" applyFill="1" applyBorder="1" applyAlignment="1" applyProtection="1">
      <alignment horizontal="center"/>
      <protection hidden="1"/>
    </xf>
    <xf numFmtId="0" fontId="0" fillId="3" borderId="0" xfId="0" applyFill="1" applyBorder="1" applyAlignment="1">
      <alignment horizontal="center"/>
    </xf>
    <xf numFmtId="0" fontId="11" fillId="3" borderId="0" xfId="0" applyFont="1" applyFill="1" applyBorder="1" applyProtection="1">
      <protection hidden="1"/>
    </xf>
    <xf numFmtId="0" fontId="1" fillId="3" borderId="0" xfId="0" applyFont="1" applyFill="1"/>
    <xf numFmtId="49" fontId="17" fillId="5" borderId="6" xfId="0" applyNumberFormat="1" applyFont="1" applyFill="1" applyBorder="1" applyAlignment="1">
      <alignment horizontal="center" wrapText="1"/>
    </xf>
    <xf numFmtId="49" fontId="17" fillId="5" borderId="7" xfId="0" applyNumberFormat="1" applyFont="1" applyFill="1" applyBorder="1" applyAlignment="1">
      <alignment horizontal="center" wrapText="1"/>
    </xf>
    <xf numFmtId="0" fontId="18" fillId="3" borderId="0" xfId="0" applyFont="1" applyFill="1"/>
    <xf numFmtId="49" fontId="0" fillId="3" borderId="0" xfId="0" applyNumberFormat="1" applyFill="1" applyBorder="1" applyProtection="1"/>
    <xf numFmtId="49" fontId="17" fillId="5" borderId="8" xfId="0" applyNumberFormat="1" applyFont="1" applyFill="1" applyBorder="1" applyAlignment="1">
      <alignment horizontal="center" wrapText="1"/>
    </xf>
    <xf numFmtId="49" fontId="12" fillId="3" borderId="0" xfId="0" applyNumberFormat="1" applyFont="1" applyFill="1" applyBorder="1" applyProtection="1">
      <protection hidden="1"/>
    </xf>
    <xf numFmtId="0" fontId="12" fillId="3" borderId="0" xfId="0" applyFont="1" applyFill="1" applyBorder="1" applyProtection="1">
      <protection hidden="1"/>
    </xf>
    <xf numFmtId="0" fontId="12" fillId="3" borderId="0" xfId="0" applyFont="1" applyFill="1" applyProtection="1">
      <protection hidden="1"/>
    </xf>
    <xf numFmtId="0" fontId="17" fillId="3" borderId="0" xfId="0" applyFont="1" applyFill="1" applyBorder="1" applyAlignment="1" applyProtection="1">
      <alignment horizontal="center" wrapText="1"/>
      <protection hidden="1"/>
    </xf>
    <xf numFmtId="0" fontId="12" fillId="3" borderId="0" xfId="0" applyFont="1" applyFill="1"/>
    <xf numFmtId="0" fontId="19" fillId="3" borderId="0" xfId="0" applyFont="1" applyFill="1" applyProtection="1">
      <protection hidden="1"/>
    </xf>
    <xf numFmtId="0" fontId="0" fillId="3" borderId="0" xfId="0" applyFill="1" applyBorder="1" applyAlignment="1">
      <alignment wrapText="1"/>
    </xf>
    <xf numFmtId="0" fontId="0" fillId="3" borderId="0" xfId="0" applyFill="1" applyProtection="1">
      <protection hidden="1"/>
    </xf>
    <xf numFmtId="0" fontId="2" fillId="3" borderId="15" xfId="0" applyFont="1" applyFill="1" applyBorder="1" applyAlignment="1" applyProtection="1">
      <alignment horizontal="left"/>
    </xf>
    <xf numFmtId="0" fontId="2" fillId="9" borderId="15" xfId="0" applyFont="1" applyFill="1" applyBorder="1" applyAlignment="1" applyProtection="1">
      <alignment horizontal="left"/>
      <protection locked="0"/>
    </xf>
    <xf numFmtId="9" fontId="2" fillId="9" borderId="15" xfId="0" applyNumberFormat="1" applyFont="1" applyFill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14" fontId="2" fillId="0" borderId="15" xfId="0" applyNumberFormat="1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 wrapText="1"/>
    </xf>
    <xf numFmtId="0" fontId="2" fillId="10" borderId="15" xfId="0" applyFont="1" applyFill="1" applyBorder="1" applyAlignment="1" applyProtection="1">
      <alignment horizontal="left"/>
    </xf>
    <xf numFmtId="0" fontId="2" fillId="11" borderId="15" xfId="0" applyFont="1" applyFill="1" applyBorder="1" applyAlignment="1" applyProtection="1">
      <alignment horizontal="left"/>
    </xf>
    <xf numFmtId="164" fontId="2" fillId="0" borderId="15" xfId="0" applyNumberFormat="1" applyFont="1" applyBorder="1" applyAlignment="1" applyProtection="1">
      <alignment horizontal="left"/>
    </xf>
    <xf numFmtId="2" fontId="2" fillId="0" borderId="15" xfId="0" applyNumberFormat="1" applyFont="1" applyBorder="1" applyAlignment="1" applyProtection="1">
      <alignment horizontal="left"/>
    </xf>
    <xf numFmtId="0" fontId="6" fillId="0" borderId="15" xfId="0" applyFont="1" applyBorder="1" applyAlignment="1" applyProtection="1">
      <alignment horizontal="left"/>
    </xf>
    <xf numFmtId="0" fontId="6" fillId="3" borderId="15" xfId="0" applyFont="1" applyFill="1" applyBorder="1" applyAlignment="1" applyProtection="1">
      <alignment horizontal="left"/>
    </xf>
    <xf numFmtId="0" fontId="2" fillId="3" borderId="15" xfId="0" applyFont="1" applyFill="1" applyBorder="1" applyAlignment="1" applyProtection="1">
      <alignment horizontal="left" wrapText="1"/>
    </xf>
    <xf numFmtId="1" fontId="2" fillId="3" borderId="15" xfId="0" applyNumberFormat="1" applyFont="1" applyFill="1" applyBorder="1" applyAlignment="1" applyProtection="1">
      <alignment horizontal="left"/>
    </xf>
    <xf numFmtId="0" fontId="22" fillId="3" borderId="15" xfId="0" applyFont="1" applyFill="1" applyBorder="1" applyAlignment="1" applyProtection="1">
      <alignment horizontal="left" wrapText="1"/>
    </xf>
    <xf numFmtId="0" fontId="2" fillId="0" borderId="15" xfId="0" applyFont="1" applyBorder="1" applyAlignment="1" applyProtection="1">
      <alignment horizontal="left"/>
      <protection locked="0"/>
    </xf>
    <xf numFmtId="0" fontId="2" fillId="11" borderId="15" xfId="0" applyFont="1" applyFill="1" applyBorder="1" applyAlignment="1" applyProtection="1">
      <alignment horizontal="left" wrapText="1"/>
    </xf>
    <xf numFmtId="164" fontId="11" fillId="5" borderId="16" xfId="0" applyNumberFormat="1" applyFont="1" applyFill="1" applyBorder="1" applyProtection="1">
      <protection hidden="1"/>
    </xf>
    <xf numFmtId="164" fontId="11" fillId="5" borderId="17" xfId="0" applyNumberFormat="1" applyFont="1" applyFill="1" applyBorder="1" applyProtection="1">
      <protection hidden="1"/>
    </xf>
    <xf numFmtId="164" fontId="11" fillId="5" borderId="18" xfId="0" applyNumberFormat="1" applyFont="1" applyFill="1" applyBorder="1" applyProtection="1">
      <protection hidden="1"/>
    </xf>
    <xf numFmtId="0" fontId="23" fillId="0" borderId="15" xfId="0" applyFont="1" applyBorder="1" applyAlignment="1" applyProtection="1">
      <alignment horizontal="left"/>
    </xf>
    <xf numFmtId="0" fontId="0" fillId="0" borderId="15" xfId="0" applyBorder="1"/>
    <xf numFmtId="0" fontId="0" fillId="0" borderId="15" xfId="0" applyBorder="1" applyAlignment="1">
      <alignment horizontal="left"/>
    </xf>
    <xf numFmtId="0" fontId="22" fillId="0" borderId="15" xfId="0" applyFont="1" applyFill="1" applyBorder="1" applyAlignment="1" applyProtection="1">
      <alignment horizontal="left"/>
    </xf>
    <xf numFmtId="165" fontId="0" fillId="0" borderId="15" xfId="0" applyNumberFormat="1" applyBorder="1"/>
    <xf numFmtId="0" fontId="0" fillId="0" borderId="15" xfId="0" applyFill="1" applyBorder="1"/>
    <xf numFmtId="0" fontId="24" fillId="0" borderId="15" xfId="0" applyFont="1" applyBorder="1"/>
    <xf numFmtId="0" fontId="0" fillId="0" borderId="15" xfId="0" applyBorder="1" applyAlignment="1">
      <alignment wrapText="1"/>
    </xf>
    <xf numFmtId="0" fontId="26" fillId="11" borderId="15" xfId="0" applyFont="1" applyFill="1" applyBorder="1" applyAlignment="1" applyProtection="1">
      <alignment horizontal="left"/>
    </xf>
    <xf numFmtId="0" fontId="26" fillId="12" borderId="15" xfId="0" applyFont="1" applyFill="1" applyBorder="1" applyAlignment="1" applyProtection="1">
      <alignment horizontal="left"/>
    </xf>
    <xf numFmtId="14" fontId="26" fillId="12" borderId="15" xfId="0" applyNumberFormat="1" applyFont="1" applyFill="1" applyBorder="1" applyAlignment="1" applyProtection="1">
      <alignment horizontal="left"/>
    </xf>
    <xf numFmtId="0" fontId="28" fillId="0" borderId="15" xfId="0" applyFont="1" applyBorder="1" applyAlignment="1" applyProtection="1">
      <alignment horizontal="left"/>
    </xf>
    <xf numFmtId="0" fontId="28" fillId="3" borderId="15" xfId="0" applyFont="1" applyFill="1" applyBorder="1" applyAlignment="1" applyProtection="1">
      <alignment horizontal="left"/>
    </xf>
    <xf numFmtId="0" fontId="4" fillId="2" borderId="0" xfId="0" applyFont="1" applyFill="1" applyAlignment="1">
      <alignment horizontal="left" vertical="center" wrapText="1"/>
    </xf>
    <xf numFmtId="0" fontId="6" fillId="13" borderId="15" xfId="0" applyFont="1" applyFill="1" applyBorder="1" applyAlignment="1" applyProtection="1">
      <alignment horizontal="left"/>
    </xf>
    <xf numFmtId="14" fontId="6" fillId="13" borderId="15" xfId="0" applyNumberFormat="1" applyFont="1" applyFill="1" applyBorder="1" applyAlignment="1" applyProtection="1">
      <alignment horizontal="left"/>
    </xf>
    <xf numFmtId="0" fontId="26" fillId="14" borderId="15" xfId="0" applyFont="1" applyFill="1" applyBorder="1" applyAlignment="1" applyProtection="1">
      <alignment horizontal="left"/>
    </xf>
    <xf numFmtId="14" fontId="26" fillId="14" borderId="15" xfId="0" applyNumberFormat="1" applyFont="1" applyFill="1" applyBorder="1" applyAlignment="1" applyProtection="1">
      <alignment horizontal="left"/>
    </xf>
    <xf numFmtId="0" fontId="29" fillId="0" borderId="15" xfId="0" applyFont="1" applyBorder="1" applyAlignment="1" applyProtection="1">
      <alignment horizontal="left"/>
    </xf>
    <xf numFmtId="2" fontId="28" fillId="0" borderId="15" xfId="0" applyNumberFormat="1" applyFont="1" applyBorder="1" applyAlignment="1" applyProtection="1">
      <alignment horizontal="left"/>
    </xf>
    <xf numFmtId="2" fontId="2" fillId="13" borderId="15" xfId="0" applyNumberFormat="1" applyFont="1" applyFill="1" applyBorder="1" applyAlignment="1" applyProtection="1">
      <alignment horizontal="left"/>
      <protection locked="0"/>
    </xf>
    <xf numFmtId="2" fontId="2" fillId="3" borderId="15" xfId="0" applyNumberFormat="1" applyFont="1" applyFill="1" applyBorder="1" applyAlignment="1" applyProtection="1">
      <alignment horizontal="left"/>
    </xf>
    <xf numFmtId="2" fontId="26" fillId="12" borderId="15" xfId="0" applyNumberFormat="1" applyFont="1" applyFill="1" applyBorder="1" applyAlignment="1" applyProtection="1">
      <alignment horizontal="left"/>
    </xf>
    <xf numFmtId="2" fontId="6" fillId="13" borderId="15" xfId="0" applyNumberFormat="1" applyFont="1" applyFill="1" applyBorder="1" applyAlignment="1" applyProtection="1">
      <alignment horizontal="left"/>
    </xf>
    <xf numFmtId="2" fontId="26" fillId="14" borderId="15" xfId="0" applyNumberFormat="1" applyFont="1" applyFill="1" applyBorder="1" applyAlignment="1" applyProtection="1">
      <alignment horizontal="left"/>
    </xf>
    <xf numFmtId="2" fontId="2" fillId="9" borderId="15" xfId="0" applyNumberFormat="1" applyFont="1" applyFill="1" applyBorder="1" applyAlignment="1" applyProtection="1">
      <alignment horizontal="left"/>
      <protection locked="0"/>
    </xf>
    <xf numFmtId="2" fontId="2" fillId="10" borderId="15" xfId="0" applyNumberFormat="1" applyFont="1" applyFill="1" applyBorder="1" applyAlignment="1" applyProtection="1">
      <alignment horizontal="left"/>
    </xf>
    <xf numFmtId="2" fontId="26" fillId="11" borderId="15" xfId="0" applyNumberFormat="1" applyFont="1" applyFill="1" applyBorder="1" applyAlignment="1" applyProtection="1">
      <alignment horizontal="left"/>
    </xf>
    <xf numFmtId="2" fontId="2" fillId="11" borderId="15" xfId="0" applyNumberFormat="1" applyFont="1" applyFill="1" applyBorder="1" applyAlignment="1" applyProtection="1">
      <alignment horizontal="left"/>
    </xf>
    <xf numFmtId="2" fontId="22" fillId="0" borderId="15" xfId="0" applyNumberFormat="1" applyFont="1" applyBorder="1" applyAlignment="1" applyProtection="1">
      <alignment horizontal="left"/>
    </xf>
    <xf numFmtId="2" fontId="6" fillId="3" borderId="15" xfId="0" applyNumberFormat="1" applyFont="1" applyFill="1" applyBorder="1" applyAlignment="1" applyProtection="1">
      <alignment horizontal="left"/>
    </xf>
    <xf numFmtId="2" fontId="20" fillId="0" borderId="15" xfId="0" applyNumberFormat="1" applyFont="1" applyBorder="1" applyAlignment="1" applyProtection="1">
      <alignment horizontal="left"/>
    </xf>
    <xf numFmtId="2" fontId="2" fillId="0" borderId="15" xfId="0" applyNumberFormat="1" applyFont="1" applyBorder="1" applyAlignment="1">
      <alignment horizontal="left"/>
    </xf>
    <xf numFmtId="0" fontId="30" fillId="0" borderId="15" xfId="0" applyFont="1" applyBorder="1" applyAlignment="1" applyProtection="1">
      <alignment horizontal="left"/>
    </xf>
    <xf numFmtId="0" fontId="31" fillId="0" borderId="0" xfId="0" applyFont="1" applyAlignment="1">
      <alignment vertical="center"/>
    </xf>
    <xf numFmtId="0" fontId="32" fillId="0" borderId="15" xfId="0" applyFont="1" applyBorder="1" applyAlignment="1" applyProtection="1">
      <alignment horizontal="left"/>
    </xf>
    <xf numFmtId="165" fontId="2" fillId="13" borderId="15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7" fillId="3" borderId="0" xfId="0" applyFont="1" applyFill="1" applyBorder="1" applyAlignment="1" applyProtection="1">
      <alignment horizontal="center" wrapText="1"/>
      <protection hidden="1"/>
    </xf>
    <xf numFmtId="0" fontId="10" fillId="6" borderId="19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wrapText="1"/>
    </xf>
    <xf numFmtId="0" fontId="10" fillId="7" borderId="20" xfId="0" applyFont="1" applyFill="1" applyBorder="1" applyAlignment="1">
      <alignment horizontal="center" wrapText="1"/>
    </xf>
    <xf numFmtId="0" fontId="10" fillId="7" borderId="21" xfId="0" applyFont="1" applyFill="1" applyBorder="1" applyAlignment="1">
      <alignment horizontal="center" wrapText="1"/>
    </xf>
    <xf numFmtId="0" fontId="10" fillId="8" borderId="19" xfId="0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center" wrapText="1"/>
    </xf>
    <xf numFmtId="49" fontId="17" fillId="5" borderId="19" xfId="0" applyNumberFormat="1" applyFont="1" applyFill="1" applyBorder="1" applyAlignment="1">
      <alignment horizontal="center" wrapText="1"/>
    </xf>
    <xf numFmtId="49" fontId="17" fillId="5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Tv(f) Frequency Response</a:t>
            </a:r>
          </a:p>
        </c:rich>
      </c:tx>
      <c:layout>
        <c:manualLayout>
          <c:xMode val="edge"/>
          <c:yMode val="edge"/>
          <c:x val="0.3575345342106209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3979474782932"/>
          <c:y val="0.11778304275115783"/>
          <c:w val="0.78630189580338705"/>
          <c:h val="0.7297929707718798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'Voltage Loop'!$M$1</c:f>
              <c:strCache>
                <c:ptCount val="1"/>
                <c:pt idx="0">
                  <c:v>TvdB(f)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'Voltage Loop'!$B$2:$B$101</c:f>
              <c:numCache>
                <c:formatCode>General</c:formatCode>
                <c:ptCount val="100"/>
                <c:pt idx="0">
                  <c:v>100</c:v>
                </c:pt>
                <c:pt idx="1">
                  <c:v>1000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7000.0000000000009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14000.000000000002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  <c:pt idx="17">
                  <c:v>18000</c:v>
                </c:pt>
                <c:pt idx="18">
                  <c:v>19000</c:v>
                </c:pt>
                <c:pt idx="19">
                  <c:v>20000</c:v>
                </c:pt>
                <c:pt idx="20">
                  <c:v>21000</c:v>
                </c:pt>
                <c:pt idx="21">
                  <c:v>22000</c:v>
                </c:pt>
                <c:pt idx="22">
                  <c:v>23000</c:v>
                </c:pt>
                <c:pt idx="23">
                  <c:v>24000</c:v>
                </c:pt>
                <c:pt idx="24">
                  <c:v>25000</c:v>
                </c:pt>
                <c:pt idx="25">
                  <c:v>26000</c:v>
                </c:pt>
                <c:pt idx="26">
                  <c:v>27000</c:v>
                </c:pt>
                <c:pt idx="27">
                  <c:v>28000.000000000004</c:v>
                </c:pt>
                <c:pt idx="28">
                  <c:v>28999.999999999996</c:v>
                </c:pt>
                <c:pt idx="29">
                  <c:v>30000</c:v>
                </c:pt>
                <c:pt idx="30">
                  <c:v>31000</c:v>
                </c:pt>
                <c:pt idx="31">
                  <c:v>32000</c:v>
                </c:pt>
                <c:pt idx="32">
                  <c:v>33000</c:v>
                </c:pt>
                <c:pt idx="33">
                  <c:v>34000</c:v>
                </c:pt>
                <c:pt idx="34">
                  <c:v>35000</c:v>
                </c:pt>
                <c:pt idx="35">
                  <c:v>36000</c:v>
                </c:pt>
                <c:pt idx="36">
                  <c:v>37000</c:v>
                </c:pt>
                <c:pt idx="37">
                  <c:v>38000</c:v>
                </c:pt>
                <c:pt idx="38">
                  <c:v>39000</c:v>
                </c:pt>
                <c:pt idx="39">
                  <c:v>40000</c:v>
                </c:pt>
                <c:pt idx="40">
                  <c:v>41000</c:v>
                </c:pt>
                <c:pt idx="41">
                  <c:v>42000</c:v>
                </c:pt>
                <c:pt idx="42">
                  <c:v>43000</c:v>
                </c:pt>
                <c:pt idx="43">
                  <c:v>44000</c:v>
                </c:pt>
                <c:pt idx="44">
                  <c:v>45000</c:v>
                </c:pt>
                <c:pt idx="45">
                  <c:v>46000</c:v>
                </c:pt>
                <c:pt idx="46">
                  <c:v>47000</c:v>
                </c:pt>
                <c:pt idx="47">
                  <c:v>48000</c:v>
                </c:pt>
                <c:pt idx="48">
                  <c:v>49000</c:v>
                </c:pt>
                <c:pt idx="49">
                  <c:v>50000</c:v>
                </c:pt>
                <c:pt idx="50">
                  <c:v>51000</c:v>
                </c:pt>
                <c:pt idx="51">
                  <c:v>52000</c:v>
                </c:pt>
                <c:pt idx="52">
                  <c:v>53000</c:v>
                </c:pt>
                <c:pt idx="53">
                  <c:v>54000</c:v>
                </c:pt>
                <c:pt idx="54">
                  <c:v>55000.000000000007</c:v>
                </c:pt>
                <c:pt idx="55">
                  <c:v>56000.000000000007</c:v>
                </c:pt>
                <c:pt idx="56">
                  <c:v>56999.999999999993</c:v>
                </c:pt>
                <c:pt idx="57">
                  <c:v>57999.999999999993</c:v>
                </c:pt>
                <c:pt idx="58">
                  <c:v>59000</c:v>
                </c:pt>
                <c:pt idx="59">
                  <c:v>60000</c:v>
                </c:pt>
                <c:pt idx="60">
                  <c:v>61000</c:v>
                </c:pt>
                <c:pt idx="61">
                  <c:v>62000</c:v>
                </c:pt>
                <c:pt idx="62">
                  <c:v>63000</c:v>
                </c:pt>
                <c:pt idx="63">
                  <c:v>64000</c:v>
                </c:pt>
                <c:pt idx="64">
                  <c:v>65000</c:v>
                </c:pt>
                <c:pt idx="65">
                  <c:v>66000</c:v>
                </c:pt>
                <c:pt idx="66">
                  <c:v>67000</c:v>
                </c:pt>
                <c:pt idx="67">
                  <c:v>68000</c:v>
                </c:pt>
                <c:pt idx="68">
                  <c:v>69000</c:v>
                </c:pt>
                <c:pt idx="69">
                  <c:v>70000</c:v>
                </c:pt>
                <c:pt idx="70">
                  <c:v>71000</c:v>
                </c:pt>
                <c:pt idx="71">
                  <c:v>72000</c:v>
                </c:pt>
                <c:pt idx="72">
                  <c:v>73000</c:v>
                </c:pt>
                <c:pt idx="73">
                  <c:v>74000</c:v>
                </c:pt>
                <c:pt idx="74">
                  <c:v>75000</c:v>
                </c:pt>
                <c:pt idx="75">
                  <c:v>76000</c:v>
                </c:pt>
                <c:pt idx="76">
                  <c:v>77000</c:v>
                </c:pt>
                <c:pt idx="77">
                  <c:v>78000</c:v>
                </c:pt>
                <c:pt idx="78">
                  <c:v>79000</c:v>
                </c:pt>
                <c:pt idx="79">
                  <c:v>80000</c:v>
                </c:pt>
                <c:pt idx="80">
                  <c:v>81000</c:v>
                </c:pt>
                <c:pt idx="81">
                  <c:v>82000</c:v>
                </c:pt>
                <c:pt idx="82">
                  <c:v>83000</c:v>
                </c:pt>
                <c:pt idx="83">
                  <c:v>84000</c:v>
                </c:pt>
                <c:pt idx="84">
                  <c:v>85000</c:v>
                </c:pt>
                <c:pt idx="85">
                  <c:v>86000</c:v>
                </c:pt>
                <c:pt idx="86">
                  <c:v>87000</c:v>
                </c:pt>
                <c:pt idx="87">
                  <c:v>88000</c:v>
                </c:pt>
                <c:pt idx="88">
                  <c:v>89000</c:v>
                </c:pt>
                <c:pt idx="89">
                  <c:v>90000</c:v>
                </c:pt>
                <c:pt idx="90">
                  <c:v>91000</c:v>
                </c:pt>
                <c:pt idx="91">
                  <c:v>92000</c:v>
                </c:pt>
                <c:pt idx="92">
                  <c:v>93000</c:v>
                </c:pt>
                <c:pt idx="93">
                  <c:v>94000</c:v>
                </c:pt>
                <c:pt idx="94">
                  <c:v>95000</c:v>
                </c:pt>
                <c:pt idx="95">
                  <c:v>96000</c:v>
                </c:pt>
                <c:pt idx="96">
                  <c:v>97000</c:v>
                </c:pt>
                <c:pt idx="97">
                  <c:v>98000</c:v>
                </c:pt>
                <c:pt idx="98">
                  <c:v>99000</c:v>
                </c:pt>
                <c:pt idx="99">
                  <c:v>100000</c:v>
                </c:pt>
              </c:numCache>
            </c:numRef>
          </c:xVal>
          <c:yVal>
            <c:numRef>
              <c:f>'Voltage Loop'!$M$2:$M$101</c:f>
              <c:numCache>
                <c:formatCode>General</c:formatCode>
                <c:ptCount val="100"/>
                <c:pt idx="0">
                  <c:v>47.655709310388829</c:v>
                </c:pt>
                <c:pt idx="1">
                  <c:v>11.294985954335106</c:v>
                </c:pt>
                <c:pt idx="2">
                  <c:v>1.2821572947542146</c:v>
                </c:pt>
                <c:pt idx="3">
                  <c:v>-0.37085855982969884</c:v>
                </c:pt>
                <c:pt idx="4">
                  <c:v>-1.4685897413907534</c:v>
                </c:pt>
                <c:pt idx="5">
                  <c:v>-2.2971848158600769</c:v>
                </c:pt>
                <c:pt idx="6">
                  <c:v>-2.9824985262340249</c:v>
                </c:pt>
                <c:pt idx="7">
                  <c:v>-3.5841720501078704</c:v>
                </c:pt>
                <c:pt idx="8">
                  <c:v>-4.131903013797614</c:v>
                </c:pt>
                <c:pt idx="9">
                  <c:v>-4.6410799689356477</c:v>
                </c:pt>
                <c:pt idx="10">
                  <c:v>-5.1200064698349932</c:v>
                </c:pt>
                <c:pt idx="11">
                  <c:v>-5.5733990774447015</c:v>
                </c:pt>
                <c:pt idx="12">
                  <c:v>-6.0041358772051421</c:v>
                </c:pt>
                <c:pt idx="13">
                  <c:v>-6.4141488052429523</c:v>
                </c:pt>
                <c:pt idx="14">
                  <c:v>-6.8048845798366671</c:v>
                </c:pt>
                <c:pt idx="15">
                  <c:v>-7.1775440171328384</c:v>
                </c:pt>
                <c:pt idx="16">
                  <c:v>-7.5332062140021776</c:v>
                </c:pt>
                <c:pt idx="17">
                  <c:v>-7.8728926982418983</c:v>
                </c:pt>
                <c:pt idx="18">
                  <c:v>-8.1976004077461457</c:v>
                </c:pt>
                <c:pt idx="19">
                  <c:v>-8.5083186982937349</c:v>
                </c:pt>
                <c:pt idx="20">
                  <c:v>-8.8060383653407932</c:v>
                </c:pt>
                <c:pt idx="21">
                  <c:v>-9.091756818673435</c:v>
                </c:pt>
                <c:pt idx="22">
                  <c:v>-9.3664814854046679</c:v>
                </c:pt>
                <c:pt idx="23">
                  <c:v>-9.6312324064230896</c:v>
                </c:pt>
                <c:pt idx="24">
                  <c:v>-9.8870443931825349</c:v>
                </c:pt>
                <c:pt idx="25">
                  <c:v>-10.134968789562835</c:v>
                </c:pt>
                <c:pt idx="26">
                  <c:v>-10.376074710697569</c:v>
                </c:pt>
                <c:pt idx="27">
                  <c:v>-10.611449539731154</c:v>
                </c:pt>
                <c:pt idx="28">
                  <c:v>-10.842198419616997</c:v>
                </c:pt>
                <c:pt idx="29">
                  <c:v>-11.069442463603528</c:v>
                </c:pt>
                <c:pt idx="30">
                  <c:v>-11.294315418437943</c:v>
                </c:pt>
                <c:pt idx="31">
                  <c:v>-11.517958547479141</c:v>
                </c:pt>
                <c:pt idx="32">
                  <c:v>-11.741513558330581</c:v>
                </c:pt>
                <c:pt idx="33">
                  <c:v>-11.966113483216976</c:v>
                </c:pt>
                <c:pt idx="34">
                  <c:v>-12.192871530743707</c:v>
                </c:pt>
                <c:pt idx="35">
                  <c:v>-12.422868062757997</c:v>
                </c:pt>
                <c:pt idx="36">
                  <c:v>-12.657136003677383</c:v>
                </c:pt>
                <c:pt idx="37">
                  <c:v>-12.896645151167426</c:v>
                </c:pt>
                <c:pt idx="38">
                  <c:v>-13.142286011295605</c:v>
                </c:pt>
                <c:pt idx="39">
                  <c:v>-13.394853909827862</c:v>
                </c:pt>
                <c:pt idx="40">
                  <c:v>-13.655034214711337</c:v>
                </c:pt>
                <c:pt idx="41">
                  <c:v>-13.923389525688759</c:v>
                </c:pt>
                <c:pt idx="42">
                  <c:v>-14.200349633768138</c:v>
                </c:pt>
                <c:pt idx="43">
                  <c:v>-14.486204923074411</c:v>
                </c:pt>
                <c:pt idx="44">
                  <c:v>-14.781103688204144</c:v>
                </c:pt>
                <c:pt idx="45">
                  <c:v>-15.085053589873866</c:v>
                </c:pt>
                <c:pt idx="46">
                  <c:v>-15.397927196876815</c:v>
                </c:pt>
                <c:pt idx="47">
                  <c:v>-15.719471293674552</c:v>
                </c:pt>
                <c:pt idx="48">
                  <c:v>-16.049319399839643</c:v>
                </c:pt>
                <c:pt idx="49">
                  <c:v>-16.387006773637786</c:v>
                </c:pt>
                <c:pt idx="50">
                  <c:v>-16.731987071525904</c:v>
                </c:pt>
                <c:pt idx="51">
                  <c:v>-17.083649811619757</c:v>
                </c:pt>
                <c:pt idx="52">
                  <c:v>-17.441337835527357</c:v>
                </c:pt>
                <c:pt idx="53">
                  <c:v>-17.804364064939374</c:v>
                </c:pt>
                <c:pt idx="54">
                  <c:v>-18.172026988318507</c:v>
                </c:pt>
                <c:pt idx="55">
                  <c:v>-18.543624469417196</c:v>
                </c:pt>
                <c:pt idx="56">
                  <c:v>-18.918465625681876</c:v>
                </c:pt>
                <c:pt idx="57">
                  <c:v>-19.295880667290529</c:v>
                </c:pt>
                <c:pt idx="58">
                  <c:v>-19.675228707663145</c:v>
                </c:pt>
                <c:pt idx="59">
                  <c:v>-20.055903649409515</c:v>
                </c:pt>
                <c:pt idx="60">
                  <c:v>-20.437338315218941</c:v>
                </c:pt>
                <c:pt idx="61">
                  <c:v>-20.819007033328674</c:v>
                </c:pt>
                <c:pt idx="62">
                  <c:v>-21.200426905763358</c:v>
                </c:pt>
                <c:pt idx="63">
                  <c:v>-21.581157989123486</c:v>
                </c:pt>
                <c:pt idx="64">
                  <c:v>-21.960802606938024</c:v>
                </c:pt>
                <c:pt idx="65">
                  <c:v>-22.339003993701393</c:v>
                </c:pt>
                <c:pt idx="66">
                  <c:v>-22.715444447190904</c:v>
                </c:pt>
                <c:pt idx="67">
                  <c:v>-23.089843140270936</c:v>
                </c:pt>
                <c:pt idx="68">
                  <c:v>-23.461953718128697</c:v>
                </c:pt>
                <c:pt idx="69">
                  <c:v>-23.831561783095797</c:v>
                </c:pt>
                <c:pt idx="70">
                  <c:v>-24.198482347717992</c:v>
                </c:pt>
                <c:pt idx="71">
                  <c:v>-24.562557317917808</c:v>
                </c:pt>
                <c:pt idx="72">
                  <c:v>-24.923653052090824</c:v>
                </c:pt>
                <c:pt idx="73">
                  <c:v>-25.28165802866047</c:v>
                </c:pt>
                <c:pt idx="74">
                  <c:v>-25.636480643803363</c:v>
                </c:pt>
                <c:pt idx="75">
                  <c:v>-25.988047152446306</c:v>
                </c:pt>
                <c:pt idx="76">
                  <c:v>-26.336299758942189</c:v>
                </c:pt>
                <c:pt idx="77">
                  <c:v>-26.6811948587365</c:v>
                </c:pt>
                <c:pt idx="78">
                  <c:v>-27.022701428579815</c:v>
                </c:pt>
                <c:pt idx="79">
                  <c:v>-27.360799560150348</c:v>
                </c:pt>
                <c:pt idx="80">
                  <c:v>-27.695479130126568</c:v>
                </c:pt>
                <c:pt idx="81">
                  <c:v>-28.026738598585403</c:v>
                </c:pt>
                <c:pt idx="82">
                  <c:v>-28.354583926962015</c:v>
                </c:pt>
                <c:pt idx="83">
                  <c:v>-28.679027606547471</c:v>
                </c:pt>
                <c:pt idx="84">
                  <c:v>-29.000087788534231</c:v>
                </c:pt>
                <c:pt idx="85">
                  <c:v>-29.317787506846059</c:v>
                </c:pt>
                <c:pt idx="86">
                  <c:v>-29.632153985366582</c:v>
                </c:pt>
                <c:pt idx="87">
                  <c:v>-29.943218021642672</c:v>
                </c:pt>
                <c:pt idx="88">
                  <c:v>-30.251013439654617</c:v>
                </c:pt>
                <c:pt idx="89">
                  <c:v>-30.555576604785863</c:v>
                </c:pt>
                <c:pt idx="90">
                  <c:v>-30.856945994673023</c:v>
                </c:pt>
                <c:pt idx="91">
                  <c:v>-31.155161820151744</c:v>
                </c:pt>
                <c:pt idx="92">
                  <c:v>-31.450265691028797</c:v>
                </c:pt>
                <c:pt idx="93">
                  <c:v>-31.742300321901951</c:v>
                </c:pt>
                <c:pt idx="94">
                  <c:v>-32.031309273704757</c:v>
                </c:pt>
                <c:pt idx="95">
                  <c:v>-32.317336727082534</c:v>
                </c:pt>
                <c:pt idx="96">
                  <c:v>-32.600427284093072</c:v>
                </c:pt>
                <c:pt idx="97">
                  <c:v>-32.880625795089891</c:v>
                </c:pt>
                <c:pt idx="98">
                  <c:v>-33.157977207969836</c:v>
                </c:pt>
                <c:pt idx="99">
                  <c:v>-33.432526437264819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3A-4CE2-85DB-053F67EA4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891439"/>
        <c:axId val="1"/>
      </c:scatterChart>
      <c:scatterChart>
        <c:scatterStyle val="lineMarker"/>
        <c:varyColors val="0"/>
        <c:ser>
          <c:idx val="2"/>
          <c:order val="1"/>
          <c:tx>
            <c:strRef>
              <c:f>'Voltage Loop'!$O$1</c:f>
              <c:strCache>
                <c:ptCount val="1"/>
                <c:pt idx="0">
                  <c:v>ӨTv(f)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'Voltage Loop'!$B$2:$B$101</c:f>
              <c:numCache>
                <c:formatCode>General</c:formatCode>
                <c:ptCount val="100"/>
                <c:pt idx="0">
                  <c:v>100</c:v>
                </c:pt>
                <c:pt idx="1">
                  <c:v>1000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7000.0000000000009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14000.000000000002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  <c:pt idx="17">
                  <c:v>18000</c:v>
                </c:pt>
                <c:pt idx="18">
                  <c:v>19000</c:v>
                </c:pt>
                <c:pt idx="19">
                  <c:v>20000</c:v>
                </c:pt>
                <c:pt idx="20">
                  <c:v>21000</c:v>
                </c:pt>
                <c:pt idx="21">
                  <c:v>22000</c:v>
                </c:pt>
                <c:pt idx="22">
                  <c:v>23000</c:v>
                </c:pt>
                <c:pt idx="23">
                  <c:v>24000</c:v>
                </c:pt>
                <c:pt idx="24">
                  <c:v>25000</c:v>
                </c:pt>
                <c:pt idx="25">
                  <c:v>26000</c:v>
                </c:pt>
                <c:pt idx="26">
                  <c:v>27000</c:v>
                </c:pt>
                <c:pt idx="27">
                  <c:v>28000.000000000004</c:v>
                </c:pt>
                <c:pt idx="28">
                  <c:v>28999.999999999996</c:v>
                </c:pt>
                <c:pt idx="29">
                  <c:v>30000</c:v>
                </c:pt>
                <c:pt idx="30">
                  <c:v>31000</c:v>
                </c:pt>
                <c:pt idx="31">
                  <c:v>32000</c:v>
                </c:pt>
                <c:pt idx="32">
                  <c:v>33000</c:v>
                </c:pt>
                <c:pt idx="33">
                  <c:v>34000</c:v>
                </c:pt>
                <c:pt idx="34">
                  <c:v>35000</c:v>
                </c:pt>
                <c:pt idx="35">
                  <c:v>36000</c:v>
                </c:pt>
                <c:pt idx="36">
                  <c:v>37000</c:v>
                </c:pt>
                <c:pt idx="37">
                  <c:v>38000</c:v>
                </c:pt>
                <c:pt idx="38">
                  <c:v>39000</c:v>
                </c:pt>
                <c:pt idx="39">
                  <c:v>40000</c:v>
                </c:pt>
                <c:pt idx="40">
                  <c:v>41000</c:v>
                </c:pt>
                <c:pt idx="41">
                  <c:v>42000</c:v>
                </c:pt>
                <c:pt idx="42">
                  <c:v>43000</c:v>
                </c:pt>
                <c:pt idx="43">
                  <c:v>44000</c:v>
                </c:pt>
                <c:pt idx="44">
                  <c:v>45000</c:v>
                </c:pt>
                <c:pt idx="45">
                  <c:v>46000</c:v>
                </c:pt>
                <c:pt idx="46">
                  <c:v>47000</c:v>
                </c:pt>
                <c:pt idx="47">
                  <c:v>48000</c:v>
                </c:pt>
                <c:pt idx="48">
                  <c:v>49000</c:v>
                </c:pt>
                <c:pt idx="49">
                  <c:v>50000</c:v>
                </c:pt>
                <c:pt idx="50">
                  <c:v>51000</c:v>
                </c:pt>
                <c:pt idx="51">
                  <c:v>52000</c:v>
                </c:pt>
                <c:pt idx="52">
                  <c:v>53000</c:v>
                </c:pt>
                <c:pt idx="53">
                  <c:v>54000</c:v>
                </c:pt>
                <c:pt idx="54">
                  <c:v>55000.000000000007</c:v>
                </c:pt>
                <c:pt idx="55">
                  <c:v>56000.000000000007</c:v>
                </c:pt>
                <c:pt idx="56">
                  <c:v>56999.999999999993</c:v>
                </c:pt>
                <c:pt idx="57">
                  <c:v>57999.999999999993</c:v>
                </c:pt>
                <c:pt idx="58">
                  <c:v>59000</c:v>
                </c:pt>
                <c:pt idx="59">
                  <c:v>60000</c:v>
                </c:pt>
                <c:pt idx="60">
                  <c:v>61000</c:v>
                </c:pt>
                <c:pt idx="61">
                  <c:v>62000</c:v>
                </c:pt>
                <c:pt idx="62">
                  <c:v>63000</c:v>
                </c:pt>
                <c:pt idx="63">
                  <c:v>64000</c:v>
                </c:pt>
                <c:pt idx="64">
                  <c:v>65000</c:v>
                </c:pt>
                <c:pt idx="65">
                  <c:v>66000</c:v>
                </c:pt>
                <c:pt idx="66">
                  <c:v>67000</c:v>
                </c:pt>
                <c:pt idx="67">
                  <c:v>68000</c:v>
                </c:pt>
                <c:pt idx="68">
                  <c:v>69000</c:v>
                </c:pt>
                <c:pt idx="69">
                  <c:v>70000</c:v>
                </c:pt>
                <c:pt idx="70">
                  <c:v>71000</c:v>
                </c:pt>
                <c:pt idx="71">
                  <c:v>72000</c:v>
                </c:pt>
                <c:pt idx="72">
                  <c:v>73000</c:v>
                </c:pt>
                <c:pt idx="73">
                  <c:v>74000</c:v>
                </c:pt>
                <c:pt idx="74">
                  <c:v>75000</c:v>
                </c:pt>
                <c:pt idx="75">
                  <c:v>76000</c:v>
                </c:pt>
                <c:pt idx="76">
                  <c:v>77000</c:v>
                </c:pt>
                <c:pt idx="77">
                  <c:v>78000</c:v>
                </c:pt>
                <c:pt idx="78">
                  <c:v>79000</c:v>
                </c:pt>
                <c:pt idx="79">
                  <c:v>80000</c:v>
                </c:pt>
                <c:pt idx="80">
                  <c:v>81000</c:v>
                </c:pt>
                <c:pt idx="81">
                  <c:v>82000</c:v>
                </c:pt>
                <c:pt idx="82">
                  <c:v>83000</c:v>
                </c:pt>
                <c:pt idx="83">
                  <c:v>84000</c:v>
                </c:pt>
                <c:pt idx="84">
                  <c:v>85000</c:v>
                </c:pt>
                <c:pt idx="85">
                  <c:v>86000</c:v>
                </c:pt>
                <c:pt idx="86">
                  <c:v>87000</c:v>
                </c:pt>
                <c:pt idx="87">
                  <c:v>88000</c:v>
                </c:pt>
                <c:pt idx="88">
                  <c:v>89000</c:v>
                </c:pt>
                <c:pt idx="89">
                  <c:v>90000</c:v>
                </c:pt>
                <c:pt idx="90">
                  <c:v>91000</c:v>
                </c:pt>
                <c:pt idx="91">
                  <c:v>92000</c:v>
                </c:pt>
                <c:pt idx="92">
                  <c:v>93000</c:v>
                </c:pt>
                <c:pt idx="93">
                  <c:v>94000</c:v>
                </c:pt>
                <c:pt idx="94">
                  <c:v>95000</c:v>
                </c:pt>
                <c:pt idx="95">
                  <c:v>96000</c:v>
                </c:pt>
                <c:pt idx="96">
                  <c:v>97000</c:v>
                </c:pt>
                <c:pt idx="97">
                  <c:v>98000</c:v>
                </c:pt>
                <c:pt idx="98">
                  <c:v>99000</c:v>
                </c:pt>
                <c:pt idx="99">
                  <c:v>100000</c:v>
                </c:pt>
              </c:numCache>
            </c:numRef>
          </c:xVal>
          <c:yVal>
            <c:numRef>
              <c:f>'Voltage Loop'!$O$2:$O$101</c:f>
              <c:numCache>
                <c:formatCode>General</c:formatCode>
                <c:ptCount val="100"/>
                <c:pt idx="0">
                  <c:v>8.8659597264308445</c:v>
                </c:pt>
                <c:pt idx="1">
                  <c:v>56.985997803972054</c:v>
                </c:pt>
                <c:pt idx="2">
                  <c:v>94.282414345268919</c:v>
                </c:pt>
                <c:pt idx="3">
                  <c:v>100.38684758199327</c:v>
                </c:pt>
                <c:pt idx="4">
                  <c:v>103.19012755660417</c:v>
                </c:pt>
                <c:pt idx="5">
                  <c:v>104.05057717777083</c:v>
                </c:pt>
                <c:pt idx="6">
                  <c:v>103.73718744582411</c:v>
                </c:pt>
                <c:pt idx="7">
                  <c:v>102.70721168010094</c:v>
                </c:pt>
                <c:pt idx="8">
                  <c:v>101.23947510428049</c:v>
                </c:pt>
                <c:pt idx="9">
                  <c:v>99.506424440472657</c:v>
                </c:pt>
                <c:pt idx="10">
                  <c:v>97.615405690593576</c:v>
                </c:pt>
                <c:pt idx="11">
                  <c:v>95.633177895183621</c:v>
                </c:pt>
                <c:pt idx="12">
                  <c:v>93.60084766921122</c:v>
                </c:pt>
                <c:pt idx="13">
                  <c:v>91.54314575810659</c:v>
                </c:pt>
                <c:pt idx="14">
                  <c:v>89.474277726515382</c:v>
                </c:pt>
                <c:pt idx="15">
                  <c:v>87.401659937728724</c:v>
                </c:pt>
                <c:pt idx="16">
                  <c:v>85.328330027448771</c:v>
                </c:pt>
                <c:pt idx="17">
                  <c:v>83.254516231399208</c:v>
                </c:pt>
                <c:pt idx="18">
                  <c:v>81.178667615747145</c:v>
                </c:pt>
                <c:pt idx="19">
                  <c:v>79.098136136162822</c:v>
                </c:pt>
                <c:pt idx="20">
                  <c:v>77.009632647210864</c:v>
                </c:pt>
                <c:pt idx="21">
                  <c:v>74.909535805428831</c:v>
                </c:pt>
                <c:pt idx="22">
                  <c:v>72.794105383185752</c:v>
                </c:pt>
                <c:pt idx="23">
                  <c:v>70.659633887064203</c:v>
                </c:pt>
                <c:pt idx="24">
                  <c:v>68.502558913044609</c:v>
                </c:pt>
                <c:pt idx="25">
                  <c:v>66.319551112216473</c:v>
                </c:pt>
                <c:pt idx="26">
                  <c:v>64.107587566472475</c:v>
                </c:pt>
                <c:pt idx="27">
                  <c:v>61.864016883577861</c:v>
                </c:pt>
                <c:pt idx="28">
                  <c:v>59.586619840049323</c:v>
                </c:pt>
                <c:pt idx="29">
                  <c:v>57.273667561161872</c:v>
                </c:pt>
                <c:pt idx="30">
                  <c:v>54.923977799409926</c:v>
                </c:pt>
                <c:pt idx="31">
                  <c:v>52.536968718343374</c:v>
                </c:pt>
                <c:pt idx="32">
                  <c:v>50.112708636682157</c:v>
                </c:pt>
                <c:pt idx="33">
                  <c:v>47.651959415929838</c:v>
                </c:pt>
                <c:pt idx="34">
                  <c:v>45.156210597492446</c:v>
                </c:pt>
                <c:pt idx="35">
                  <c:v>42.627701051524781</c:v>
                </c:pt>
                <c:pt idx="36">
                  <c:v>40.069424840428667</c:v>
                </c:pt>
                <c:pt idx="37">
                  <c:v>37.485118273857012</c:v>
                </c:pt>
                <c:pt idx="38">
                  <c:v>34.879225769648968</c:v>
                </c:pt>
                <c:pt idx="39">
                  <c:v>32.256843132759855</c:v>
                </c:pt>
                <c:pt idx="40">
                  <c:v>29.623638172257387</c:v>
                </c:pt>
                <c:pt idx="41">
                  <c:v>26.98575009393366</c:v>
                </c:pt>
                <c:pt idx="42">
                  <c:v>24.349670686014264</c:v>
                </c:pt>
                <c:pt idx="43">
                  <c:v>21.722111781046181</c:v>
                </c:pt>
                <c:pt idx="44">
                  <c:v>19.109864647654376</c:v>
                </c:pt>
                <c:pt idx="45">
                  <c:v>16.519657687573783</c:v>
                </c:pt>
                <c:pt idx="46">
                  <c:v>13.958018987518557</c:v>
                </c:pt>
                <c:pt idx="47">
                  <c:v>11.431149877641758</c:v>
                </c:pt>
                <c:pt idx="48">
                  <c:v>8.9448147333190207</c:v>
                </c:pt>
                <c:pt idx="49">
                  <c:v>6.5042509475514976</c:v>
                </c:pt>
                <c:pt idx="50">
                  <c:v>4.1141014647389227</c:v>
                </c:pt>
                <c:pt idx="51">
                  <c:v>1.7783706842459992</c:v>
                </c:pt>
                <c:pt idx="52">
                  <c:v>-0.49959692010730805</c:v>
                </c:pt>
                <c:pt idx="53">
                  <c:v>-2.7171173333487673</c:v>
                </c:pt>
                <c:pt idx="54">
                  <c:v>-4.8721494447169107</c:v>
                </c:pt>
                <c:pt idx="55">
                  <c:v>-6.9632627057026752</c:v>
                </c:pt>
                <c:pt idx="56">
                  <c:v>-8.9895935129737268</c:v>
                </c:pt>
                <c:pt idx="57">
                  <c:v>-10.950793761202021</c:v>
                </c:pt>
                <c:pt idx="58">
                  <c:v>-12.846974733015486</c:v>
                </c:pt>
                <c:pt idx="59">
                  <c:v>-14.678649077208092</c:v>
                </c:pt>
                <c:pt idx="60">
                  <c:v>-16.446673138690471</c:v>
                </c:pt>
                <c:pt idx="61">
                  <c:v>-18.152191399519552</c:v>
                </c:pt>
                <c:pt idx="62">
                  <c:v>-19.796584310563787</c:v>
                </c:pt>
                <c:pt idx="63">
                  <c:v>-21.381420364691508</c:v>
                </c:pt>
                <c:pt idx="64">
                  <c:v>-22.908412899196833</c:v>
                </c:pt>
                <c:pt idx="65">
                  <c:v>-24.379381822263269</c:v>
                </c:pt>
                <c:pt idx="66">
                  <c:v>-25.7962202333552</c:v>
                </c:pt>
                <c:pt idx="67">
                  <c:v>-27.160865744036641</c:v>
                </c:pt>
                <c:pt idx="68">
                  <c:v>-28.475276194948947</c:v>
                </c:pt>
                <c:pt idx="69">
                  <c:v>-29.741409396976792</c:v>
                </c:pt>
                <c:pt idx="70">
                  <c:v>-30.961206490648181</c:v>
                </c:pt>
                <c:pt idx="71">
                  <c:v>-32.136578509160188</c:v>
                </c:pt>
                <c:pt idx="72">
                  <c:v>-33.269395739895685</c:v>
                </c:pt>
                <c:pt idx="73">
                  <c:v>-34.361479500973246</c:v>
                </c:pt>
                <c:pt idx="74">
                  <c:v>-35.41459597864241</c:v>
                </c:pt>
                <c:pt idx="75">
                  <c:v>-36.430451804607742</c:v>
                </c:pt>
                <c:pt idx="76">
                  <c:v>-37.410691087088367</c:v>
                </c:pt>
                <c:pt idx="77">
                  <c:v>-38.356893643729677</c:v>
                </c:pt>
                <c:pt idx="78">
                  <c:v>-39.270574217220314</c:v>
                </c:pt>
                <c:pt idx="79">
                  <c:v>-40.153182484821116</c:v>
                </c:pt>
                <c:pt idx="80">
                  <c:v>-41.006103700637766</c:v>
                </c:pt>
                <c:pt idx="81">
                  <c:v>-41.830659834177538</c:v>
                </c:pt>
                <c:pt idx="82">
                  <c:v>-42.628111090546213</c:v>
                </c:pt>
                <c:pt idx="83">
                  <c:v>-43.399657716703018</c:v>
                </c:pt>
                <c:pt idx="84">
                  <c:v>-44.146442014656031</c:v>
                </c:pt>
                <c:pt idx="85">
                  <c:v>-44.869550496649651</c:v>
                </c:pt>
                <c:pt idx="86">
                  <c:v>-45.570016129424516</c:v>
                </c:pt>
                <c:pt idx="87">
                  <c:v>-46.248820624833684</c:v>
                </c:pt>
                <c:pt idx="88">
                  <c:v>-46.90689674268225</c:v>
                </c:pt>
                <c:pt idx="89">
                  <c:v>-47.545130578828321</c:v>
                </c:pt>
                <c:pt idx="90">
                  <c:v>-48.164363817554658</c:v>
                </c:pt>
                <c:pt idx="91">
                  <c:v>-48.765395932157389</c:v>
                </c:pt>
                <c:pt idx="92">
                  <c:v>-49.348986321766688</c:v>
                </c:pt>
                <c:pt idx="93">
                  <c:v>-49.915856375731778</c:v>
                </c:pt>
                <c:pt idx="94">
                  <c:v>-50.46669145961107</c:v>
                </c:pt>
                <c:pt idx="95">
                  <c:v>-51.002142818982747</c:v>
                </c:pt>
                <c:pt idx="96">
                  <c:v>-51.522829399043758</c:v>
                </c:pt>
                <c:pt idx="97">
                  <c:v>-52.029339579348289</c:v>
                </c:pt>
                <c:pt idx="98">
                  <c:v>-52.522232824121431</c:v>
                </c:pt>
                <c:pt idx="99">
                  <c:v>-53.00204124943491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3A-4CE2-85DB-053F67EA4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306891439"/>
        <c:scaling>
          <c:logBase val="10"/>
          <c:orientation val="minMax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Frequency in Hz</a:t>
                </a:r>
              </a:p>
            </c:rich>
          </c:tx>
          <c:layout>
            <c:manualLayout>
              <c:xMode val="edge"/>
              <c:yMode val="edge"/>
              <c:x val="0.41506878078596338"/>
              <c:y val="0.926097967546204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-80"/>
        <c:crossBetween val="midCat"/>
      </c:valAx>
      <c:valAx>
        <c:axId val="1"/>
        <c:scaling>
          <c:orientation val="minMax"/>
          <c:max val="80"/>
          <c:min val="-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Gain in dB</a:t>
                </a:r>
              </a:p>
            </c:rich>
          </c:tx>
          <c:layout>
            <c:manualLayout>
              <c:xMode val="edge"/>
              <c:yMode val="edge"/>
              <c:x val="1.643835616438356E-2"/>
              <c:y val="0.39261018469688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6891439"/>
        <c:crosses val="autoZero"/>
        <c:crossBetween val="midCat"/>
      </c:valAx>
      <c:valAx>
        <c:axId val="3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ax val="180"/>
          <c:min val="-180"/>
        </c:scaling>
        <c:delete val="0"/>
        <c:axPos val="r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Phase in Degrees</a:t>
                </a:r>
              </a:p>
            </c:rich>
          </c:tx>
          <c:layout>
            <c:manualLayout>
              <c:xMode val="edge"/>
              <c:yMode val="edge"/>
              <c:x val="0.94794578075000901"/>
              <c:y val="0.334873464142617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midCat"/>
        <c:majorUnit val="4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424671916010497"/>
          <c:y val="0.70207924933170884"/>
          <c:w val="0.1356165821738036"/>
          <c:h val="0.113164214750292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Tv(f) Frequency Response</a:t>
            </a:r>
          </a:p>
        </c:rich>
      </c:tx>
      <c:layout>
        <c:manualLayout>
          <c:xMode val="edge"/>
          <c:yMode val="edge"/>
          <c:x val="0.32948963751853916"/>
          <c:y val="3.3163265306122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8410590965584"/>
          <c:y val="0.11734693877551021"/>
          <c:w val="0.79406983151467858"/>
          <c:h val="0.7397959183673469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'Voltage Loop'!$M$1</c:f>
              <c:strCache>
                <c:ptCount val="1"/>
                <c:pt idx="0">
                  <c:v>TvdB(f)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'Voltage Loop'!$B$2:$B$101</c:f>
              <c:numCache>
                <c:formatCode>General</c:formatCode>
                <c:ptCount val="100"/>
                <c:pt idx="0">
                  <c:v>100</c:v>
                </c:pt>
                <c:pt idx="1">
                  <c:v>1000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7000.0000000000009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14000.000000000002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  <c:pt idx="17">
                  <c:v>18000</c:v>
                </c:pt>
                <c:pt idx="18">
                  <c:v>19000</c:v>
                </c:pt>
                <c:pt idx="19">
                  <c:v>20000</c:v>
                </c:pt>
                <c:pt idx="20">
                  <c:v>21000</c:v>
                </c:pt>
                <c:pt idx="21">
                  <c:v>22000</c:v>
                </c:pt>
                <c:pt idx="22">
                  <c:v>23000</c:v>
                </c:pt>
                <c:pt idx="23">
                  <c:v>24000</c:v>
                </c:pt>
                <c:pt idx="24">
                  <c:v>25000</c:v>
                </c:pt>
                <c:pt idx="25">
                  <c:v>26000</c:v>
                </c:pt>
                <c:pt idx="26">
                  <c:v>27000</c:v>
                </c:pt>
                <c:pt idx="27">
                  <c:v>28000.000000000004</c:v>
                </c:pt>
                <c:pt idx="28">
                  <c:v>28999.999999999996</c:v>
                </c:pt>
                <c:pt idx="29">
                  <c:v>30000</c:v>
                </c:pt>
                <c:pt idx="30">
                  <c:v>31000</c:v>
                </c:pt>
                <c:pt idx="31">
                  <c:v>32000</c:v>
                </c:pt>
                <c:pt idx="32">
                  <c:v>33000</c:v>
                </c:pt>
                <c:pt idx="33">
                  <c:v>34000</c:v>
                </c:pt>
                <c:pt idx="34">
                  <c:v>35000</c:v>
                </c:pt>
                <c:pt idx="35">
                  <c:v>36000</c:v>
                </c:pt>
                <c:pt idx="36">
                  <c:v>37000</c:v>
                </c:pt>
                <c:pt idx="37">
                  <c:v>38000</c:v>
                </c:pt>
                <c:pt idx="38">
                  <c:v>39000</c:v>
                </c:pt>
                <c:pt idx="39">
                  <c:v>40000</c:v>
                </c:pt>
                <c:pt idx="40">
                  <c:v>41000</c:v>
                </c:pt>
                <c:pt idx="41">
                  <c:v>42000</c:v>
                </c:pt>
                <c:pt idx="42">
                  <c:v>43000</c:v>
                </c:pt>
                <c:pt idx="43">
                  <c:v>44000</c:v>
                </c:pt>
                <c:pt idx="44">
                  <c:v>45000</c:v>
                </c:pt>
                <c:pt idx="45">
                  <c:v>46000</c:v>
                </c:pt>
                <c:pt idx="46">
                  <c:v>47000</c:v>
                </c:pt>
                <c:pt idx="47">
                  <c:v>48000</c:v>
                </c:pt>
                <c:pt idx="48">
                  <c:v>49000</c:v>
                </c:pt>
                <c:pt idx="49">
                  <c:v>50000</c:v>
                </c:pt>
                <c:pt idx="50">
                  <c:v>51000</c:v>
                </c:pt>
                <c:pt idx="51">
                  <c:v>52000</c:v>
                </c:pt>
                <c:pt idx="52">
                  <c:v>53000</c:v>
                </c:pt>
                <c:pt idx="53">
                  <c:v>54000</c:v>
                </c:pt>
                <c:pt idx="54">
                  <c:v>55000.000000000007</c:v>
                </c:pt>
                <c:pt idx="55">
                  <c:v>56000.000000000007</c:v>
                </c:pt>
                <c:pt idx="56">
                  <c:v>56999.999999999993</c:v>
                </c:pt>
                <c:pt idx="57">
                  <c:v>57999.999999999993</c:v>
                </c:pt>
                <c:pt idx="58">
                  <c:v>59000</c:v>
                </c:pt>
                <c:pt idx="59">
                  <c:v>60000</c:v>
                </c:pt>
                <c:pt idx="60">
                  <c:v>61000</c:v>
                </c:pt>
                <c:pt idx="61">
                  <c:v>62000</c:v>
                </c:pt>
                <c:pt idx="62">
                  <c:v>63000</c:v>
                </c:pt>
                <c:pt idx="63">
                  <c:v>64000</c:v>
                </c:pt>
                <c:pt idx="64">
                  <c:v>65000</c:v>
                </c:pt>
                <c:pt idx="65">
                  <c:v>66000</c:v>
                </c:pt>
                <c:pt idx="66">
                  <c:v>67000</c:v>
                </c:pt>
                <c:pt idx="67">
                  <c:v>68000</c:v>
                </c:pt>
                <c:pt idx="68">
                  <c:v>69000</c:v>
                </c:pt>
                <c:pt idx="69">
                  <c:v>70000</c:v>
                </c:pt>
                <c:pt idx="70">
                  <c:v>71000</c:v>
                </c:pt>
                <c:pt idx="71">
                  <c:v>72000</c:v>
                </c:pt>
                <c:pt idx="72">
                  <c:v>73000</c:v>
                </c:pt>
                <c:pt idx="73">
                  <c:v>74000</c:v>
                </c:pt>
                <c:pt idx="74">
                  <c:v>75000</c:v>
                </c:pt>
                <c:pt idx="75">
                  <c:v>76000</c:v>
                </c:pt>
                <c:pt idx="76">
                  <c:v>77000</c:v>
                </c:pt>
                <c:pt idx="77">
                  <c:v>78000</c:v>
                </c:pt>
                <c:pt idx="78">
                  <c:v>79000</c:v>
                </c:pt>
                <c:pt idx="79">
                  <c:v>80000</c:v>
                </c:pt>
                <c:pt idx="80">
                  <c:v>81000</c:v>
                </c:pt>
                <c:pt idx="81">
                  <c:v>82000</c:v>
                </c:pt>
                <c:pt idx="82">
                  <c:v>83000</c:v>
                </c:pt>
                <c:pt idx="83">
                  <c:v>84000</c:v>
                </c:pt>
                <c:pt idx="84">
                  <c:v>85000</c:v>
                </c:pt>
                <c:pt idx="85">
                  <c:v>86000</c:v>
                </c:pt>
                <c:pt idx="86">
                  <c:v>87000</c:v>
                </c:pt>
                <c:pt idx="87">
                  <c:v>88000</c:v>
                </c:pt>
                <c:pt idx="88">
                  <c:v>89000</c:v>
                </c:pt>
                <c:pt idx="89">
                  <c:v>90000</c:v>
                </c:pt>
                <c:pt idx="90">
                  <c:v>91000</c:v>
                </c:pt>
                <c:pt idx="91">
                  <c:v>92000</c:v>
                </c:pt>
                <c:pt idx="92">
                  <c:v>93000</c:v>
                </c:pt>
                <c:pt idx="93">
                  <c:v>94000</c:v>
                </c:pt>
                <c:pt idx="94">
                  <c:v>95000</c:v>
                </c:pt>
                <c:pt idx="95">
                  <c:v>96000</c:v>
                </c:pt>
                <c:pt idx="96">
                  <c:v>97000</c:v>
                </c:pt>
                <c:pt idx="97">
                  <c:v>98000</c:v>
                </c:pt>
                <c:pt idx="98">
                  <c:v>99000</c:v>
                </c:pt>
                <c:pt idx="99">
                  <c:v>100000</c:v>
                </c:pt>
              </c:numCache>
            </c:numRef>
          </c:xVal>
          <c:yVal>
            <c:numRef>
              <c:f>'Voltage Loop'!$M$2:$M$101</c:f>
              <c:numCache>
                <c:formatCode>General</c:formatCode>
                <c:ptCount val="100"/>
                <c:pt idx="0">
                  <c:v>47.655709310388829</c:v>
                </c:pt>
                <c:pt idx="1">
                  <c:v>11.294985954335106</c:v>
                </c:pt>
                <c:pt idx="2">
                  <c:v>1.2821572947542146</c:v>
                </c:pt>
                <c:pt idx="3">
                  <c:v>-0.37085855982969884</c:v>
                </c:pt>
                <c:pt idx="4">
                  <c:v>-1.4685897413907534</c:v>
                </c:pt>
                <c:pt idx="5">
                  <c:v>-2.2971848158600769</c:v>
                </c:pt>
                <c:pt idx="6">
                  <c:v>-2.9824985262340249</c:v>
                </c:pt>
                <c:pt idx="7">
                  <c:v>-3.5841720501078704</c:v>
                </c:pt>
                <c:pt idx="8">
                  <c:v>-4.131903013797614</c:v>
                </c:pt>
                <c:pt idx="9">
                  <c:v>-4.6410799689356477</c:v>
                </c:pt>
                <c:pt idx="10">
                  <c:v>-5.1200064698349932</c:v>
                </c:pt>
                <c:pt idx="11">
                  <c:v>-5.5733990774447015</c:v>
                </c:pt>
                <c:pt idx="12">
                  <c:v>-6.0041358772051421</c:v>
                </c:pt>
                <c:pt idx="13">
                  <c:v>-6.4141488052429523</c:v>
                </c:pt>
                <c:pt idx="14">
                  <c:v>-6.8048845798366671</c:v>
                </c:pt>
                <c:pt idx="15">
                  <c:v>-7.1775440171328384</c:v>
                </c:pt>
                <c:pt idx="16">
                  <c:v>-7.5332062140021776</c:v>
                </c:pt>
                <c:pt idx="17">
                  <c:v>-7.8728926982418983</c:v>
                </c:pt>
                <c:pt idx="18">
                  <c:v>-8.1976004077461457</c:v>
                </c:pt>
                <c:pt idx="19">
                  <c:v>-8.5083186982937349</c:v>
                </c:pt>
                <c:pt idx="20">
                  <c:v>-8.8060383653407932</c:v>
                </c:pt>
                <c:pt idx="21">
                  <c:v>-9.091756818673435</c:v>
                </c:pt>
                <c:pt idx="22">
                  <c:v>-9.3664814854046679</c:v>
                </c:pt>
                <c:pt idx="23">
                  <c:v>-9.6312324064230896</c:v>
                </c:pt>
                <c:pt idx="24">
                  <c:v>-9.8870443931825349</c:v>
                </c:pt>
                <c:pt idx="25">
                  <c:v>-10.134968789562835</c:v>
                </c:pt>
                <c:pt idx="26">
                  <c:v>-10.376074710697569</c:v>
                </c:pt>
                <c:pt idx="27">
                  <c:v>-10.611449539731154</c:v>
                </c:pt>
                <c:pt idx="28">
                  <c:v>-10.842198419616997</c:v>
                </c:pt>
                <c:pt idx="29">
                  <c:v>-11.069442463603528</c:v>
                </c:pt>
                <c:pt idx="30">
                  <c:v>-11.294315418437943</c:v>
                </c:pt>
                <c:pt idx="31">
                  <c:v>-11.517958547479141</c:v>
                </c:pt>
                <c:pt idx="32">
                  <c:v>-11.741513558330581</c:v>
                </c:pt>
                <c:pt idx="33">
                  <c:v>-11.966113483216976</c:v>
                </c:pt>
                <c:pt idx="34">
                  <c:v>-12.192871530743707</c:v>
                </c:pt>
                <c:pt idx="35">
                  <c:v>-12.422868062757997</c:v>
                </c:pt>
                <c:pt idx="36">
                  <c:v>-12.657136003677383</c:v>
                </c:pt>
                <c:pt idx="37">
                  <c:v>-12.896645151167426</c:v>
                </c:pt>
                <c:pt idx="38">
                  <c:v>-13.142286011295605</c:v>
                </c:pt>
                <c:pt idx="39">
                  <c:v>-13.394853909827862</c:v>
                </c:pt>
                <c:pt idx="40">
                  <c:v>-13.655034214711337</c:v>
                </c:pt>
                <c:pt idx="41">
                  <c:v>-13.923389525688759</c:v>
                </c:pt>
                <c:pt idx="42">
                  <c:v>-14.200349633768138</c:v>
                </c:pt>
                <c:pt idx="43">
                  <c:v>-14.486204923074411</c:v>
                </c:pt>
                <c:pt idx="44">
                  <c:v>-14.781103688204144</c:v>
                </c:pt>
                <c:pt idx="45">
                  <c:v>-15.085053589873866</c:v>
                </c:pt>
                <c:pt idx="46">
                  <c:v>-15.397927196876815</c:v>
                </c:pt>
                <c:pt idx="47">
                  <c:v>-15.719471293674552</c:v>
                </c:pt>
                <c:pt idx="48">
                  <c:v>-16.049319399839643</c:v>
                </c:pt>
                <c:pt idx="49">
                  <c:v>-16.387006773637786</c:v>
                </c:pt>
                <c:pt idx="50">
                  <c:v>-16.731987071525904</c:v>
                </c:pt>
                <c:pt idx="51">
                  <c:v>-17.083649811619757</c:v>
                </c:pt>
                <c:pt idx="52">
                  <c:v>-17.441337835527357</c:v>
                </c:pt>
                <c:pt idx="53">
                  <c:v>-17.804364064939374</c:v>
                </c:pt>
                <c:pt idx="54">
                  <c:v>-18.172026988318507</c:v>
                </c:pt>
                <c:pt idx="55">
                  <c:v>-18.543624469417196</c:v>
                </c:pt>
                <c:pt idx="56">
                  <c:v>-18.918465625681876</c:v>
                </c:pt>
                <c:pt idx="57">
                  <c:v>-19.295880667290529</c:v>
                </c:pt>
                <c:pt idx="58">
                  <c:v>-19.675228707663145</c:v>
                </c:pt>
                <c:pt idx="59">
                  <c:v>-20.055903649409515</c:v>
                </c:pt>
                <c:pt idx="60">
                  <c:v>-20.437338315218941</c:v>
                </c:pt>
                <c:pt idx="61">
                  <c:v>-20.819007033328674</c:v>
                </c:pt>
                <c:pt idx="62">
                  <c:v>-21.200426905763358</c:v>
                </c:pt>
                <c:pt idx="63">
                  <c:v>-21.581157989123486</c:v>
                </c:pt>
                <c:pt idx="64">
                  <c:v>-21.960802606938024</c:v>
                </c:pt>
                <c:pt idx="65">
                  <c:v>-22.339003993701393</c:v>
                </c:pt>
                <c:pt idx="66">
                  <c:v>-22.715444447190904</c:v>
                </c:pt>
                <c:pt idx="67">
                  <c:v>-23.089843140270936</c:v>
                </c:pt>
                <c:pt idx="68">
                  <c:v>-23.461953718128697</c:v>
                </c:pt>
                <c:pt idx="69">
                  <c:v>-23.831561783095797</c:v>
                </c:pt>
                <c:pt idx="70">
                  <c:v>-24.198482347717992</c:v>
                </c:pt>
                <c:pt idx="71">
                  <c:v>-24.562557317917808</c:v>
                </c:pt>
                <c:pt idx="72">
                  <c:v>-24.923653052090824</c:v>
                </c:pt>
                <c:pt idx="73">
                  <c:v>-25.28165802866047</c:v>
                </c:pt>
                <c:pt idx="74">
                  <c:v>-25.636480643803363</c:v>
                </c:pt>
                <c:pt idx="75">
                  <c:v>-25.988047152446306</c:v>
                </c:pt>
                <c:pt idx="76">
                  <c:v>-26.336299758942189</c:v>
                </c:pt>
                <c:pt idx="77">
                  <c:v>-26.6811948587365</c:v>
                </c:pt>
                <c:pt idx="78">
                  <c:v>-27.022701428579815</c:v>
                </c:pt>
                <c:pt idx="79">
                  <c:v>-27.360799560150348</c:v>
                </c:pt>
                <c:pt idx="80">
                  <c:v>-27.695479130126568</c:v>
                </c:pt>
                <c:pt idx="81">
                  <c:v>-28.026738598585403</c:v>
                </c:pt>
                <c:pt idx="82">
                  <c:v>-28.354583926962015</c:v>
                </c:pt>
                <c:pt idx="83">
                  <c:v>-28.679027606547471</c:v>
                </c:pt>
                <c:pt idx="84">
                  <c:v>-29.000087788534231</c:v>
                </c:pt>
                <c:pt idx="85">
                  <c:v>-29.317787506846059</c:v>
                </c:pt>
                <c:pt idx="86">
                  <c:v>-29.632153985366582</c:v>
                </c:pt>
                <c:pt idx="87">
                  <c:v>-29.943218021642672</c:v>
                </c:pt>
                <c:pt idx="88">
                  <c:v>-30.251013439654617</c:v>
                </c:pt>
                <c:pt idx="89">
                  <c:v>-30.555576604785863</c:v>
                </c:pt>
                <c:pt idx="90">
                  <c:v>-30.856945994673023</c:v>
                </c:pt>
                <c:pt idx="91">
                  <c:v>-31.155161820151744</c:v>
                </c:pt>
                <c:pt idx="92">
                  <c:v>-31.450265691028797</c:v>
                </c:pt>
                <c:pt idx="93">
                  <c:v>-31.742300321901951</c:v>
                </c:pt>
                <c:pt idx="94">
                  <c:v>-32.031309273704757</c:v>
                </c:pt>
                <c:pt idx="95">
                  <c:v>-32.317336727082534</c:v>
                </c:pt>
                <c:pt idx="96">
                  <c:v>-32.600427284093072</c:v>
                </c:pt>
                <c:pt idx="97">
                  <c:v>-32.880625795089891</c:v>
                </c:pt>
                <c:pt idx="98">
                  <c:v>-33.157977207969836</c:v>
                </c:pt>
                <c:pt idx="99">
                  <c:v>-33.432526437264819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785-4B7C-BFF9-BA1E4EF52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724783"/>
        <c:axId val="1"/>
      </c:scatterChart>
      <c:scatterChart>
        <c:scatterStyle val="lineMarker"/>
        <c:varyColors val="0"/>
        <c:ser>
          <c:idx val="2"/>
          <c:order val="1"/>
          <c:tx>
            <c:strRef>
              <c:f>'Voltage Loop'!$O$1</c:f>
              <c:strCache>
                <c:ptCount val="1"/>
                <c:pt idx="0">
                  <c:v>ӨTv(f)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'Voltage Loop'!$B$2:$B$101</c:f>
              <c:numCache>
                <c:formatCode>General</c:formatCode>
                <c:ptCount val="100"/>
                <c:pt idx="0">
                  <c:v>100</c:v>
                </c:pt>
                <c:pt idx="1">
                  <c:v>1000</c:v>
                </c:pt>
                <c:pt idx="2">
                  <c:v>3000</c:v>
                </c:pt>
                <c:pt idx="3">
                  <c:v>4000</c:v>
                </c:pt>
                <c:pt idx="4">
                  <c:v>5000</c:v>
                </c:pt>
                <c:pt idx="5">
                  <c:v>6000</c:v>
                </c:pt>
                <c:pt idx="6">
                  <c:v>7000.0000000000009</c:v>
                </c:pt>
                <c:pt idx="7">
                  <c:v>8000</c:v>
                </c:pt>
                <c:pt idx="8">
                  <c:v>9000</c:v>
                </c:pt>
                <c:pt idx="9">
                  <c:v>10000</c:v>
                </c:pt>
                <c:pt idx="10">
                  <c:v>11000</c:v>
                </c:pt>
                <c:pt idx="11">
                  <c:v>12000</c:v>
                </c:pt>
                <c:pt idx="12">
                  <c:v>13000</c:v>
                </c:pt>
                <c:pt idx="13">
                  <c:v>14000.000000000002</c:v>
                </c:pt>
                <c:pt idx="14">
                  <c:v>15000</c:v>
                </c:pt>
                <c:pt idx="15">
                  <c:v>16000</c:v>
                </c:pt>
                <c:pt idx="16">
                  <c:v>17000</c:v>
                </c:pt>
                <c:pt idx="17">
                  <c:v>18000</c:v>
                </c:pt>
                <c:pt idx="18">
                  <c:v>19000</c:v>
                </c:pt>
                <c:pt idx="19">
                  <c:v>20000</c:v>
                </c:pt>
                <c:pt idx="20">
                  <c:v>21000</c:v>
                </c:pt>
                <c:pt idx="21">
                  <c:v>22000</c:v>
                </c:pt>
                <c:pt idx="22">
                  <c:v>23000</c:v>
                </c:pt>
                <c:pt idx="23">
                  <c:v>24000</c:v>
                </c:pt>
                <c:pt idx="24">
                  <c:v>25000</c:v>
                </c:pt>
                <c:pt idx="25">
                  <c:v>26000</c:v>
                </c:pt>
                <c:pt idx="26">
                  <c:v>27000</c:v>
                </c:pt>
                <c:pt idx="27">
                  <c:v>28000.000000000004</c:v>
                </c:pt>
                <c:pt idx="28">
                  <c:v>28999.999999999996</c:v>
                </c:pt>
                <c:pt idx="29">
                  <c:v>30000</c:v>
                </c:pt>
                <c:pt idx="30">
                  <c:v>31000</c:v>
                </c:pt>
                <c:pt idx="31">
                  <c:v>32000</c:v>
                </c:pt>
                <c:pt idx="32">
                  <c:v>33000</c:v>
                </c:pt>
                <c:pt idx="33">
                  <c:v>34000</c:v>
                </c:pt>
                <c:pt idx="34">
                  <c:v>35000</c:v>
                </c:pt>
                <c:pt idx="35">
                  <c:v>36000</c:v>
                </c:pt>
                <c:pt idx="36">
                  <c:v>37000</c:v>
                </c:pt>
                <c:pt idx="37">
                  <c:v>38000</c:v>
                </c:pt>
                <c:pt idx="38">
                  <c:v>39000</c:v>
                </c:pt>
                <c:pt idx="39">
                  <c:v>40000</c:v>
                </c:pt>
                <c:pt idx="40">
                  <c:v>41000</c:v>
                </c:pt>
                <c:pt idx="41">
                  <c:v>42000</c:v>
                </c:pt>
                <c:pt idx="42">
                  <c:v>43000</c:v>
                </c:pt>
                <c:pt idx="43">
                  <c:v>44000</c:v>
                </c:pt>
                <c:pt idx="44">
                  <c:v>45000</c:v>
                </c:pt>
                <c:pt idx="45">
                  <c:v>46000</c:v>
                </c:pt>
                <c:pt idx="46">
                  <c:v>47000</c:v>
                </c:pt>
                <c:pt idx="47">
                  <c:v>48000</c:v>
                </c:pt>
                <c:pt idx="48">
                  <c:v>49000</c:v>
                </c:pt>
                <c:pt idx="49">
                  <c:v>50000</c:v>
                </c:pt>
                <c:pt idx="50">
                  <c:v>51000</c:v>
                </c:pt>
                <c:pt idx="51">
                  <c:v>52000</c:v>
                </c:pt>
                <c:pt idx="52">
                  <c:v>53000</c:v>
                </c:pt>
                <c:pt idx="53">
                  <c:v>54000</c:v>
                </c:pt>
                <c:pt idx="54">
                  <c:v>55000.000000000007</c:v>
                </c:pt>
                <c:pt idx="55">
                  <c:v>56000.000000000007</c:v>
                </c:pt>
                <c:pt idx="56">
                  <c:v>56999.999999999993</c:v>
                </c:pt>
                <c:pt idx="57">
                  <c:v>57999.999999999993</c:v>
                </c:pt>
                <c:pt idx="58">
                  <c:v>59000</c:v>
                </c:pt>
                <c:pt idx="59">
                  <c:v>60000</c:v>
                </c:pt>
                <c:pt idx="60">
                  <c:v>61000</c:v>
                </c:pt>
                <c:pt idx="61">
                  <c:v>62000</c:v>
                </c:pt>
                <c:pt idx="62">
                  <c:v>63000</c:v>
                </c:pt>
                <c:pt idx="63">
                  <c:v>64000</c:v>
                </c:pt>
                <c:pt idx="64">
                  <c:v>65000</c:v>
                </c:pt>
                <c:pt idx="65">
                  <c:v>66000</c:v>
                </c:pt>
                <c:pt idx="66">
                  <c:v>67000</c:v>
                </c:pt>
                <c:pt idx="67">
                  <c:v>68000</c:v>
                </c:pt>
                <c:pt idx="68">
                  <c:v>69000</c:v>
                </c:pt>
                <c:pt idx="69">
                  <c:v>70000</c:v>
                </c:pt>
                <c:pt idx="70">
                  <c:v>71000</c:v>
                </c:pt>
                <c:pt idx="71">
                  <c:v>72000</c:v>
                </c:pt>
                <c:pt idx="72">
                  <c:v>73000</c:v>
                </c:pt>
                <c:pt idx="73">
                  <c:v>74000</c:v>
                </c:pt>
                <c:pt idx="74">
                  <c:v>75000</c:v>
                </c:pt>
                <c:pt idx="75">
                  <c:v>76000</c:v>
                </c:pt>
                <c:pt idx="76">
                  <c:v>77000</c:v>
                </c:pt>
                <c:pt idx="77">
                  <c:v>78000</c:v>
                </c:pt>
                <c:pt idx="78">
                  <c:v>79000</c:v>
                </c:pt>
                <c:pt idx="79">
                  <c:v>80000</c:v>
                </c:pt>
                <c:pt idx="80">
                  <c:v>81000</c:v>
                </c:pt>
                <c:pt idx="81">
                  <c:v>82000</c:v>
                </c:pt>
                <c:pt idx="82">
                  <c:v>83000</c:v>
                </c:pt>
                <c:pt idx="83">
                  <c:v>84000</c:v>
                </c:pt>
                <c:pt idx="84">
                  <c:v>85000</c:v>
                </c:pt>
                <c:pt idx="85">
                  <c:v>86000</c:v>
                </c:pt>
                <c:pt idx="86">
                  <c:v>87000</c:v>
                </c:pt>
                <c:pt idx="87">
                  <c:v>88000</c:v>
                </c:pt>
                <c:pt idx="88">
                  <c:v>89000</c:v>
                </c:pt>
                <c:pt idx="89">
                  <c:v>90000</c:v>
                </c:pt>
                <c:pt idx="90">
                  <c:v>91000</c:v>
                </c:pt>
                <c:pt idx="91">
                  <c:v>92000</c:v>
                </c:pt>
                <c:pt idx="92">
                  <c:v>93000</c:v>
                </c:pt>
                <c:pt idx="93">
                  <c:v>94000</c:v>
                </c:pt>
                <c:pt idx="94">
                  <c:v>95000</c:v>
                </c:pt>
                <c:pt idx="95">
                  <c:v>96000</c:v>
                </c:pt>
                <c:pt idx="96">
                  <c:v>97000</c:v>
                </c:pt>
                <c:pt idx="97">
                  <c:v>98000</c:v>
                </c:pt>
                <c:pt idx="98">
                  <c:v>99000</c:v>
                </c:pt>
                <c:pt idx="99">
                  <c:v>100000</c:v>
                </c:pt>
              </c:numCache>
            </c:numRef>
          </c:xVal>
          <c:yVal>
            <c:numRef>
              <c:f>'Voltage Loop'!$O$2:$O$101</c:f>
              <c:numCache>
                <c:formatCode>General</c:formatCode>
                <c:ptCount val="100"/>
                <c:pt idx="0">
                  <c:v>8.8659597264308445</c:v>
                </c:pt>
                <c:pt idx="1">
                  <c:v>56.985997803972054</c:v>
                </c:pt>
                <c:pt idx="2">
                  <c:v>94.282414345268919</c:v>
                </c:pt>
                <c:pt idx="3">
                  <c:v>100.38684758199327</c:v>
                </c:pt>
                <c:pt idx="4">
                  <c:v>103.19012755660417</c:v>
                </c:pt>
                <c:pt idx="5">
                  <c:v>104.05057717777083</c:v>
                </c:pt>
                <c:pt idx="6">
                  <c:v>103.73718744582411</c:v>
                </c:pt>
                <c:pt idx="7">
                  <c:v>102.70721168010094</c:v>
                </c:pt>
                <c:pt idx="8">
                  <c:v>101.23947510428049</c:v>
                </c:pt>
                <c:pt idx="9">
                  <c:v>99.506424440472657</c:v>
                </c:pt>
                <c:pt idx="10">
                  <c:v>97.615405690593576</c:v>
                </c:pt>
                <c:pt idx="11">
                  <c:v>95.633177895183621</c:v>
                </c:pt>
                <c:pt idx="12">
                  <c:v>93.60084766921122</c:v>
                </c:pt>
                <c:pt idx="13">
                  <c:v>91.54314575810659</c:v>
                </c:pt>
                <c:pt idx="14">
                  <c:v>89.474277726515382</c:v>
                </c:pt>
                <c:pt idx="15">
                  <c:v>87.401659937728724</c:v>
                </c:pt>
                <c:pt idx="16">
                  <c:v>85.328330027448771</c:v>
                </c:pt>
                <c:pt idx="17">
                  <c:v>83.254516231399208</c:v>
                </c:pt>
                <c:pt idx="18">
                  <c:v>81.178667615747145</c:v>
                </c:pt>
                <c:pt idx="19">
                  <c:v>79.098136136162822</c:v>
                </c:pt>
                <c:pt idx="20">
                  <c:v>77.009632647210864</c:v>
                </c:pt>
                <c:pt idx="21">
                  <c:v>74.909535805428831</c:v>
                </c:pt>
                <c:pt idx="22">
                  <c:v>72.794105383185752</c:v>
                </c:pt>
                <c:pt idx="23">
                  <c:v>70.659633887064203</c:v>
                </c:pt>
                <c:pt idx="24">
                  <c:v>68.502558913044609</c:v>
                </c:pt>
                <c:pt idx="25">
                  <c:v>66.319551112216473</c:v>
                </c:pt>
                <c:pt idx="26">
                  <c:v>64.107587566472475</c:v>
                </c:pt>
                <c:pt idx="27">
                  <c:v>61.864016883577861</c:v>
                </c:pt>
                <c:pt idx="28">
                  <c:v>59.586619840049323</c:v>
                </c:pt>
                <c:pt idx="29">
                  <c:v>57.273667561161872</c:v>
                </c:pt>
                <c:pt idx="30">
                  <c:v>54.923977799409926</c:v>
                </c:pt>
                <c:pt idx="31">
                  <c:v>52.536968718343374</c:v>
                </c:pt>
                <c:pt idx="32">
                  <c:v>50.112708636682157</c:v>
                </c:pt>
                <c:pt idx="33">
                  <c:v>47.651959415929838</c:v>
                </c:pt>
                <c:pt idx="34">
                  <c:v>45.156210597492446</c:v>
                </c:pt>
                <c:pt idx="35">
                  <c:v>42.627701051524781</c:v>
                </c:pt>
                <c:pt idx="36">
                  <c:v>40.069424840428667</c:v>
                </c:pt>
                <c:pt idx="37">
                  <c:v>37.485118273857012</c:v>
                </c:pt>
                <c:pt idx="38">
                  <c:v>34.879225769648968</c:v>
                </c:pt>
                <c:pt idx="39">
                  <c:v>32.256843132759855</c:v>
                </c:pt>
                <c:pt idx="40">
                  <c:v>29.623638172257387</c:v>
                </c:pt>
                <c:pt idx="41">
                  <c:v>26.98575009393366</c:v>
                </c:pt>
                <c:pt idx="42">
                  <c:v>24.349670686014264</c:v>
                </c:pt>
                <c:pt idx="43">
                  <c:v>21.722111781046181</c:v>
                </c:pt>
                <c:pt idx="44">
                  <c:v>19.109864647654376</c:v>
                </c:pt>
                <c:pt idx="45">
                  <c:v>16.519657687573783</c:v>
                </c:pt>
                <c:pt idx="46">
                  <c:v>13.958018987518557</c:v>
                </c:pt>
                <c:pt idx="47">
                  <c:v>11.431149877641758</c:v>
                </c:pt>
                <c:pt idx="48">
                  <c:v>8.9448147333190207</c:v>
                </c:pt>
                <c:pt idx="49">
                  <c:v>6.5042509475514976</c:v>
                </c:pt>
                <c:pt idx="50">
                  <c:v>4.1141014647389227</c:v>
                </c:pt>
                <c:pt idx="51">
                  <c:v>1.7783706842459992</c:v>
                </c:pt>
                <c:pt idx="52">
                  <c:v>-0.49959692010730805</c:v>
                </c:pt>
                <c:pt idx="53">
                  <c:v>-2.7171173333487673</c:v>
                </c:pt>
                <c:pt idx="54">
                  <c:v>-4.8721494447169107</c:v>
                </c:pt>
                <c:pt idx="55">
                  <c:v>-6.9632627057026752</c:v>
                </c:pt>
                <c:pt idx="56">
                  <c:v>-8.9895935129737268</c:v>
                </c:pt>
                <c:pt idx="57">
                  <c:v>-10.950793761202021</c:v>
                </c:pt>
                <c:pt idx="58">
                  <c:v>-12.846974733015486</c:v>
                </c:pt>
                <c:pt idx="59">
                  <c:v>-14.678649077208092</c:v>
                </c:pt>
                <c:pt idx="60">
                  <c:v>-16.446673138690471</c:v>
                </c:pt>
                <c:pt idx="61">
                  <c:v>-18.152191399519552</c:v>
                </c:pt>
                <c:pt idx="62">
                  <c:v>-19.796584310563787</c:v>
                </c:pt>
                <c:pt idx="63">
                  <c:v>-21.381420364691508</c:v>
                </c:pt>
                <c:pt idx="64">
                  <c:v>-22.908412899196833</c:v>
                </c:pt>
                <c:pt idx="65">
                  <c:v>-24.379381822263269</c:v>
                </c:pt>
                <c:pt idx="66">
                  <c:v>-25.7962202333552</c:v>
                </c:pt>
                <c:pt idx="67">
                  <c:v>-27.160865744036641</c:v>
                </c:pt>
                <c:pt idx="68">
                  <c:v>-28.475276194948947</c:v>
                </c:pt>
                <c:pt idx="69">
                  <c:v>-29.741409396976792</c:v>
                </c:pt>
                <c:pt idx="70">
                  <c:v>-30.961206490648181</c:v>
                </c:pt>
                <c:pt idx="71">
                  <c:v>-32.136578509160188</c:v>
                </c:pt>
                <c:pt idx="72">
                  <c:v>-33.269395739895685</c:v>
                </c:pt>
                <c:pt idx="73">
                  <c:v>-34.361479500973246</c:v>
                </c:pt>
                <c:pt idx="74">
                  <c:v>-35.41459597864241</c:v>
                </c:pt>
                <c:pt idx="75">
                  <c:v>-36.430451804607742</c:v>
                </c:pt>
                <c:pt idx="76">
                  <c:v>-37.410691087088367</c:v>
                </c:pt>
                <c:pt idx="77">
                  <c:v>-38.356893643729677</c:v>
                </c:pt>
                <c:pt idx="78">
                  <c:v>-39.270574217220314</c:v>
                </c:pt>
                <c:pt idx="79">
                  <c:v>-40.153182484821116</c:v>
                </c:pt>
                <c:pt idx="80">
                  <c:v>-41.006103700637766</c:v>
                </c:pt>
                <c:pt idx="81">
                  <c:v>-41.830659834177538</c:v>
                </c:pt>
                <c:pt idx="82">
                  <c:v>-42.628111090546213</c:v>
                </c:pt>
                <c:pt idx="83">
                  <c:v>-43.399657716703018</c:v>
                </c:pt>
                <c:pt idx="84">
                  <c:v>-44.146442014656031</c:v>
                </c:pt>
                <c:pt idx="85">
                  <c:v>-44.869550496649651</c:v>
                </c:pt>
                <c:pt idx="86">
                  <c:v>-45.570016129424516</c:v>
                </c:pt>
                <c:pt idx="87">
                  <c:v>-46.248820624833684</c:v>
                </c:pt>
                <c:pt idx="88">
                  <c:v>-46.90689674268225</c:v>
                </c:pt>
                <c:pt idx="89">
                  <c:v>-47.545130578828321</c:v>
                </c:pt>
                <c:pt idx="90">
                  <c:v>-48.164363817554658</c:v>
                </c:pt>
                <c:pt idx="91">
                  <c:v>-48.765395932157389</c:v>
                </c:pt>
                <c:pt idx="92">
                  <c:v>-49.348986321766688</c:v>
                </c:pt>
                <c:pt idx="93">
                  <c:v>-49.915856375731778</c:v>
                </c:pt>
                <c:pt idx="94">
                  <c:v>-50.46669145961107</c:v>
                </c:pt>
                <c:pt idx="95">
                  <c:v>-51.002142818982747</c:v>
                </c:pt>
                <c:pt idx="96">
                  <c:v>-51.522829399043758</c:v>
                </c:pt>
                <c:pt idx="97">
                  <c:v>-52.029339579348289</c:v>
                </c:pt>
                <c:pt idx="98">
                  <c:v>-52.522232824121431</c:v>
                </c:pt>
                <c:pt idx="99">
                  <c:v>-53.00204124943491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785-4B7C-BFF9-BA1E4EF52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307724783"/>
        <c:scaling>
          <c:logBase val="10"/>
          <c:orientation val="minMax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Frequency in Hz</a:t>
                </a:r>
              </a:p>
            </c:rich>
          </c:tx>
          <c:layout>
            <c:manualLayout>
              <c:xMode val="edge"/>
              <c:yMode val="edge"/>
              <c:x val="0.41680429979201528"/>
              <c:y val="0.931122448979591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-80"/>
        <c:crossBetween val="midCat"/>
      </c:valAx>
      <c:valAx>
        <c:axId val="1"/>
        <c:scaling>
          <c:orientation val="minMax"/>
          <c:max val="80"/>
          <c:min val="-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Gain in dB</a:t>
                </a:r>
              </a:p>
            </c:rich>
          </c:tx>
          <c:layout>
            <c:manualLayout>
              <c:xMode val="edge"/>
              <c:yMode val="edge"/>
              <c:x val="1.9769357495881382E-2"/>
              <c:y val="0.3979591836734693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7724783"/>
        <c:crosses val="autoZero"/>
        <c:crossBetween val="midCat"/>
      </c:valAx>
      <c:valAx>
        <c:axId val="3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ax val="180"/>
          <c:min val="-18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midCat"/>
        <c:majorUnit val="4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2191121085152658"/>
          <c:y val="0.70408163265306123"/>
          <c:w val="0.28500858315280603"/>
          <c:h val="0.829081632653061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12</xdr:col>
      <xdr:colOff>257175</xdr:colOff>
      <xdr:row>35</xdr:row>
      <xdr:rowOff>76200</xdr:rowOff>
    </xdr:to>
    <xdr:pic>
      <xdr:nvPicPr>
        <xdr:cNvPr id="41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7400925" cy="5676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105603</xdr:colOff>
      <xdr:row>151</xdr:row>
      <xdr:rowOff>29818</xdr:rowOff>
    </xdr:from>
    <xdr:to>
      <xdr:col>3</xdr:col>
      <xdr:colOff>753303</xdr:colOff>
      <xdr:row>171</xdr:row>
      <xdr:rowOff>153643</xdr:rowOff>
    </xdr:to>
    <xdr:graphicFrame macro="">
      <xdr:nvGraphicFramePr>
        <xdr:cNvPr id="1070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8</xdr:col>
      <xdr:colOff>523875</xdr:colOff>
      <xdr:row>4</xdr:row>
      <xdr:rowOff>85725</xdr:rowOff>
    </xdr:to>
    <xdr:pic>
      <xdr:nvPicPr>
        <xdr:cNvPr id="51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5400675" cy="704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</xdr:row>
          <xdr:rowOff>57150</xdr:rowOff>
        </xdr:from>
        <xdr:to>
          <xdr:col>8</xdr:col>
          <xdr:colOff>533400</xdr:colOff>
          <xdr:row>46</xdr:row>
          <xdr:rowOff>57150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352425</xdr:colOff>
      <xdr:row>34</xdr:row>
      <xdr:rowOff>123825</xdr:rowOff>
    </xdr:to>
    <xdr:pic>
      <xdr:nvPicPr>
        <xdr:cNvPr id="61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19625" cy="5629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390525</xdr:colOff>
      <xdr:row>34</xdr:row>
      <xdr:rowOff>133350</xdr:rowOff>
    </xdr:to>
    <xdr:pic>
      <xdr:nvPicPr>
        <xdr:cNvPr id="72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57725" cy="5638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85</xdr:row>
      <xdr:rowOff>114300</xdr:rowOff>
    </xdr:from>
    <xdr:to>
      <xdr:col>7</xdr:col>
      <xdr:colOff>57150</xdr:colOff>
      <xdr:row>105</xdr:row>
      <xdr:rowOff>152400</xdr:rowOff>
    </xdr:to>
    <xdr:graphicFrame macro="">
      <xdr:nvGraphicFramePr>
        <xdr:cNvPr id="310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0799388/My%20Documents/Applications%20Information/UCC28070/Design%20Tool/UCC28070%20Design%20Tool%208%2015%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ign Information"/>
      <sheetName val="Current Loop Calaculations"/>
      <sheetName val="Voltage Loop Calaclations"/>
    </sheetNames>
    <sheetDataSet>
      <sheetData sheetId="0">
        <row r="29">
          <cell r="C29">
            <v>2.4499999999999999E-4</v>
          </cell>
        </row>
        <row r="40">
          <cell r="C40">
            <v>50</v>
          </cell>
        </row>
        <row r="83">
          <cell r="C83">
            <v>4020</v>
          </cell>
        </row>
        <row r="85">
          <cell r="C85">
            <v>2.1999999999999998E-9</v>
          </cell>
        </row>
        <row r="87">
          <cell r="C87">
            <v>3.3E-10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R7" sqref="R7"/>
    </sheetView>
  </sheetViews>
  <sheetFormatPr defaultRowHeight="12.75" x14ac:dyDescent="0.2"/>
  <sheetData>
    <row r="1" spans="1:14" ht="33.75" x14ac:dyDescent="0.2">
      <c r="A1" s="109" t="s">
        <v>339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ht="25.5" x14ac:dyDescent="0.2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x14ac:dyDescent="0.2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14" ht="25.5" x14ac:dyDescent="0.2">
      <c r="A4" s="112" t="s">
        <v>1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1:14" ht="25.5" x14ac:dyDescent="0.2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5.5" x14ac:dyDescent="0.2">
      <c r="A7" s="1"/>
      <c r="B7" s="112" t="s">
        <v>3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</row>
    <row r="8" spans="1:14" ht="25.5" x14ac:dyDescent="0.2">
      <c r="A8" s="1"/>
      <c r="B8" s="112" t="s">
        <v>4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</row>
    <row r="9" spans="1:14" ht="25.5" x14ac:dyDescent="0.2">
      <c r="A9" s="1"/>
      <c r="B9" s="112" t="s">
        <v>5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</row>
    <row r="10" spans="1:14" ht="25.5" x14ac:dyDescent="0.2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5.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5.5" x14ac:dyDescent="0.2">
      <c r="A12" s="113" t="s">
        <v>296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</row>
    <row r="13" spans="1:14" ht="25.5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</row>
    <row r="14" spans="1:14" ht="25.5" x14ac:dyDescent="0.2">
      <c r="A14" s="113" t="s">
        <v>7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</row>
    <row r="15" spans="1:14" ht="25.5" x14ac:dyDescent="0.2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</row>
    <row r="16" spans="1:14" ht="45.75" customHeight="1" x14ac:dyDescent="0.2">
      <c r="A16" s="113" t="s">
        <v>330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</row>
    <row r="17" spans="1:1" x14ac:dyDescent="0.2">
      <c r="A17" t="s">
        <v>19</v>
      </c>
    </row>
  </sheetData>
  <mergeCells count="11">
    <mergeCell ref="A14:N14"/>
    <mergeCell ref="A16:N16"/>
    <mergeCell ref="A5:N5"/>
    <mergeCell ref="B7:N7"/>
    <mergeCell ref="B8:N8"/>
    <mergeCell ref="B9:N9"/>
    <mergeCell ref="A1:N1"/>
    <mergeCell ref="A2:N2"/>
    <mergeCell ref="A3:N3"/>
    <mergeCell ref="A4:N4"/>
    <mergeCell ref="A12:N12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3"/>
  <sheetViews>
    <sheetView workbookViewId="0">
      <selection activeCell="F39" sqref="F39"/>
    </sheetView>
  </sheetViews>
  <sheetFormatPr defaultRowHeight="12.75" x14ac:dyDescent="0.2"/>
  <sheetData>
    <row r="43" spans="4:4" x14ac:dyDescent="0.2">
      <c r="D43" t="s">
        <v>19</v>
      </c>
    </row>
  </sheetData>
  <sheetProtection password="ECDD" sheet="1" objects="1" scenarios="1"/>
  <phoneticPr fontId="21" type="noConversion"/>
  <pageMargins left="0.75" right="0.75" top="1" bottom="1" header="0.5" footer="0.5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="85" zoomScaleNormal="85" workbookViewId="0">
      <selection activeCell="C141" sqref="C141"/>
    </sheetView>
  </sheetViews>
  <sheetFormatPr defaultRowHeight="15.75" x14ac:dyDescent="0.25"/>
  <cols>
    <col min="1" max="1" width="66.140625" style="55" customWidth="1"/>
    <col min="2" max="2" width="15" style="55" customWidth="1"/>
    <col min="3" max="3" width="13.42578125" style="61" customWidth="1"/>
    <col min="4" max="5" width="11.5703125" style="55" customWidth="1"/>
    <col min="6" max="16384" width="9.140625" style="55"/>
  </cols>
  <sheetData>
    <row r="1" spans="1:8" x14ac:dyDescent="0.25">
      <c r="A1" s="55" t="s">
        <v>337</v>
      </c>
    </row>
    <row r="2" spans="1:8" x14ac:dyDescent="0.25">
      <c r="A2" s="55" t="s">
        <v>338</v>
      </c>
      <c r="B2" s="56">
        <v>43308</v>
      </c>
      <c r="H2" s="106"/>
    </row>
    <row r="3" spans="1:8" x14ac:dyDescent="0.25">
      <c r="B3" s="56"/>
      <c r="H3" s="106"/>
    </row>
    <row r="4" spans="1:8" x14ac:dyDescent="0.25">
      <c r="A4" s="81" t="s">
        <v>328</v>
      </c>
      <c r="B4" s="82"/>
      <c r="C4" s="94"/>
      <c r="D4" s="81"/>
      <c r="E4" s="81"/>
      <c r="F4" s="81"/>
    </row>
    <row r="5" spans="1:8" x14ac:dyDescent="0.25">
      <c r="A5" s="81" t="s">
        <v>289</v>
      </c>
      <c r="B5" s="82"/>
      <c r="C5" s="94"/>
      <c r="D5" s="81"/>
      <c r="E5" s="81"/>
      <c r="F5" s="81"/>
    </row>
    <row r="6" spans="1:8" x14ac:dyDescent="0.25">
      <c r="A6" s="86" t="s">
        <v>331</v>
      </c>
      <c r="B6" s="87"/>
      <c r="C6" s="95"/>
      <c r="D6" s="86"/>
      <c r="E6" s="86"/>
      <c r="F6" s="86"/>
    </row>
    <row r="7" spans="1:8" x14ac:dyDescent="0.25">
      <c r="A7" s="88" t="s">
        <v>302</v>
      </c>
      <c r="B7" s="89"/>
      <c r="C7" s="96"/>
      <c r="D7" s="88"/>
      <c r="E7" s="88"/>
      <c r="F7" s="88"/>
    </row>
    <row r="8" spans="1:8" s="51" customFormat="1" x14ac:dyDescent="0.25">
      <c r="A8" s="88" t="s">
        <v>301</v>
      </c>
      <c r="B8" s="89"/>
      <c r="C8" s="96"/>
      <c r="D8" s="88"/>
      <c r="E8" s="88"/>
      <c r="F8" s="88"/>
    </row>
    <row r="9" spans="1:8" s="51" customFormat="1" x14ac:dyDescent="0.25">
      <c r="A9" s="88" t="s">
        <v>299</v>
      </c>
      <c r="B9" s="89"/>
      <c r="C9" s="96"/>
      <c r="D9" s="88"/>
      <c r="E9" s="88"/>
      <c r="F9" s="88"/>
    </row>
    <row r="10" spans="1:8" s="51" customFormat="1" x14ac:dyDescent="0.25">
      <c r="A10" s="88" t="s">
        <v>300</v>
      </c>
      <c r="B10" s="89"/>
      <c r="C10" s="96"/>
      <c r="D10" s="88"/>
      <c r="E10" s="88"/>
      <c r="F10" s="88"/>
    </row>
    <row r="11" spans="1:8" x14ac:dyDescent="0.25">
      <c r="A11" s="55" t="s">
        <v>8</v>
      </c>
    </row>
    <row r="12" spans="1:8" x14ac:dyDescent="0.25">
      <c r="A12" s="55" t="s">
        <v>9</v>
      </c>
      <c r="B12" s="55" t="s">
        <v>10</v>
      </c>
      <c r="C12" s="61" t="s">
        <v>12</v>
      </c>
      <c r="D12" s="55" t="s">
        <v>11</v>
      </c>
      <c r="E12" s="55" t="s">
        <v>16</v>
      </c>
    </row>
    <row r="13" spans="1:8" x14ac:dyDescent="0.25">
      <c r="A13" s="55" t="s">
        <v>13</v>
      </c>
      <c r="B13" s="52">
        <v>350</v>
      </c>
      <c r="C13" s="97">
        <v>380</v>
      </c>
      <c r="D13" s="52">
        <v>400</v>
      </c>
      <c r="E13" s="55" t="s">
        <v>17</v>
      </c>
      <c r="F13" s="90" t="str">
        <f>IF(VINMAX/VINMIN&gt;3,"Please Keep Input Voltage &lt; 3:1","")</f>
        <v/>
      </c>
    </row>
    <row r="14" spans="1:8" x14ac:dyDescent="0.25">
      <c r="A14" s="55" t="s">
        <v>14</v>
      </c>
      <c r="B14" s="52">
        <v>36</v>
      </c>
      <c r="C14" s="97">
        <v>52</v>
      </c>
      <c r="D14" s="52">
        <v>60</v>
      </c>
      <c r="E14" s="55" t="s">
        <v>17</v>
      </c>
      <c r="F14" s="84" t="str">
        <f>IF(VOUT&lt;1.5,"The Minimum Output Voltage &gt; 1.5 V","")</f>
        <v/>
      </c>
      <c r="G14" s="51"/>
      <c r="H14" s="51"/>
    </row>
    <row r="15" spans="1:8" ht="31.5" x14ac:dyDescent="0.25">
      <c r="A15" s="57" t="s">
        <v>15</v>
      </c>
      <c r="D15" s="52">
        <v>0.6</v>
      </c>
      <c r="E15" s="55" t="s">
        <v>17</v>
      </c>
      <c r="F15" s="84"/>
    </row>
    <row r="16" spans="1:8" ht="18.75" x14ac:dyDescent="0.35">
      <c r="A16" s="57" t="s">
        <v>21</v>
      </c>
      <c r="D16" s="52">
        <v>3000</v>
      </c>
      <c r="E16" s="55" t="s">
        <v>18</v>
      </c>
    </row>
    <row r="17" spans="1:6" x14ac:dyDescent="0.25">
      <c r="A17" s="55" t="s">
        <v>23</v>
      </c>
      <c r="B17" s="53">
        <v>0.8</v>
      </c>
      <c r="D17" s="55" t="s">
        <v>19</v>
      </c>
      <c r="F17" s="84" t="str">
        <f>IF(Eff&gt;96%,"Please be Realistic with Efficiency Goal","")</f>
        <v/>
      </c>
    </row>
    <row r="18" spans="1:6" ht="18.75" x14ac:dyDescent="0.35">
      <c r="A18" s="55" t="s">
        <v>22</v>
      </c>
      <c r="C18" s="97">
        <v>200</v>
      </c>
      <c r="E18" s="55" t="s">
        <v>20</v>
      </c>
      <c r="F18" s="83" t="str">
        <f>IF(fs&gt;1000,"UCC28950 Can Only Achieve 1MHz Switching Frequency","")</f>
        <v/>
      </c>
    </row>
    <row r="19" spans="1:6" x14ac:dyDescent="0.25">
      <c r="A19" s="58"/>
      <c r="B19" s="58"/>
      <c r="C19" s="98"/>
      <c r="D19" s="58"/>
      <c r="E19" s="58"/>
      <c r="F19" s="58"/>
    </row>
    <row r="20" spans="1:6" x14ac:dyDescent="0.25">
      <c r="A20" s="80" t="s">
        <v>174</v>
      </c>
      <c r="B20" s="80"/>
      <c r="C20" s="99"/>
      <c r="D20" s="80"/>
      <c r="E20" s="80"/>
      <c r="F20" s="80"/>
    </row>
    <row r="21" spans="1:6" x14ac:dyDescent="0.25">
      <c r="A21" s="55" t="s">
        <v>9</v>
      </c>
      <c r="B21" s="55" t="s">
        <v>27</v>
      </c>
      <c r="D21" s="55" t="s">
        <v>16</v>
      </c>
    </row>
    <row r="22" spans="1:6" ht="18.75" x14ac:dyDescent="0.35">
      <c r="A22" s="55" t="s">
        <v>113</v>
      </c>
      <c r="B22" s="60" t="s">
        <v>24</v>
      </c>
      <c r="C22" s="61">
        <f>pout*(1-Eff)/Eff</f>
        <v>749.99999999999977</v>
      </c>
      <c r="D22" s="55" t="s">
        <v>18</v>
      </c>
    </row>
    <row r="23" spans="1:6" ht="18.75" x14ac:dyDescent="0.35">
      <c r="A23" s="55" t="s">
        <v>114</v>
      </c>
      <c r="B23" s="55" t="s">
        <v>25</v>
      </c>
      <c r="C23" s="61">
        <v>0.3</v>
      </c>
      <c r="D23" s="55" t="s">
        <v>17</v>
      </c>
    </row>
    <row r="24" spans="1:6" ht="18.75" x14ac:dyDescent="0.35">
      <c r="A24" s="55" t="s">
        <v>29</v>
      </c>
      <c r="B24" s="55" t="s">
        <v>31</v>
      </c>
      <c r="C24" s="61">
        <v>0.66</v>
      </c>
    </row>
    <row r="25" spans="1:6" ht="18.75" x14ac:dyDescent="0.35">
      <c r="A25" s="55" t="s">
        <v>28</v>
      </c>
      <c r="B25" s="55" t="s">
        <v>26</v>
      </c>
      <c r="C25" s="61">
        <f>((VINMIN-2*vrdson)*dmax)/(VOUT+vrdson)</f>
        <v>4.4092543021032506</v>
      </c>
      <c r="D25" s="55" t="s">
        <v>19</v>
      </c>
      <c r="E25" s="55" t="s">
        <v>19</v>
      </c>
    </row>
    <row r="26" spans="1:6" x14ac:dyDescent="0.25">
      <c r="A26" s="55" t="s">
        <v>303</v>
      </c>
      <c r="B26" s="55" t="s">
        <v>26</v>
      </c>
      <c r="C26" s="108">
        <v>5</v>
      </c>
    </row>
    <row r="27" spans="1:6" s="61" customFormat="1" ht="18.75" x14ac:dyDescent="0.35">
      <c r="A27" s="61" t="s">
        <v>30</v>
      </c>
      <c r="B27" s="61" t="s">
        <v>32</v>
      </c>
      <c r="C27" s="61">
        <f>((VOUT+vrdson)*_taa1)/((vin-2*vrdson))</f>
        <v>0.68924617817606748</v>
      </c>
      <c r="D27" s="91" t="str">
        <f>IF(dtyp&gt;1,"Turns Ratio a1 in Error, Pleast Adjust","")</f>
        <v/>
      </c>
    </row>
    <row r="28" spans="1:6" ht="18.75" x14ac:dyDescent="0.35">
      <c r="A28" s="55" t="s">
        <v>33</v>
      </c>
      <c r="B28" s="72" t="s">
        <v>243</v>
      </c>
      <c r="C28" s="61">
        <f>pout*0.2/VOUT</f>
        <v>11.538461538461538</v>
      </c>
      <c r="D28" s="55" t="s">
        <v>34</v>
      </c>
    </row>
    <row r="29" spans="1:6" ht="18.75" x14ac:dyDescent="0.35">
      <c r="A29" s="55" t="s">
        <v>262</v>
      </c>
      <c r="B29" s="55" t="s">
        <v>35</v>
      </c>
      <c r="C29" s="61">
        <f>(vin*(1-dtyp)*_taa1)/(dilout*0.5*fs)</f>
        <v>0.51170795993674223</v>
      </c>
      <c r="D29" s="55" t="s">
        <v>36</v>
      </c>
      <c r="E29" s="107"/>
    </row>
    <row r="30" spans="1:6" ht="18.75" x14ac:dyDescent="0.35">
      <c r="A30" s="55" t="s">
        <v>290</v>
      </c>
      <c r="B30" s="55" t="s">
        <v>37</v>
      </c>
      <c r="C30" s="61">
        <f>(pout/VOUT)+(dilout/2)</f>
        <v>63.46153846153846</v>
      </c>
      <c r="D30" s="55" t="s">
        <v>34</v>
      </c>
      <c r="E30" s="55" t="s">
        <v>19</v>
      </c>
    </row>
    <row r="31" spans="1:6" ht="18.75" x14ac:dyDescent="0.35">
      <c r="A31" s="55" t="s">
        <v>290</v>
      </c>
      <c r="B31" s="55" t="s">
        <v>38</v>
      </c>
      <c r="C31" s="61">
        <f>(pout/VOUT)-(dilout/2)</f>
        <v>51.923076923076927</v>
      </c>
      <c r="D31" s="55" t="s">
        <v>34</v>
      </c>
      <c r="E31" s="67"/>
    </row>
    <row r="32" spans="1:6" ht="18.75" x14ac:dyDescent="0.35">
      <c r="A32" s="55" t="s">
        <v>290</v>
      </c>
      <c r="B32" s="55" t="s">
        <v>40</v>
      </c>
      <c r="C32" s="61">
        <f>ips-(dilout/2)</f>
        <v>57.692307692307693</v>
      </c>
      <c r="D32" s="55" t="s">
        <v>34</v>
      </c>
      <c r="E32" s="61" t="s">
        <v>19</v>
      </c>
    </row>
    <row r="33" spans="1:5" ht="18.75" x14ac:dyDescent="0.35">
      <c r="A33" s="55" t="s">
        <v>244</v>
      </c>
      <c r="B33" s="55" t="s">
        <v>39</v>
      </c>
      <c r="C33" s="61">
        <f>((dmax/2)*(ips*ims+(((ips-ims)^2)/3)))^0.5</f>
        <v>33.196897801882621</v>
      </c>
      <c r="D33" s="55" t="s">
        <v>34</v>
      </c>
      <c r="E33" s="60" t="s">
        <v>19</v>
      </c>
    </row>
    <row r="34" spans="1:5" ht="18.75" x14ac:dyDescent="0.35">
      <c r="A34" s="55" t="s">
        <v>244</v>
      </c>
      <c r="B34" s="55" t="s">
        <v>41</v>
      </c>
      <c r="C34" s="61">
        <f>(((1-dmax)/2)*(ips*_ims2+(((ips-_ims2)^2)/3)))^0.5</f>
        <v>24.985942793461014</v>
      </c>
      <c r="D34" s="55" t="s">
        <v>34</v>
      </c>
      <c r="E34" s="55" t="s">
        <v>19</v>
      </c>
    </row>
    <row r="35" spans="1:5" ht="18.75" x14ac:dyDescent="0.35">
      <c r="A35" s="55" t="s">
        <v>244</v>
      </c>
      <c r="B35" s="55" t="s">
        <v>42</v>
      </c>
      <c r="C35" s="61">
        <f>(dilout/2)*((1-dmax)/6)^0.5</f>
        <v>1.3733516208736249</v>
      </c>
      <c r="D35" s="55" t="s">
        <v>34</v>
      </c>
      <c r="E35" s="55" t="s">
        <v>19</v>
      </c>
    </row>
    <row r="36" spans="1:5" ht="18.75" x14ac:dyDescent="0.35">
      <c r="A36" s="55" t="s">
        <v>263</v>
      </c>
      <c r="B36" s="55" t="s">
        <v>43</v>
      </c>
      <c r="C36" s="61">
        <f>(isrms1^2+isrms2^2+isrms3^2)^0.5</f>
        <v>41.571834883984877</v>
      </c>
      <c r="D36" s="55" t="s">
        <v>34</v>
      </c>
    </row>
    <row r="37" spans="1:5" ht="18.75" x14ac:dyDescent="0.35">
      <c r="A37" s="55" t="s">
        <v>291</v>
      </c>
      <c r="B37" s="72" t="s">
        <v>329</v>
      </c>
      <c r="C37" s="61">
        <f>(VINMIN*dmax)/(lmag*fs)</f>
        <v>2.2571468306703339</v>
      </c>
      <c r="D37" s="55" t="s">
        <v>34</v>
      </c>
    </row>
    <row r="38" spans="1:5" ht="18.75" x14ac:dyDescent="0.35">
      <c r="A38" s="55" t="s">
        <v>290</v>
      </c>
      <c r="B38" s="55" t="s">
        <v>45</v>
      </c>
      <c r="C38" s="61">
        <f>(((pout/(VOUT*Eff))+dilout/2)/_taa1)+dilmag</f>
        <v>17.83406990759341</v>
      </c>
      <c r="D38" s="55" t="s">
        <v>34</v>
      </c>
    </row>
    <row r="39" spans="1:5" ht="18.75" x14ac:dyDescent="0.35">
      <c r="A39" s="55" t="s">
        <v>290</v>
      </c>
      <c r="B39" s="55" t="s">
        <v>46</v>
      </c>
      <c r="C39" s="61">
        <f>(((pout/(VOUT*Eff))-dilout/2)/_taa1)+dilmag</f>
        <v>15.526377599901103</v>
      </c>
      <c r="D39" s="55" t="s">
        <v>34</v>
      </c>
    </row>
    <row r="40" spans="1:5" ht="18.75" x14ac:dyDescent="0.35">
      <c r="A40" s="55" t="s">
        <v>290</v>
      </c>
      <c r="B40" s="55" t="s">
        <v>47</v>
      </c>
      <c r="C40" s="61">
        <f>ipp-((dilout/2)/_ta1)</f>
        <v>16.525633066815413</v>
      </c>
      <c r="D40" s="55" t="s">
        <v>34</v>
      </c>
    </row>
    <row r="41" spans="1:5" ht="18.75" x14ac:dyDescent="0.35">
      <c r="A41" s="55" t="s">
        <v>244</v>
      </c>
      <c r="B41" s="55" t="s">
        <v>48</v>
      </c>
      <c r="C41" s="61">
        <f>((dmax)*(ipp*imp+(((ipp-imp)^2)/3)))^0.5</f>
        <v>13.561880767866713</v>
      </c>
      <c r="D41" s="55" t="s">
        <v>34</v>
      </c>
    </row>
    <row r="42" spans="1:5" ht="18.75" x14ac:dyDescent="0.35">
      <c r="A42" s="55" t="s">
        <v>244</v>
      </c>
      <c r="B42" s="55" t="s">
        <v>49</v>
      </c>
      <c r="C42" s="61">
        <f>(((1-dmax))*(ipp*_imp2+(((ipp-_imp2)^2)/3)))^0.5</f>
        <v>10.019909574724773</v>
      </c>
      <c r="D42" s="55" t="s">
        <v>34</v>
      </c>
    </row>
    <row r="43" spans="1:5" ht="18.75" x14ac:dyDescent="0.35">
      <c r="A43" s="55" t="s">
        <v>292</v>
      </c>
      <c r="B43" s="55" t="s">
        <v>51</v>
      </c>
      <c r="C43" s="61">
        <f>((iprms1)^2+(iprms2)^2)^0.5</f>
        <v>16.861885951680915</v>
      </c>
      <c r="D43" s="55" t="s">
        <v>34</v>
      </c>
    </row>
    <row r="44" spans="1:5" ht="18.75" x14ac:dyDescent="0.35">
      <c r="A44" s="55" t="s">
        <v>72</v>
      </c>
      <c r="B44" s="55" t="s">
        <v>35</v>
      </c>
      <c r="C44" s="92">
        <v>1</v>
      </c>
      <c r="D44" s="55" t="s">
        <v>36</v>
      </c>
      <c r="E44" s="83" t="str">
        <f>IF(lmag2&lt;lmag,"Please make Lmag &gt; or = Calculated Lmag","")</f>
        <v/>
      </c>
    </row>
    <row r="45" spans="1:5" ht="18.75" x14ac:dyDescent="0.35">
      <c r="A45" s="55" t="s">
        <v>54</v>
      </c>
      <c r="B45" s="55" t="s">
        <v>50</v>
      </c>
      <c r="C45" s="92">
        <v>25</v>
      </c>
      <c r="D45" s="55" t="s">
        <v>205</v>
      </c>
    </row>
    <row r="46" spans="1:5" ht="18.75" x14ac:dyDescent="0.35">
      <c r="A46" s="55" t="s">
        <v>55</v>
      </c>
      <c r="B46" s="55" t="s">
        <v>52</v>
      </c>
      <c r="C46" s="92">
        <v>50</v>
      </c>
      <c r="D46" s="55" t="s">
        <v>205</v>
      </c>
    </row>
    <row r="47" spans="1:5" ht="18.75" x14ac:dyDescent="0.35">
      <c r="A47" s="55" t="s">
        <v>298</v>
      </c>
      <c r="B47" s="55" t="s">
        <v>297</v>
      </c>
      <c r="C47" s="92">
        <v>4</v>
      </c>
      <c r="D47" s="55" t="s">
        <v>74</v>
      </c>
    </row>
    <row r="48" spans="1:5" ht="18.75" x14ac:dyDescent="0.35">
      <c r="A48" s="62" t="s">
        <v>56</v>
      </c>
      <c r="B48" s="55" t="s">
        <v>53</v>
      </c>
      <c r="C48" s="61">
        <f>2*((iprms^2*(dcrp/1000))+2*(isrms^2*(dcrs/1000)))</f>
        <v>359.85965101663515</v>
      </c>
      <c r="D48" s="55" t="s">
        <v>18</v>
      </c>
    </row>
    <row r="49" spans="1:6" ht="18.75" x14ac:dyDescent="0.35">
      <c r="A49" s="55" t="s">
        <v>57</v>
      </c>
      <c r="B49" s="55" t="s">
        <v>24</v>
      </c>
      <c r="C49" s="61">
        <f>pbudget-C48</f>
        <v>390.14034898336462</v>
      </c>
      <c r="D49" s="55" t="s">
        <v>18</v>
      </c>
      <c r="E49" s="83" t="str">
        <f>IF(C49&lt;0,"PBudget Cannot be Made with Selected Components","")</f>
        <v/>
      </c>
    </row>
    <row r="50" spans="1:6" x14ac:dyDescent="0.25">
      <c r="A50" s="80" t="s">
        <v>58</v>
      </c>
      <c r="B50" s="80"/>
      <c r="C50" s="99" t="s">
        <v>19</v>
      </c>
      <c r="D50" s="80"/>
      <c r="E50" s="80"/>
      <c r="F50" s="80"/>
    </row>
    <row r="51" spans="1:6" ht="18.75" x14ac:dyDescent="0.35">
      <c r="A51" s="62" t="s">
        <v>279</v>
      </c>
      <c r="B51" s="55" t="s">
        <v>69</v>
      </c>
      <c r="C51" s="92">
        <v>12</v>
      </c>
      <c r="D51" s="55" t="s">
        <v>17</v>
      </c>
    </row>
    <row r="52" spans="1:6" ht="18.75" x14ac:dyDescent="0.35">
      <c r="A52" s="55" t="s">
        <v>60</v>
      </c>
      <c r="B52" s="55" t="s">
        <v>59</v>
      </c>
      <c r="C52" s="92">
        <v>17</v>
      </c>
      <c r="D52" s="55" t="s">
        <v>205</v>
      </c>
    </row>
    <row r="53" spans="1:6" ht="18.75" x14ac:dyDescent="0.35">
      <c r="A53" s="55" t="s">
        <v>61</v>
      </c>
      <c r="B53" s="55" t="s">
        <v>63</v>
      </c>
      <c r="C53" s="92">
        <v>177</v>
      </c>
      <c r="D53" s="55" t="s">
        <v>62</v>
      </c>
    </row>
    <row r="54" spans="1:6" ht="18.75" x14ac:dyDescent="0.35">
      <c r="A54" s="55" t="s">
        <v>115</v>
      </c>
      <c r="B54" s="55" t="s">
        <v>70</v>
      </c>
      <c r="C54" s="92">
        <v>236</v>
      </c>
      <c r="D54" s="55" t="s">
        <v>71</v>
      </c>
    </row>
    <row r="55" spans="1:6" ht="36" x14ac:dyDescent="0.35">
      <c r="A55" s="57" t="s">
        <v>116</v>
      </c>
      <c r="B55" s="55" t="s">
        <v>64</v>
      </c>
      <c r="C55" s="92">
        <v>400</v>
      </c>
      <c r="D55" s="55" t="s">
        <v>17</v>
      </c>
    </row>
    <row r="56" spans="1:6" ht="18.75" x14ac:dyDescent="0.35">
      <c r="A56" s="55" t="s">
        <v>65</v>
      </c>
      <c r="B56" s="55" t="s">
        <v>66</v>
      </c>
      <c r="C56" s="61">
        <f>C53*((C55/VINMAX)^0.5)</f>
        <v>177</v>
      </c>
      <c r="D56" s="55" t="s">
        <v>62</v>
      </c>
    </row>
    <row r="57" spans="1:6" ht="18.75" x14ac:dyDescent="0.35">
      <c r="A57" s="55" t="s">
        <v>68</v>
      </c>
      <c r="B57" s="55" t="s">
        <v>67</v>
      </c>
      <c r="C57" s="61">
        <f>((iprms^2)*(rdsonqa/1000))+(2*(QAg*0.000000001)*vg*(fs*1000/2))</f>
        <v>5.3998943634074008</v>
      </c>
      <c r="D57" s="55" t="s">
        <v>18</v>
      </c>
    </row>
    <row r="58" spans="1:6" ht="18.75" x14ac:dyDescent="0.35">
      <c r="A58" s="55" t="s">
        <v>57</v>
      </c>
      <c r="B58" s="55" t="s">
        <v>24</v>
      </c>
      <c r="C58" s="61">
        <f>C49-4*C57</f>
        <v>368.54077152973503</v>
      </c>
      <c r="D58" s="55" t="s">
        <v>18</v>
      </c>
      <c r="E58" s="83" t="str">
        <f>IF(C58&lt;0,"PBudget Cannot be Made with Selected Components","")</f>
        <v/>
      </c>
    </row>
    <row r="59" spans="1:6" ht="18.75" x14ac:dyDescent="0.35">
      <c r="A59" s="80" t="s">
        <v>282</v>
      </c>
      <c r="B59" s="59"/>
      <c r="C59" s="100"/>
      <c r="D59" s="59"/>
      <c r="E59" s="80"/>
      <c r="F59" s="80"/>
    </row>
    <row r="60" spans="1:6" ht="18.75" x14ac:dyDescent="0.35">
      <c r="A60" s="55" t="s">
        <v>85</v>
      </c>
      <c r="B60" s="55" t="s">
        <v>73</v>
      </c>
      <c r="C60" s="61">
        <f>(((2*cossqaavg*0.000000000001)*((vin)^2)/((ipp/2)-(dilout/(2*_ta1)))^2)*1000000)-llk</f>
        <v>-3.1169990622289507</v>
      </c>
      <c r="D60" s="55" t="s">
        <v>74</v>
      </c>
      <c r="E60" s="83" t="str">
        <f>IF(C60&lt;0,"Calculated Ls is Negative and Ls Might Not be Needed, However, Leave a Place Holder for Ls Just in Case","")</f>
        <v>Calculated Ls is Negative and Ls Might Not be Needed, However, Leave a Place Holder for Ls Just in Case</v>
      </c>
    </row>
    <row r="61" spans="1:6" ht="18.75" x14ac:dyDescent="0.35">
      <c r="A61" s="55" t="s">
        <v>172</v>
      </c>
      <c r="B61" s="55" t="s">
        <v>73</v>
      </c>
      <c r="C61" s="92">
        <v>1</v>
      </c>
      <c r="D61" s="55" t="s">
        <v>74</v>
      </c>
    </row>
    <row r="62" spans="1:6" ht="18.75" x14ac:dyDescent="0.35">
      <c r="A62" s="55" t="s">
        <v>76</v>
      </c>
      <c r="B62" s="55" t="s">
        <v>75</v>
      </c>
      <c r="C62" s="92">
        <v>1</v>
      </c>
      <c r="D62" s="55" t="s">
        <v>205</v>
      </c>
    </row>
    <row r="63" spans="1:6" ht="18.75" x14ac:dyDescent="0.35">
      <c r="A63" s="55" t="s">
        <v>77</v>
      </c>
      <c r="B63" s="55" t="s">
        <v>78</v>
      </c>
      <c r="C63" s="61">
        <f>2*iprms^2*(C62*0.001)</f>
        <v>0.56864639569498832</v>
      </c>
      <c r="D63" s="55" t="s">
        <v>18</v>
      </c>
    </row>
    <row r="64" spans="1:6" ht="18.75" x14ac:dyDescent="0.35">
      <c r="A64" s="55" t="s">
        <v>57</v>
      </c>
      <c r="B64" s="55" t="s">
        <v>24</v>
      </c>
      <c r="C64" s="61">
        <f>C58-C63</f>
        <v>367.97212513404003</v>
      </c>
      <c r="D64" s="55" t="s">
        <v>18</v>
      </c>
      <c r="E64" s="83" t="str">
        <f>IF(C64&lt;0,"PBudget Cannot be Made with Selected Components","")</f>
        <v/>
      </c>
    </row>
    <row r="65" spans="1:6" ht="18.75" x14ac:dyDescent="0.35">
      <c r="A65" s="80" t="s">
        <v>283</v>
      </c>
      <c r="B65" s="59"/>
      <c r="C65" s="100"/>
      <c r="D65" s="59"/>
      <c r="E65" s="80"/>
      <c r="F65" s="80"/>
    </row>
    <row r="66" spans="1:6" ht="18.75" x14ac:dyDescent="0.35">
      <c r="A66" s="55" t="s">
        <v>86</v>
      </c>
      <c r="B66" s="55" t="s">
        <v>79</v>
      </c>
      <c r="C66" s="61">
        <f>((VOUT*(1-dtyp))/(dilout*fs))*1000</f>
        <v>7.0023194517659464</v>
      </c>
      <c r="D66" s="55" t="s">
        <v>74</v>
      </c>
    </row>
    <row r="67" spans="1:6" ht="18.75" x14ac:dyDescent="0.35">
      <c r="A67" s="55" t="s">
        <v>83</v>
      </c>
      <c r="B67" s="55" t="s">
        <v>84</v>
      </c>
      <c r="C67" s="61">
        <f>((pout/VOUT)^2+(dilout/(3^0.5))^2)^0.5</f>
        <v>58.07564950208269</v>
      </c>
      <c r="D67" s="55" t="s">
        <v>34</v>
      </c>
    </row>
    <row r="68" spans="1:6" ht="18.75" x14ac:dyDescent="0.35">
      <c r="A68" s="55" t="s">
        <v>173</v>
      </c>
      <c r="B68" s="55" t="s">
        <v>79</v>
      </c>
      <c r="C68" s="92">
        <v>7</v>
      </c>
      <c r="D68" s="55" t="s">
        <v>74</v>
      </c>
      <c r="E68" s="55" t="str">
        <f>IF(lout&lt;(C66*0.9),"Lout needs to be &gt; or = Lout Calculated","")</f>
        <v/>
      </c>
    </row>
    <row r="69" spans="1:6" ht="18.75" x14ac:dyDescent="0.35">
      <c r="A69" s="55" t="s">
        <v>264</v>
      </c>
      <c r="B69" s="55" t="s">
        <v>80</v>
      </c>
      <c r="C69" s="92">
        <v>0.75</v>
      </c>
      <c r="D69" s="55" t="s">
        <v>205</v>
      </c>
    </row>
    <row r="70" spans="1:6" ht="18.75" x14ac:dyDescent="0.35">
      <c r="A70" s="55" t="s">
        <v>81</v>
      </c>
      <c r="B70" s="55" t="s">
        <v>82</v>
      </c>
      <c r="C70" s="61">
        <f>2*iloutrms^2*dcrlout*0.001</f>
        <v>5.059171597633136</v>
      </c>
      <c r="D70" s="55" t="s">
        <v>18</v>
      </c>
    </row>
    <row r="71" spans="1:6" ht="18.75" x14ac:dyDescent="0.35">
      <c r="A71" s="55" t="s">
        <v>57</v>
      </c>
      <c r="B71" s="55" t="s">
        <v>24</v>
      </c>
      <c r="C71" s="61">
        <f>C64-C70</f>
        <v>362.91295353640692</v>
      </c>
      <c r="D71" s="55" t="s">
        <v>18</v>
      </c>
      <c r="E71" s="83" t="str">
        <f>IF(C71&lt;0,"PBudget Cannot be Made with Selected Components","")</f>
        <v/>
      </c>
    </row>
    <row r="72" spans="1:6" ht="18.75" x14ac:dyDescent="0.35">
      <c r="A72" s="80" t="s">
        <v>284</v>
      </c>
      <c r="B72" s="59"/>
      <c r="C72" s="100"/>
      <c r="D72" s="59"/>
      <c r="E72" s="80"/>
      <c r="F72" s="80"/>
    </row>
    <row r="73" spans="1:6" ht="18.75" x14ac:dyDescent="0.35">
      <c r="A73" s="55" t="s">
        <v>88</v>
      </c>
      <c r="B73" s="55" t="s">
        <v>87</v>
      </c>
      <c r="C73" s="61">
        <f>((lout*pout*0.9)/VOUT)/VOUT</f>
        <v>6.9896449704142007</v>
      </c>
      <c r="D73" s="55" t="s">
        <v>89</v>
      </c>
    </row>
    <row r="74" spans="1:6" ht="18.75" x14ac:dyDescent="0.35">
      <c r="A74" s="55" t="s">
        <v>206</v>
      </c>
      <c r="B74" s="55" t="s">
        <v>90</v>
      </c>
      <c r="C74" s="61">
        <f>((VTRAN*0.9)/((pout*0.9)/VOUT))*10^3</f>
        <v>10.400000000000002</v>
      </c>
      <c r="D74" s="55" t="s">
        <v>205</v>
      </c>
    </row>
    <row r="75" spans="1:6" ht="18.75" x14ac:dyDescent="0.35">
      <c r="A75" s="55" t="s">
        <v>207</v>
      </c>
      <c r="B75" s="55" t="s">
        <v>91</v>
      </c>
      <c r="C75" s="61">
        <f>(pout*0.9*thu)/(VOUT*VTRAN*0.1)</f>
        <v>6048.7312243969036</v>
      </c>
      <c r="D75" s="55" t="s">
        <v>92</v>
      </c>
    </row>
    <row r="76" spans="1:6" ht="18.75" x14ac:dyDescent="0.35">
      <c r="A76" s="55" t="s">
        <v>98</v>
      </c>
      <c r="B76" s="55" t="s">
        <v>97</v>
      </c>
      <c r="C76" s="61">
        <f>dilout/(3^0.5)</f>
        <v>6.6617338752649129</v>
      </c>
      <c r="D76" s="55" t="s">
        <v>34</v>
      </c>
    </row>
    <row r="77" spans="1:6" x14ac:dyDescent="0.25">
      <c r="A77" s="55" t="s">
        <v>175</v>
      </c>
      <c r="B77" s="55" t="s">
        <v>93</v>
      </c>
      <c r="C77" s="92">
        <v>4</v>
      </c>
    </row>
    <row r="78" spans="1:6" x14ac:dyDescent="0.25">
      <c r="A78" s="55" t="s">
        <v>94</v>
      </c>
      <c r="C78" s="92">
        <v>1500</v>
      </c>
      <c r="D78" s="55" t="s">
        <v>92</v>
      </c>
    </row>
    <row r="79" spans="1:6" x14ac:dyDescent="0.25">
      <c r="A79" s="55" t="s">
        <v>95</v>
      </c>
      <c r="C79" s="92">
        <v>31</v>
      </c>
      <c r="D79" s="55" t="s">
        <v>205</v>
      </c>
    </row>
    <row r="80" spans="1:6" ht="18.75" x14ac:dyDescent="0.35">
      <c r="A80" s="55" t="s">
        <v>96</v>
      </c>
      <c r="B80" s="55" t="s">
        <v>91</v>
      </c>
      <c r="C80" s="61">
        <f>C77*C78</f>
        <v>6000</v>
      </c>
      <c r="D80" s="55" t="s">
        <v>92</v>
      </c>
    </row>
    <row r="81" spans="1:7" ht="18.75" x14ac:dyDescent="0.35">
      <c r="A81" s="55" t="s">
        <v>265</v>
      </c>
      <c r="B81" s="55" t="s">
        <v>90</v>
      </c>
      <c r="C81" s="61">
        <f>C79/C77</f>
        <v>7.75</v>
      </c>
      <c r="D81" s="55" t="s">
        <v>205</v>
      </c>
    </row>
    <row r="82" spans="1:7" ht="18.75" x14ac:dyDescent="0.35">
      <c r="A82" s="55" t="s">
        <v>99</v>
      </c>
      <c r="B82" s="55" t="s">
        <v>100</v>
      </c>
      <c r="C82" s="61">
        <f>(C76^2)*C81*0.001</f>
        <v>0.34393491124260356</v>
      </c>
      <c r="D82" s="55" t="s">
        <v>18</v>
      </c>
    </row>
    <row r="83" spans="1:7" ht="18.75" x14ac:dyDescent="0.35">
      <c r="A83" s="55" t="s">
        <v>57</v>
      </c>
      <c r="B83" s="55" t="s">
        <v>24</v>
      </c>
      <c r="C83" s="61">
        <f>C71-C82</f>
        <v>362.56901862516429</v>
      </c>
      <c r="D83" s="55" t="s">
        <v>18</v>
      </c>
      <c r="E83" s="83" t="str">
        <f>IF(C83&lt;0,"PBudget Cannot be Made with Selected Components","")</f>
        <v/>
      </c>
    </row>
    <row r="84" spans="1:7" x14ac:dyDescent="0.25">
      <c r="A84" s="80" t="s">
        <v>109</v>
      </c>
      <c r="B84" s="59"/>
      <c r="C84" s="100"/>
      <c r="D84" s="59"/>
      <c r="E84" s="80"/>
      <c r="F84" s="80"/>
    </row>
    <row r="85" spans="1:7" ht="18.75" x14ac:dyDescent="0.35">
      <c r="A85" s="55" t="s">
        <v>135</v>
      </c>
      <c r="B85" s="55" t="s">
        <v>117</v>
      </c>
      <c r="C85" s="93">
        <f>2*VINMAX/_taa1</f>
        <v>160</v>
      </c>
      <c r="D85" s="55" t="s">
        <v>17</v>
      </c>
      <c r="E85" s="105" t="s">
        <v>336</v>
      </c>
    </row>
    <row r="86" spans="1:7" ht="18.75" x14ac:dyDescent="0.35">
      <c r="A86" s="55" t="s">
        <v>112</v>
      </c>
      <c r="B86" s="55" t="s">
        <v>110</v>
      </c>
      <c r="C86" s="92">
        <v>68</v>
      </c>
      <c r="D86" s="55" t="s">
        <v>71</v>
      </c>
    </row>
    <row r="87" spans="1:7" ht="18.75" x14ac:dyDescent="0.35">
      <c r="A87" s="55" t="s">
        <v>266</v>
      </c>
      <c r="B87" s="55" t="s">
        <v>111</v>
      </c>
      <c r="C87" s="92">
        <v>7.7</v>
      </c>
      <c r="D87" s="55" t="s">
        <v>205</v>
      </c>
    </row>
    <row r="88" spans="1:7" ht="18.75" x14ac:dyDescent="0.35">
      <c r="A88" s="55" t="s">
        <v>119</v>
      </c>
      <c r="B88" s="55" t="s">
        <v>118</v>
      </c>
      <c r="C88" s="92">
        <v>75</v>
      </c>
      <c r="D88" s="55" t="s">
        <v>17</v>
      </c>
    </row>
    <row r="89" spans="1:7" ht="18.75" x14ac:dyDescent="0.35">
      <c r="A89" s="55" t="s">
        <v>121</v>
      </c>
      <c r="B89" s="55" t="s">
        <v>120</v>
      </c>
      <c r="C89" s="92">
        <v>1300</v>
      </c>
      <c r="D89" s="55" t="s">
        <v>62</v>
      </c>
    </row>
    <row r="90" spans="1:7" ht="18.75" x14ac:dyDescent="0.35">
      <c r="A90" s="55" t="s">
        <v>123</v>
      </c>
      <c r="B90" s="55" t="s">
        <v>122</v>
      </c>
      <c r="C90" s="61">
        <f>C89*((C85/C88)^0.5)</f>
        <v>1898.7715326845757</v>
      </c>
      <c r="D90" s="55" t="s">
        <v>62</v>
      </c>
    </row>
    <row r="91" spans="1:7" ht="18.75" x14ac:dyDescent="0.35">
      <c r="A91" s="55" t="s">
        <v>124</v>
      </c>
      <c r="B91" s="55" t="s">
        <v>125</v>
      </c>
      <c r="C91" s="61">
        <f>isrms</f>
        <v>41.571834883984877</v>
      </c>
      <c r="D91" s="55" t="s">
        <v>34</v>
      </c>
    </row>
    <row r="92" spans="1:7" ht="18.75" x14ac:dyDescent="0.35">
      <c r="A92" s="55" t="s">
        <v>128</v>
      </c>
      <c r="B92" s="55" t="s">
        <v>126</v>
      </c>
      <c r="C92" s="92">
        <v>35</v>
      </c>
      <c r="D92" s="55" t="s">
        <v>71</v>
      </c>
    </row>
    <row r="93" spans="1:7" ht="18.75" x14ac:dyDescent="0.35">
      <c r="A93" s="55" t="s">
        <v>267</v>
      </c>
      <c r="B93" s="55" t="s">
        <v>127</v>
      </c>
      <c r="C93" s="92">
        <v>25</v>
      </c>
      <c r="D93" s="55" t="s">
        <v>71</v>
      </c>
    </row>
    <row r="94" spans="1:7" ht="18.75" x14ac:dyDescent="0.35">
      <c r="A94" s="55" t="s">
        <v>129</v>
      </c>
      <c r="B94" s="55" t="s">
        <v>130</v>
      </c>
      <c r="C94" s="92">
        <v>4.9000000000000004</v>
      </c>
      <c r="D94" s="55" t="s">
        <v>34</v>
      </c>
    </row>
    <row r="95" spans="1:7" ht="18.75" x14ac:dyDescent="0.35">
      <c r="A95" s="55" t="s">
        <v>268</v>
      </c>
      <c r="B95" s="55" t="s">
        <v>131</v>
      </c>
      <c r="C95" s="61">
        <f>(C92-C93)/(C94/2)</f>
        <v>4.0816326530612246</v>
      </c>
      <c r="D95" s="55" t="s">
        <v>132</v>
      </c>
    </row>
    <row r="96" spans="1:7" ht="18.75" x14ac:dyDescent="0.35">
      <c r="A96" s="55" t="s">
        <v>133</v>
      </c>
      <c r="B96" s="55" t="s">
        <v>134</v>
      </c>
      <c r="C96" s="61">
        <f>((isrms^2)*(rdsonqe*0.001))+(pout/VOUT)*vdsqe*(2*tr*0.000000001)*((fs*1000)/2)+(2*(cossqeavg*0.000000000001)*(vdsqe^2)*((fs*1000)/2))+(2*(qeg*0.000000001)*vg*((fs*1000)/2))</f>
        <v>30.727506476665159</v>
      </c>
      <c r="D96" s="55" t="s">
        <v>18</v>
      </c>
      <c r="G96" s="55">
        <v>7.66</v>
      </c>
    </row>
    <row r="97" spans="1:6" ht="18.75" x14ac:dyDescent="0.35">
      <c r="A97" s="57" t="s">
        <v>57</v>
      </c>
      <c r="B97" s="55" t="s">
        <v>24</v>
      </c>
      <c r="C97" s="61">
        <f>C83-2*C96</f>
        <v>301.11400567183398</v>
      </c>
      <c r="D97" s="55" t="s">
        <v>18</v>
      </c>
      <c r="E97" s="83" t="str">
        <f>IF(C97&lt;0,"PBudget Cannot be Made with Selected Components","")</f>
        <v/>
      </c>
    </row>
    <row r="98" spans="1:6" ht="18.75" x14ac:dyDescent="0.35">
      <c r="A98" s="80" t="s">
        <v>285</v>
      </c>
      <c r="B98" s="59"/>
      <c r="C98" s="100"/>
      <c r="D98" s="59"/>
      <c r="E98" s="80"/>
      <c r="F98" s="80"/>
    </row>
    <row r="99" spans="1:6" hidden="1" x14ac:dyDescent="0.25">
      <c r="A99" s="57" t="s">
        <v>166</v>
      </c>
      <c r="B99" s="55" t="s">
        <v>165</v>
      </c>
      <c r="C99" s="61">
        <f>1/(2*PI()*(ls*0.000001*2*cossqaavg*0.000000000001)^0.5)</f>
        <v>8458989.7873203494</v>
      </c>
      <c r="D99" s="55" t="s">
        <v>19</v>
      </c>
    </row>
    <row r="100" spans="1:6" ht="18.75" x14ac:dyDescent="0.35">
      <c r="A100" s="57" t="s">
        <v>167</v>
      </c>
      <c r="B100" s="55" t="s">
        <v>164</v>
      </c>
      <c r="C100" s="61">
        <f>2.2*1000000000/(C99*4)</f>
        <v>65.019584350890881</v>
      </c>
      <c r="D100" s="55" t="s">
        <v>132</v>
      </c>
    </row>
    <row r="101" spans="1:6" hidden="1" x14ac:dyDescent="0.25">
      <c r="A101" s="57" t="s">
        <v>170</v>
      </c>
      <c r="B101" s="55" t="s">
        <v>171</v>
      </c>
      <c r="C101" s="61">
        <f>1/(fs*1000)</f>
        <v>5.0000000000000004E-6</v>
      </c>
      <c r="E101" s="55" t="s">
        <v>19</v>
      </c>
    </row>
    <row r="102" spans="1:6" ht="18.75" x14ac:dyDescent="0.35">
      <c r="A102" s="57" t="s">
        <v>169</v>
      </c>
      <c r="B102" s="55" t="s">
        <v>168</v>
      </c>
      <c r="C102" s="61">
        <f>(C101-C100*0.000000001)/C101</f>
        <v>0.98699608312982179</v>
      </c>
    </row>
    <row r="103" spans="1:6" ht="18.75" x14ac:dyDescent="0.35">
      <c r="A103" s="55" t="s">
        <v>102</v>
      </c>
      <c r="B103" s="55" t="s">
        <v>101</v>
      </c>
      <c r="C103" s="61">
        <f>((2*dclamp*vrdson)+(_taa1*(VOUT+vrdson)))/dclamp</f>
        <v>265.54532700754834</v>
      </c>
      <c r="D103" s="55" t="s">
        <v>17</v>
      </c>
    </row>
    <row r="104" spans="1:6" ht="18.75" x14ac:dyDescent="0.35">
      <c r="A104" s="55" t="s">
        <v>104</v>
      </c>
      <c r="B104" s="55" t="s">
        <v>103</v>
      </c>
      <c r="C104" s="61">
        <f>((2*pout*(1/60))/(vin^2-C103^2))*1000000</f>
        <v>1353.4422494505168</v>
      </c>
      <c r="D104" s="55" t="s">
        <v>92</v>
      </c>
      <c r="E104" s="83" t="str">
        <f>IF(VINMIN&lt;200,"Non-PFC Cin Capacitance Cannot Be Calculated, Use Other Method","")</f>
        <v/>
      </c>
    </row>
    <row r="105" spans="1:6" ht="18.75" x14ac:dyDescent="0.35">
      <c r="A105" s="55" t="s">
        <v>105</v>
      </c>
      <c r="B105" s="55" t="s">
        <v>106</v>
      </c>
      <c r="C105" s="61">
        <f>(    (iprms1^2)    -(        ( pout/(VINMIN*Eff)       )   ^2)           )^0.5</f>
        <v>8.3143665780675136</v>
      </c>
      <c r="D105" s="55" t="s">
        <v>34</v>
      </c>
    </row>
    <row r="106" spans="1:6" ht="18.75" x14ac:dyDescent="0.35">
      <c r="A106" s="55" t="s">
        <v>176</v>
      </c>
      <c r="B106" s="55" t="s">
        <v>103</v>
      </c>
      <c r="C106" s="92">
        <v>1500</v>
      </c>
      <c r="D106" s="55" t="s">
        <v>92</v>
      </c>
    </row>
    <row r="107" spans="1:6" ht="18.75" x14ac:dyDescent="0.35">
      <c r="A107" s="55" t="s">
        <v>269</v>
      </c>
      <c r="B107" s="55" t="s">
        <v>107</v>
      </c>
      <c r="C107" s="92">
        <v>50</v>
      </c>
      <c r="D107" s="55" t="s">
        <v>205</v>
      </c>
    </row>
    <row r="108" spans="1:6" ht="18.75" x14ac:dyDescent="0.35">
      <c r="A108" s="55" t="s">
        <v>270</v>
      </c>
      <c r="B108" s="55" t="s">
        <v>108</v>
      </c>
      <c r="C108" s="61">
        <f>(C105^2)*(C107*0.001)</f>
        <v>3.4564345797243052</v>
      </c>
      <c r="D108" s="55" t="s">
        <v>18</v>
      </c>
    </row>
    <row r="109" spans="1:6" ht="54.75" customHeight="1" x14ac:dyDescent="0.35">
      <c r="A109" s="57" t="s">
        <v>286</v>
      </c>
      <c r="B109" s="55" t="s">
        <v>24</v>
      </c>
      <c r="C109" s="61">
        <f>C97-C108</f>
        <v>297.65757109210966</v>
      </c>
      <c r="D109" s="55" t="s">
        <v>18</v>
      </c>
      <c r="E109" s="83" t="str">
        <f>IF(C109&lt;0,"PBudget Cannot be Made with Selected Components","")</f>
        <v/>
      </c>
    </row>
    <row r="110" spans="1:6" ht="18.75" x14ac:dyDescent="0.35">
      <c r="A110" s="80" t="s">
        <v>293</v>
      </c>
      <c r="B110" s="80"/>
      <c r="C110" s="99" t="s">
        <v>19</v>
      </c>
      <c r="D110" s="80" t="s">
        <v>19</v>
      </c>
      <c r="E110" s="80" t="s">
        <v>19</v>
      </c>
      <c r="F110" s="80"/>
    </row>
    <row r="111" spans="1:6" ht="18.75" x14ac:dyDescent="0.35">
      <c r="A111" s="55" t="s">
        <v>137</v>
      </c>
      <c r="B111" s="55" t="s">
        <v>136</v>
      </c>
      <c r="C111" s="92">
        <v>100</v>
      </c>
    </row>
    <row r="112" spans="1:6" ht="18.75" x14ac:dyDescent="0.35">
      <c r="A112" s="55" t="s">
        <v>158</v>
      </c>
      <c r="B112" s="55" t="s">
        <v>157</v>
      </c>
      <c r="C112" s="93">
        <f>((pout/(VOUT)+(dilout/2))/(Eff*_taa1))+((VINMIN*dmax)/(lmag2*fs))</f>
        <v>17.020384615384614</v>
      </c>
      <c r="D112" s="55" t="s">
        <v>34</v>
      </c>
      <c r="E112" s="55" t="s">
        <v>19</v>
      </c>
    </row>
    <row r="113" spans="1:6" ht="18.75" x14ac:dyDescent="0.35">
      <c r="A113" s="55" t="s">
        <v>155</v>
      </c>
      <c r="B113" s="55" t="s">
        <v>154</v>
      </c>
      <c r="C113" s="61">
        <f>(2-0.2)/((_ipp1/_ta2)*1.1)</f>
        <v>9.614140181559339</v>
      </c>
      <c r="D113" s="55" t="s">
        <v>156</v>
      </c>
    </row>
    <row r="114" spans="1:6" ht="18.75" x14ac:dyDescent="0.35">
      <c r="A114" s="55" t="s">
        <v>295</v>
      </c>
      <c r="B114" s="55" t="s">
        <v>154</v>
      </c>
      <c r="C114" s="61">
        <f>(IF((10^(LOG(C113)-INT(LOG(C113)))*100)-VLOOKUP((10^(LOG(C113)-INT(LOG(C113)))*100),E48_s:E48_f,1)&lt;VLOOKUP((10^(LOG(C113)-INT(LOG(C113)))*100),E48_s:E48_f,2)-(10^(LOG(C113)-INT(LOG(C113)))*100),VLOOKUP((10^(LOG(C113)-INT(LOG(C113)))*100),E48_s:E48_f,1),VLOOKUP((10^(LOG(C113)-INT(LOG(C113)))*100),E48_s:E48_f,2)))*10^INT(LOG(C113))/100</f>
        <v>9.5299999999999994</v>
      </c>
      <c r="D114" s="55" t="s">
        <v>156</v>
      </c>
    </row>
    <row r="115" spans="1:6" ht="18.75" x14ac:dyDescent="0.35">
      <c r="A115" s="55" t="s">
        <v>159</v>
      </c>
      <c r="B115" s="55" t="s">
        <v>154</v>
      </c>
      <c r="C115" s="92">
        <v>10</v>
      </c>
      <c r="D115" s="55" t="s">
        <v>156</v>
      </c>
      <c r="E115" s="55" t="s">
        <v>19</v>
      </c>
    </row>
    <row r="116" spans="1:6" ht="18.75" x14ac:dyDescent="0.35">
      <c r="A116" s="55" t="s">
        <v>160</v>
      </c>
      <c r="B116" s="55" t="s">
        <v>161</v>
      </c>
      <c r="C116" s="61">
        <f>((iprms1/_ta2)^2)*C115</f>
        <v>0.18392460996183302</v>
      </c>
      <c r="D116" s="55" t="s">
        <v>18</v>
      </c>
    </row>
    <row r="117" spans="1:6" ht="18.75" x14ac:dyDescent="0.35">
      <c r="A117" s="55" t="s">
        <v>163</v>
      </c>
      <c r="B117" s="55" t="s">
        <v>162</v>
      </c>
      <c r="C117" s="61">
        <f>(2*(dclamp))/(1-dclamp)</f>
        <v>151.79981431491504</v>
      </c>
      <c r="D117" s="55" t="s">
        <v>17</v>
      </c>
    </row>
    <row r="118" spans="1:6" ht="18.75" x14ac:dyDescent="0.35">
      <c r="A118" s="55" t="s">
        <v>177</v>
      </c>
      <c r="B118" s="55" t="s">
        <v>178</v>
      </c>
      <c r="C118" s="61">
        <f>(pout*0.6)/(VINMIN*Eff*_ta2)</f>
        <v>6.4285714285714279E-2</v>
      </c>
      <c r="D118" s="55" t="s">
        <v>18</v>
      </c>
    </row>
    <row r="119" spans="1:6" ht="18.75" x14ac:dyDescent="0.35">
      <c r="A119" s="80" t="s">
        <v>287</v>
      </c>
      <c r="B119" s="59"/>
      <c r="C119" s="100"/>
      <c r="D119" s="59"/>
      <c r="E119" s="80" t="s">
        <v>19</v>
      </c>
      <c r="F119" s="80"/>
    </row>
    <row r="120" spans="1:6" x14ac:dyDescent="0.25">
      <c r="A120" s="55" t="s">
        <v>271</v>
      </c>
      <c r="B120" s="55" t="s">
        <v>179</v>
      </c>
      <c r="C120" s="92">
        <v>2.5</v>
      </c>
      <c r="D120" s="55" t="s">
        <v>17</v>
      </c>
      <c r="E120" s="83" t="str">
        <f>IF(_va1&gt;VOUT,"V1 Needs to be &lt; VOUT",IF(_va1=VOUT,"V1 Needs to be &lt; VOUT",""))</f>
        <v/>
      </c>
      <c r="F120" s="83"/>
    </row>
    <row r="121" spans="1:6" ht="18.75" x14ac:dyDescent="0.35">
      <c r="A121" s="55" t="s">
        <v>181</v>
      </c>
      <c r="B121" s="55" t="s">
        <v>180</v>
      </c>
      <c r="C121" s="92">
        <v>2.37</v>
      </c>
      <c r="D121" s="55" t="s">
        <v>208</v>
      </c>
      <c r="E121" s="83" t="str">
        <f>IF(_va1&lt;0.5,"V1 Needs to be Greater than 0.5","")</f>
        <v/>
      </c>
    </row>
    <row r="122" spans="1:6" ht="18.75" x14ac:dyDescent="0.35">
      <c r="A122" s="55" t="s">
        <v>183</v>
      </c>
      <c r="B122" s="55" t="s">
        <v>182</v>
      </c>
      <c r="C122" s="61">
        <f>C121*(5-C120)/C120</f>
        <v>2.37</v>
      </c>
      <c r="D122" s="55" t="s">
        <v>208</v>
      </c>
    </row>
    <row r="123" spans="1:6" ht="18.75" x14ac:dyDescent="0.35">
      <c r="A123" s="55" t="s">
        <v>295</v>
      </c>
      <c r="B123" s="55" t="s">
        <v>182</v>
      </c>
      <c r="C123" s="61">
        <f>(IF((10^(LOG(C122)-INT(LOG(C122)))*100)-VLOOKUP((10^(LOG(C122)-INT(LOG(C122)))*100),E48_s:E48_f,1)&lt;VLOOKUP((10^(LOG(C122)-INT(LOG(C122)))*100),E48_s:E48_f,2)-(10^(LOG(C122)-INT(LOG(C122)))*100),VLOOKUP((10^(LOG(C122)-INT(LOG(C122)))*100),E48_s:E48_f,1),VLOOKUP((10^(LOG(C122)-INT(LOG(C122)))*100),E48_s:E48_f,2)))*10^INT(LOG(C122))/100</f>
        <v>2.37</v>
      </c>
      <c r="D123" s="55" t="s">
        <v>208</v>
      </c>
    </row>
    <row r="124" spans="1:6" ht="18.75" x14ac:dyDescent="0.35">
      <c r="A124" s="55" t="s">
        <v>323</v>
      </c>
      <c r="B124" s="55" t="s">
        <v>182</v>
      </c>
      <c r="C124" s="92">
        <v>2.37</v>
      </c>
      <c r="D124" s="55" t="s">
        <v>208</v>
      </c>
    </row>
    <row r="125" spans="1:6" ht="18.75" x14ac:dyDescent="0.35">
      <c r="A125" s="55" t="s">
        <v>181</v>
      </c>
      <c r="B125" s="55" t="s">
        <v>184</v>
      </c>
      <c r="C125" s="92">
        <v>2.37</v>
      </c>
      <c r="D125" s="55" t="s">
        <v>208</v>
      </c>
    </row>
    <row r="126" spans="1:6" ht="18.75" x14ac:dyDescent="0.35">
      <c r="A126" s="55" t="s">
        <v>183</v>
      </c>
      <c r="B126" s="55" t="s">
        <v>185</v>
      </c>
      <c r="C126" s="61">
        <f>C125*(VOUT-_va1)/_va1</f>
        <v>46.926000000000002</v>
      </c>
      <c r="D126" s="55" t="s">
        <v>208</v>
      </c>
    </row>
    <row r="127" spans="1:6" ht="18.75" x14ac:dyDescent="0.35">
      <c r="A127" s="55" t="s">
        <v>295</v>
      </c>
      <c r="B127" s="55" t="s">
        <v>185</v>
      </c>
      <c r="C127" s="61">
        <f>(IF((10^(LOG(C126)-INT(LOG(C126)))*100)-VLOOKUP((10^(LOG(C126)-INT(LOG(C126)))*100),E48_s:E48_f,1)&lt;VLOOKUP((10^(LOG(C126)-INT(LOG(C126)))*100),E48_s:E48_f,2)-(10^(LOG(C126)-INT(LOG(C126)))*100),VLOOKUP((10^(LOG(C126)-INT(LOG(C126)))*100),E48_s:E48_f,1),VLOOKUP((10^(LOG(C126)-INT(LOG(C126)))*100),E48_s:E48_f,2)))*10^INT(LOG(C126))/100</f>
        <v>46.4</v>
      </c>
      <c r="D127" s="55" t="s">
        <v>208</v>
      </c>
    </row>
    <row r="128" spans="1:6" ht="18.75" x14ac:dyDescent="0.35">
      <c r="A128" s="55" t="s">
        <v>323</v>
      </c>
      <c r="B128" s="55" t="s">
        <v>185</v>
      </c>
      <c r="C128" s="92">
        <v>47</v>
      </c>
      <c r="D128" s="55" t="s">
        <v>208</v>
      </c>
    </row>
    <row r="129" spans="1:5" ht="18.75" x14ac:dyDescent="0.35">
      <c r="A129" s="55" t="s">
        <v>280</v>
      </c>
      <c r="B129" s="55" t="s">
        <v>281</v>
      </c>
      <c r="C129" s="61">
        <f>fs/4</f>
        <v>50</v>
      </c>
      <c r="D129" s="55" t="s">
        <v>20</v>
      </c>
    </row>
    <row r="130" spans="1:5" ht="18.75" x14ac:dyDescent="0.35">
      <c r="A130" s="55" t="s">
        <v>187</v>
      </c>
      <c r="B130" s="55" t="s">
        <v>186</v>
      </c>
      <c r="C130" s="61">
        <f>fs/40</f>
        <v>5</v>
      </c>
      <c r="D130" s="55" t="s">
        <v>20</v>
      </c>
    </row>
    <row r="131" spans="1:5" ht="18.75" x14ac:dyDescent="0.35">
      <c r="A131" s="55" t="s">
        <v>272</v>
      </c>
      <c r="B131" s="55" t="s">
        <v>188</v>
      </c>
      <c r="C131" s="61">
        <f>(VOUT^2)/(pout*0.1)</f>
        <v>9.0133333333333336</v>
      </c>
      <c r="D131" s="55" t="s">
        <v>156</v>
      </c>
    </row>
    <row r="132" spans="1:5" hidden="1" x14ac:dyDescent="0.25">
      <c r="A132" s="54" t="s">
        <v>189</v>
      </c>
      <c r="B132" s="54" t="s">
        <v>190</v>
      </c>
      <c r="C132" s="101">
        <f>_ta1*_ta2*(rload/RS)</f>
        <v>397.42078776290634</v>
      </c>
      <c r="D132" s="55" t="s">
        <v>19</v>
      </c>
    </row>
    <row r="133" spans="1:5" hidden="1" x14ac:dyDescent="0.25">
      <c r="A133" s="75" t="s">
        <v>197</v>
      </c>
      <c r="B133" s="54"/>
      <c r="C133" s="101" t="str">
        <f>(COMPLEX(1,2*PI()*fc*1000*esrcout*0.001*cout*0.000001))</f>
        <v>1+1.46084058391925i</v>
      </c>
    </row>
    <row r="134" spans="1:5" hidden="1" x14ac:dyDescent="0.25">
      <c r="A134" s="54" t="s">
        <v>191</v>
      </c>
      <c r="B134" s="54" t="s">
        <v>192</v>
      </c>
      <c r="C134" s="101" t="str">
        <f>IMDIV((COMPLEX(1,2*PI()*fc*1000*esrcout*0.001*cout*0.000001)),(COMPLEX(1,2*PI()*fc*1000*rload*cout*0.000001)))</f>
        <v>0.000860183419195016-0.000588084469854899i</v>
      </c>
    </row>
    <row r="135" spans="1:5" hidden="1" x14ac:dyDescent="0.25">
      <c r="A135" s="54" t="s">
        <v>193</v>
      </c>
      <c r="B135" s="54" t="s">
        <v>193</v>
      </c>
      <c r="C135" s="101" t="str">
        <f>IMDIV(1,(COMPLEX((1-(fc/fpp)^2),(fc/fpp))))</f>
        <v>0.999899000101-0.100999899000101i</v>
      </c>
    </row>
    <row r="136" spans="1:5" hidden="1" x14ac:dyDescent="0.25">
      <c r="A136" s="54" t="s">
        <v>194</v>
      </c>
      <c r="C136" s="101" t="str">
        <f>IMPRODUCT(n1divd1,d2a)</f>
        <v>0.000800700068697683-0.000674903511843098i</v>
      </c>
      <c r="E136" s="54"/>
    </row>
    <row r="137" spans="1:5" hidden="1" x14ac:dyDescent="0.25">
      <c r="A137" s="54" t="s">
        <v>195</v>
      </c>
      <c r="C137" s="101" t="str">
        <f>IMPRODUCT(constant,C136)</f>
        <v>0.318214852063646-0.268220685340636i</v>
      </c>
    </row>
    <row r="138" spans="1:5" hidden="1" x14ac:dyDescent="0.25">
      <c r="A138" s="54" t="s">
        <v>196</v>
      </c>
      <c r="B138" s="54" t="s">
        <v>198</v>
      </c>
      <c r="C138" s="101">
        <f>IMABS(C137)</f>
        <v>0.41617667896998811</v>
      </c>
    </row>
    <row r="139" spans="1:5" ht="18.75" x14ac:dyDescent="0.35">
      <c r="A139" s="55" t="s">
        <v>200</v>
      </c>
      <c r="B139" s="55" t="s">
        <v>199</v>
      </c>
      <c r="C139" s="61">
        <f>RII/C138</f>
        <v>112.93280564476157</v>
      </c>
      <c r="D139" s="55" t="s">
        <v>208</v>
      </c>
    </row>
    <row r="140" spans="1:5" ht="18.75" x14ac:dyDescent="0.35">
      <c r="A140" s="55" t="s">
        <v>295</v>
      </c>
      <c r="B140" s="55" t="s">
        <v>199</v>
      </c>
      <c r="C140" s="61">
        <f>(IF((10^(LOG(C139)-INT(LOG(C139)))*100)-VLOOKUP((10^(LOG(C139)-INT(LOG(C139)))*100),E48_s:E48_f,1)&lt;VLOOKUP((10^(LOG(C139)-INT(LOG(C139)))*100),E48_s:E48_f,2)-(10^(LOG(C139)-INT(LOG(C139)))*100),VLOOKUP((10^(LOG(C139)-INT(LOG(C139)))*100),E48_s:E48_f,1),VLOOKUP((10^(LOG(C139)-INT(LOG(C139)))*100),E48_s:E48_f,2)))*10^INT(LOG(C139))/100</f>
        <v>115</v>
      </c>
      <c r="D140" s="55" t="s">
        <v>208</v>
      </c>
    </row>
    <row r="141" spans="1:5" ht="18.75" x14ac:dyDescent="0.35">
      <c r="A141" s="55" t="s">
        <v>323</v>
      </c>
      <c r="B141" s="55" t="s">
        <v>199</v>
      </c>
      <c r="C141" s="92">
        <v>115</v>
      </c>
      <c r="D141" s="55" t="s">
        <v>208</v>
      </c>
    </row>
    <row r="142" spans="1:5" ht="18.75" x14ac:dyDescent="0.35">
      <c r="A142" s="55" t="s">
        <v>204</v>
      </c>
      <c r="B142" s="55" t="s">
        <v>201</v>
      </c>
      <c r="C142" s="61">
        <f>(1/(2*PI()*C141*(fc/5)))*10^3</f>
        <v>1.3839560268860462</v>
      </c>
      <c r="D142" s="55" t="s">
        <v>202</v>
      </c>
      <c r="E142" s="60"/>
    </row>
    <row r="143" spans="1:5" ht="18" customHeight="1" x14ac:dyDescent="0.25">
      <c r="A143" s="55" t="s">
        <v>294</v>
      </c>
      <c r="B143" s="55" t="s">
        <v>210</v>
      </c>
      <c r="C143" s="102">
        <f>IF(C142&lt;10000,C144*10^INT(LOG(C142)),C145*10^INT(LOG(C142)))</f>
        <v>1.5</v>
      </c>
      <c r="D143" s="55" t="s">
        <v>202</v>
      </c>
    </row>
    <row r="144" spans="1:5" ht="18" hidden="1" customHeight="1" x14ac:dyDescent="0.25">
      <c r="A144" s="54" t="s">
        <v>211</v>
      </c>
      <c r="C144" s="103">
        <f>IF((10^(LOG(C142)-INT(LOG(C142))))-VLOOKUP((10^(LOG(C142)-INT(LOG(C142)))),c_s1:C_f1,1)&lt;VLOOKUP((10^(LOG(C142)-INT(LOG(C142)))),c_s1:C_f1,2)-(10^(LOG(C142)-INT(LOG(C142)))),VLOOKUP((10^(LOG(C142)-INT(LOG(C142)))),c_s1:C_f1,1),VLOOKUP((10^(LOG(C142)-INT(LOG(C142)))),c_s1:C_f1,2))</f>
        <v>1.5</v>
      </c>
    </row>
    <row r="145" spans="1:5" ht="18" hidden="1" customHeight="1" x14ac:dyDescent="0.25">
      <c r="A145" s="54" t="s">
        <v>212</v>
      </c>
      <c r="C145" s="103">
        <f>IF((10^(LOG(C142)-INT(LOG(C142))))-VLOOKUP((10^(LOG(C142)-INT(LOG(C142)))),C_s2:C_f2,1)&lt;VLOOKUP((10^(LOG(C142)-INT(LOG(C142)))),C_s2:C_f2,2)-(10^(LOG(C142)-INT(LOG(C142)))),VLOOKUP((10^(LOG(C142)-INT(LOG(C142)))),C_s2:C_f2,1),VLOOKUP((10^(LOG(C142)-INT(LOG(C142)))),C_s2:C_f2,2))</f>
        <v>1.5</v>
      </c>
    </row>
    <row r="146" spans="1:5" ht="18.75" x14ac:dyDescent="0.35">
      <c r="A146" s="55" t="s">
        <v>325</v>
      </c>
      <c r="B146" s="55" t="s">
        <v>201</v>
      </c>
      <c r="C146" s="92">
        <v>1.5</v>
      </c>
      <c r="D146" s="55" t="s">
        <v>202</v>
      </c>
    </row>
    <row r="147" spans="1:5" ht="18.75" x14ac:dyDescent="0.35">
      <c r="A147" s="64" t="s">
        <v>203</v>
      </c>
      <c r="B147" s="64" t="s">
        <v>209</v>
      </c>
      <c r="C147" s="93">
        <f>1000000/(2*PI()*rf*fc*2)</f>
        <v>138.39560268860464</v>
      </c>
      <c r="D147" s="55" t="s">
        <v>62</v>
      </c>
      <c r="E147" s="65" t="s">
        <v>19</v>
      </c>
    </row>
    <row r="148" spans="1:5" ht="18.75" x14ac:dyDescent="0.35">
      <c r="A148" s="55" t="s">
        <v>294</v>
      </c>
      <c r="B148" s="64" t="s">
        <v>209</v>
      </c>
      <c r="C148" s="102">
        <f>IF(C147&lt;10000,C149*10^INT(LOG(C147)),C150*10^INT(LOG(C147)))</f>
        <v>150</v>
      </c>
      <c r="D148" s="55" t="s">
        <v>62</v>
      </c>
      <c r="E148" s="63"/>
    </row>
    <row r="149" spans="1:5" hidden="1" x14ac:dyDescent="0.25">
      <c r="A149" s="54" t="s">
        <v>211</v>
      </c>
      <c r="B149" s="66"/>
      <c r="C149" s="103">
        <f>IF((10^(LOG(C147)-INT(LOG(C147))))-VLOOKUP((10^(LOG(C147)-INT(LOG(C147)))),c_s1:C_f1,1)&lt;VLOOKUP((10^(LOG(C147)-INT(LOG(C147)))),c_s1:C_f1,2)-(10^(LOG(C147)-INT(LOG(C147)))),VLOOKUP((10^(LOG(C147)-INT(LOG(C147)))),c_s1:C_f1,1),VLOOKUP((10^(LOG(C147)-INT(LOG(C147)))),c_s1:C_f1,2))</f>
        <v>1.5</v>
      </c>
    </row>
    <row r="150" spans="1:5" hidden="1" x14ac:dyDescent="0.25">
      <c r="A150" s="54" t="s">
        <v>212</v>
      </c>
      <c r="B150" s="66"/>
      <c r="C150" s="103">
        <f>IF((10^(LOG(C147)-INT(LOG(C147))))-VLOOKUP((10^(LOG(C147)-INT(LOG(C147)))),C_s2:C_f2,1)&lt;VLOOKUP((10^(LOG(C147)-INT(LOG(C147)))),C_s2:C_f2,2)-(10^(LOG(C147)-INT(LOG(C147)))),VLOOKUP((10^(LOG(C147)-INT(LOG(C147)))),C_s2:C_f2,1),VLOOKUP((10^(LOG(C147)-INT(LOG(C147)))),C_s2:C_f2,2))</f>
        <v>1.5</v>
      </c>
    </row>
    <row r="151" spans="1:5" ht="18.75" x14ac:dyDescent="0.35">
      <c r="A151" s="55" t="s">
        <v>325</v>
      </c>
      <c r="B151" s="55" t="s">
        <v>209</v>
      </c>
      <c r="C151" s="92">
        <v>150</v>
      </c>
      <c r="D151" s="55" t="s">
        <v>62</v>
      </c>
    </row>
    <row r="152" spans="1:5" x14ac:dyDescent="0.25">
      <c r="C152" s="92"/>
    </row>
    <row r="153" spans="1:5" x14ac:dyDescent="0.25">
      <c r="C153" s="92"/>
    </row>
    <row r="154" spans="1:5" x14ac:dyDescent="0.25">
      <c r="C154" s="92"/>
    </row>
    <row r="155" spans="1:5" x14ac:dyDescent="0.25">
      <c r="C155" s="92"/>
    </row>
    <row r="156" spans="1:5" x14ac:dyDescent="0.25">
      <c r="C156" s="92"/>
    </row>
    <row r="157" spans="1:5" x14ac:dyDescent="0.25">
      <c r="C157" s="92"/>
    </row>
    <row r="158" spans="1:5" x14ac:dyDescent="0.25">
      <c r="C158" s="92"/>
    </row>
    <row r="159" spans="1:5" x14ac:dyDescent="0.25">
      <c r="C159" s="92"/>
    </row>
    <row r="160" spans="1:5" x14ac:dyDescent="0.25">
      <c r="C160" s="92"/>
    </row>
    <row r="161" spans="1:6" x14ac:dyDescent="0.25">
      <c r="C161" s="92"/>
    </row>
    <row r="162" spans="1:6" x14ac:dyDescent="0.25">
      <c r="C162" s="92"/>
    </row>
    <row r="163" spans="1:6" x14ac:dyDescent="0.25">
      <c r="C163" s="92"/>
    </row>
    <row r="164" spans="1:6" x14ac:dyDescent="0.25">
      <c r="C164" s="92"/>
    </row>
    <row r="165" spans="1:6" x14ac:dyDescent="0.25">
      <c r="C165" s="92"/>
    </row>
    <row r="166" spans="1:6" x14ac:dyDescent="0.25">
      <c r="C166" s="92"/>
    </row>
    <row r="167" spans="1:6" x14ac:dyDescent="0.25">
      <c r="C167" s="92"/>
    </row>
    <row r="168" spans="1:6" x14ac:dyDescent="0.25">
      <c r="C168" s="92"/>
    </row>
    <row r="169" spans="1:6" x14ac:dyDescent="0.25">
      <c r="C169" s="92"/>
    </row>
    <row r="170" spans="1:6" x14ac:dyDescent="0.25">
      <c r="C170" s="92"/>
    </row>
    <row r="171" spans="1:6" x14ac:dyDescent="0.25">
      <c r="C171" s="92"/>
    </row>
    <row r="172" spans="1:6" x14ac:dyDescent="0.25">
      <c r="C172" s="92"/>
    </row>
    <row r="173" spans="1:6" ht="18.75" x14ac:dyDescent="0.35">
      <c r="A173" s="80" t="s">
        <v>288</v>
      </c>
      <c r="B173" s="59"/>
      <c r="C173" s="100"/>
      <c r="D173" s="59"/>
      <c r="E173" s="80" t="s">
        <v>19</v>
      </c>
      <c r="F173" s="80"/>
    </row>
    <row r="174" spans="1:6" ht="18.75" x14ac:dyDescent="0.35">
      <c r="A174" s="64" t="s">
        <v>214</v>
      </c>
      <c r="B174" s="64" t="s">
        <v>213</v>
      </c>
      <c r="C174" s="92">
        <v>15</v>
      </c>
      <c r="D174" s="55" t="s">
        <v>215</v>
      </c>
    </row>
    <row r="175" spans="1:6" ht="18.75" x14ac:dyDescent="0.35">
      <c r="A175" s="64" t="s">
        <v>273</v>
      </c>
      <c r="B175" s="64" t="s">
        <v>216</v>
      </c>
      <c r="C175" s="93">
        <f>(C174)*(25)/(_va1+0.55)</f>
        <v>122.95081967213116</v>
      </c>
      <c r="D175" s="55" t="s">
        <v>202</v>
      </c>
    </row>
    <row r="176" spans="1:6" ht="18.75" x14ac:dyDescent="0.35">
      <c r="A176" s="55" t="s">
        <v>294</v>
      </c>
      <c r="B176" s="64" t="s">
        <v>216</v>
      </c>
      <c r="C176" s="102">
        <f>IF(C175&lt;10000,C177*10^INT(LOG(C175)),C178*10^INT(LOG(C175)))</f>
        <v>120</v>
      </c>
      <c r="D176" s="55" t="s">
        <v>202</v>
      </c>
    </row>
    <row r="177" spans="1:6" hidden="1" x14ac:dyDescent="0.25">
      <c r="A177" s="54" t="s">
        <v>211</v>
      </c>
      <c r="B177" s="66"/>
      <c r="C177" s="103">
        <f>IF((10^(LOG(C175)-INT(LOG(C175))))-VLOOKUP((10^(LOG(C175)-INT(LOG(C175)))),c_s1:C_f1,1)&lt;VLOOKUP((10^(LOG(C175)-INT(LOG(C175)))),c_s1:C_f1,2)-(10^(LOG(C175)-INT(LOG(C175)))),VLOOKUP((10^(LOG(C175)-INT(LOG(C175)))),c_s1:C_f1,1),VLOOKUP((10^(LOG(C175)-INT(LOG(C175)))),c_s1:C_f1,2))</f>
        <v>1.2</v>
      </c>
    </row>
    <row r="178" spans="1:6" hidden="1" x14ac:dyDescent="0.25">
      <c r="A178" s="54" t="s">
        <v>217</v>
      </c>
      <c r="B178" s="66"/>
      <c r="C178" s="103">
        <f>IF((10^(LOG(C175)-INT(LOG(C175))))-VLOOKUP((10^(LOG(C175)-INT(LOG(C175)))),C_s2:C_f2,1)&lt;VLOOKUP((10^(LOG(C175)-INT(LOG(C175)))),C_s2:C_f2,2)-(10^(LOG(C175)-INT(LOG(C175)))),VLOOKUP((10^(LOG(C175)-INT(LOG(C175)))),C_s2:C_f2,1),VLOOKUP((10^(LOG(C175)-INT(LOG(C175)))),C_s2:C_f2,2))</f>
        <v>1</v>
      </c>
    </row>
    <row r="179" spans="1:6" ht="18.75" x14ac:dyDescent="0.35">
      <c r="A179" s="55" t="s">
        <v>325</v>
      </c>
      <c r="B179" s="55" t="s">
        <v>216</v>
      </c>
      <c r="C179" s="92">
        <v>150</v>
      </c>
      <c r="D179" s="55" t="s">
        <v>202</v>
      </c>
    </row>
    <row r="180" spans="1:6" ht="18.75" x14ac:dyDescent="0.35">
      <c r="A180" s="80" t="s">
        <v>313</v>
      </c>
      <c r="B180" s="59"/>
      <c r="C180" s="100"/>
      <c r="D180" s="59"/>
      <c r="E180" s="80" t="s">
        <v>19</v>
      </c>
      <c r="F180" s="80"/>
    </row>
    <row r="181" spans="1:6" ht="18.75" x14ac:dyDescent="0.35">
      <c r="A181" s="64" t="s">
        <v>274</v>
      </c>
      <c r="B181" s="64" t="s">
        <v>218</v>
      </c>
      <c r="C181" s="93">
        <f>tdelay</f>
        <v>65.019584350890881</v>
      </c>
      <c r="D181" s="55" t="s">
        <v>132</v>
      </c>
    </row>
    <row r="182" spans="1:6" ht="18.75" x14ac:dyDescent="0.35">
      <c r="A182" s="64" t="s">
        <v>312</v>
      </c>
      <c r="B182" s="64" t="s">
        <v>218</v>
      </c>
      <c r="C182" s="92">
        <v>100</v>
      </c>
      <c r="D182" s="55" t="s">
        <v>132</v>
      </c>
    </row>
    <row r="183" spans="1:6" ht="18.75" x14ac:dyDescent="0.35">
      <c r="A183" s="64" t="s">
        <v>307</v>
      </c>
      <c r="B183" s="64" t="s">
        <v>304</v>
      </c>
      <c r="C183" s="92">
        <v>8.25</v>
      </c>
      <c r="D183" s="55" t="s">
        <v>208</v>
      </c>
    </row>
    <row r="184" spans="1:6" ht="18.75" x14ac:dyDescent="0.35">
      <c r="A184" s="64" t="s">
        <v>306</v>
      </c>
      <c r="B184" s="64" t="s">
        <v>305</v>
      </c>
      <c r="C184" s="93">
        <f>IF(tabset&gt;155, 0.2, 1.8)</f>
        <v>1.8</v>
      </c>
      <c r="D184" s="55" t="s">
        <v>17</v>
      </c>
    </row>
    <row r="185" spans="1:6" ht="18.75" x14ac:dyDescent="0.35">
      <c r="A185" s="64" t="s">
        <v>308</v>
      </c>
      <c r="B185" s="64" t="s">
        <v>309</v>
      </c>
      <c r="C185" s="93">
        <f>C183*C184/(5-C184)</f>
        <v>4.640625</v>
      </c>
      <c r="D185" s="55" t="s">
        <v>208</v>
      </c>
    </row>
    <row r="186" spans="1:6" ht="18.75" x14ac:dyDescent="0.35">
      <c r="A186" s="55" t="s">
        <v>295</v>
      </c>
      <c r="B186" s="64" t="s">
        <v>309</v>
      </c>
      <c r="C186" s="61">
        <f>(IF((10^(LOG(C185)-INT(LOG(C185)))*100)-VLOOKUP((10^(LOG(C185)-INT(LOG(C185)))*100),E48_s:E48_f,1)&lt;VLOOKUP((10^(LOG(C185)-INT(LOG(C185)))*100),E48_s:E48_f,2)-(10^(LOG(C185)-INT(LOG(C185)))*100),VLOOKUP((10^(LOG(C185)-INT(LOG(C185)))*100),E48_s:E48_f,1),VLOOKUP((10^(LOG(C185)-INT(LOG(C185)))*100),E48_s:E48_f,2)))*10^INT(LOG(C185))/100</f>
        <v>4.6399999999999997</v>
      </c>
      <c r="D186" s="55" t="s">
        <v>208</v>
      </c>
    </row>
    <row r="187" spans="1:6" ht="18.75" x14ac:dyDescent="0.35">
      <c r="A187" s="64" t="s">
        <v>310</v>
      </c>
      <c r="B187" s="64" t="s">
        <v>309</v>
      </c>
      <c r="C187" s="92">
        <v>4.6399999999999997</v>
      </c>
      <c r="D187" s="55" t="s">
        <v>208</v>
      </c>
    </row>
    <row r="188" spans="1:6" ht="18.75" x14ac:dyDescent="0.35">
      <c r="A188" s="64" t="s">
        <v>311</v>
      </c>
      <c r="B188" s="64" t="s">
        <v>305</v>
      </c>
      <c r="C188" s="93">
        <f>5*C187/(C183+C187)</f>
        <v>1.7998448409619858</v>
      </c>
      <c r="D188" s="55" t="s">
        <v>17</v>
      </c>
    </row>
    <row r="189" spans="1:6" ht="18.75" x14ac:dyDescent="0.35">
      <c r="A189" s="55" t="s">
        <v>275</v>
      </c>
      <c r="B189" s="64" t="s">
        <v>219</v>
      </c>
      <c r="C189" s="93">
        <f>(tabset-5)*(0.15+(C188*1.46))/5</f>
        <v>52.777695888285486</v>
      </c>
      <c r="D189" s="55" t="s">
        <v>208</v>
      </c>
    </row>
    <row r="190" spans="1:6" ht="18.75" x14ac:dyDescent="0.35">
      <c r="A190" s="55" t="s">
        <v>295</v>
      </c>
      <c r="B190" s="64" t="s">
        <v>219</v>
      </c>
      <c r="C190" s="61">
        <f>(IF((10^(LOG(C189)-INT(LOG(C189)))*100)-VLOOKUP((10^(LOG(C189)-INT(LOG(C189)))*100),E48_s:E48_f,1)&lt;VLOOKUP((10^(LOG(C189)-INT(LOG(C189)))*100),E48_s:E48_f,2)-(10^(LOG(C189)-INT(LOG(C189)))*100),VLOOKUP((10^(LOG(C189)-INT(LOG(C189)))*100),E48_s:E48_f,1),VLOOKUP((10^(LOG(C189)-INT(LOG(C189)))*100),E48_s:E48_f,2)))*10^INT(LOG(C189))/100</f>
        <v>53.6</v>
      </c>
      <c r="D190" s="55" t="s">
        <v>208</v>
      </c>
    </row>
    <row r="191" spans="1:6" ht="18.75" x14ac:dyDescent="0.35">
      <c r="A191" s="55" t="s">
        <v>326</v>
      </c>
      <c r="B191" s="64" t="s">
        <v>219</v>
      </c>
      <c r="C191" s="92">
        <v>51</v>
      </c>
      <c r="D191" s="55" t="s">
        <v>208</v>
      </c>
    </row>
    <row r="192" spans="1:6" ht="18.75" x14ac:dyDescent="0.35">
      <c r="A192" s="80" t="s">
        <v>314</v>
      </c>
      <c r="B192" s="59"/>
      <c r="C192" s="100"/>
      <c r="D192" s="59"/>
      <c r="E192" s="80" t="s">
        <v>19</v>
      </c>
      <c r="F192" s="80"/>
    </row>
    <row r="193" spans="1:6" ht="18.75" x14ac:dyDescent="0.35">
      <c r="A193" s="55" t="s">
        <v>276</v>
      </c>
      <c r="B193" s="64" t="s">
        <v>221</v>
      </c>
      <c r="C193" s="93">
        <f>tdelay</f>
        <v>65.019584350890881</v>
      </c>
      <c r="D193" s="55" t="s">
        <v>132</v>
      </c>
    </row>
    <row r="194" spans="1:6" ht="18.75" x14ac:dyDescent="0.35">
      <c r="A194" s="64" t="s">
        <v>312</v>
      </c>
      <c r="B194" s="64" t="s">
        <v>221</v>
      </c>
      <c r="C194" s="92">
        <v>100</v>
      </c>
      <c r="D194" s="55" t="s">
        <v>132</v>
      </c>
    </row>
    <row r="195" spans="1:6" ht="18.75" x14ac:dyDescent="0.35">
      <c r="A195" s="55" t="s">
        <v>275</v>
      </c>
      <c r="B195" s="64" t="s">
        <v>220</v>
      </c>
      <c r="C195" s="93">
        <f>(tcdset-5)*(0.15+(vadel*1.46))/5</f>
        <v>52.777695888285486</v>
      </c>
      <c r="D195" s="55" t="s">
        <v>208</v>
      </c>
    </row>
    <row r="196" spans="1:6" ht="18.75" x14ac:dyDescent="0.35">
      <c r="A196" s="55" t="s">
        <v>295</v>
      </c>
      <c r="B196" s="64" t="s">
        <v>220</v>
      </c>
      <c r="C196" s="61">
        <f>(IF((10^(LOG(C195)-INT(LOG(C195)))*100)-VLOOKUP((10^(LOG(C195)-INT(LOG(C195)))*100),E48_s:E48_f,1)&lt;VLOOKUP((10^(LOG(C195)-INT(LOG(C195)))*100),E48_s:E48_f,2)-(10^(LOG(C195)-INT(LOG(C195)))*100),VLOOKUP((10^(LOG(C195)-INT(LOG(C195)))*100),E48_s:E48_f,1),VLOOKUP((10^(LOG(C195)-INT(LOG(C195)))*100),E48_s:E48_f,2)))*10^INT(LOG(C195))/100</f>
        <v>53.6</v>
      </c>
      <c r="D196" s="55" t="s">
        <v>208</v>
      </c>
    </row>
    <row r="197" spans="1:6" ht="18.75" x14ac:dyDescent="0.35">
      <c r="A197" s="55" t="s">
        <v>326</v>
      </c>
      <c r="B197" s="64" t="s">
        <v>220</v>
      </c>
      <c r="C197" s="92">
        <v>51</v>
      </c>
      <c r="D197" s="55" t="s">
        <v>208</v>
      </c>
    </row>
    <row r="198" spans="1:6" ht="18.75" x14ac:dyDescent="0.35">
      <c r="A198" s="80" t="s">
        <v>324</v>
      </c>
      <c r="B198" s="59"/>
      <c r="C198" s="100"/>
      <c r="D198" s="59"/>
      <c r="E198" s="80" t="s">
        <v>19</v>
      </c>
      <c r="F198" s="80"/>
    </row>
    <row r="199" spans="1:6" ht="18.75" x14ac:dyDescent="0.35">
      <c r="A199" s="55" t="s">
        <v>222</v>
      </c>
      <c r="B199" s="55" t="s">
        <v>321</v>
      </c>
      <c r="C199" s="61">
        <f>C182/2</f>
        <v>50</v>
      </c>
      <c r="D199" s="55" t="s">
        <v>132</v>
      </c>
    </row>
    <row r="200" spans="1:6" ht="18.75" x14ac:dyDescent="0.35">
      <c r="A200" s="55" t="s">
        <v>322</v>
      </c>
      <c r="B200" s="55" t="s">
        <v>321</v>
      </c>
      <c r="C200" s="92">
        <v>50</v>
      </c>
      <c r="D200" s="55" t="s">
        <v>132</v>
      </c>
    </row>
    <row r="201" spans="1:6" ht="18.75" x14ac:dyDescent="0.35">
      <c r="A201" s="64" t="s">
        <v>316</v>
      </c>
      <c r="B201" s="55" t="s">
        <v>315</v>
      </c>
      <c r="C201" s="92">
        <v>8.25</v>
      </c>
      <c r="D201" s="55" t="s">
        <v>208</v>
      </c>
    </row>
    <row r="202" spans="1:6" ht="18.75" x14ac:dyDescent="0.35">
      <c r="A202" s="64" t="s">
        <v>319</v>
      </c>
      <c r="B202" s="55" t="s">
        <v>320</v>
      </c>
      <c r="C202" s="93">
        <f>IF(tafset&lt;170, 0.2,1.7)</f>
        <v>0.2</v>
      </c>
      <c r="D202" s="55" t="s">
        <v>17</v>
      </c>
    </row>
    <row r="203" spans="1:6" ht="18.75" x14ac:dyDescent="0.35">
      <c r="A203" s="64" t="s">
        <v>317</v>
      </c>
      <c r="B203" s="55" t="s">
        <v>318</v>
      </c>
      <c r="C203" s="93">
        <f>C202*C201/(5-C202)</f>
        <v>0.34375000000000006</v>
      </c>
      <c r="D203" s="55" t="s">
        <v>208</v>
      </c>
    </row>
    <row r="204" spans="1:6" ht="18.75" x14ac:dyDescent="0.35">
      <c r="A204" s="55" t="s">
        <v>295</v>
      </c>
      <c r="B204" s="55" t="s">
        <v>318</v>
      </c>
      <c r="C204" s="61">
        <f>(IF((10^(LOG(C203)-INT(LOG(C203)))*100)-VLOOKUP((10^(LOG(C203)-INT(LOG(C203)))*100),E48_s:E48_f,1)&lt;VLOOKUP((10^(LOG(C203)-INT(LOG(C203)))*100),E48_s:E48_f,2)-(10^(LOG(C203)-INT(LOG(C203)))*100),VLOOKUP((10^(LOG(C203)-INT(LOG(C203)))*100),E48_s:E48_f,1),VLOOKUP((10^(LOG(C203)-INT(LOG(C203)))*100),E48_s:E48_f,2)))*10^INT(LOG(C203))/100</f>
        <v>0.34800000000000003</v>
      </c>
      <c r="D204" s="55" t="s">
        <v>208</v>
      </c>
    </row>
    <row r="205" spans="1:6" ht="18.75" x14ac:dyDescent="0.35">
      <c r="A205" s="55" t="s">
        <v>323</v>
      </c>
      <c r="B205" s="55" t="s">
        <v>318</v>
      </c>
      <c r="C205" s="92">
        <v>0.35</v>
      </c>
      <c r="D205" s="55" t="s">
        <v>208</v>
      </c>
    </row>
    <row r="206" spans="1:6" ht="18.75" x14ac:dyDescent="0.35">
      <c r="A206" s="64" t="s">
        <v>319</v>
      </c>
      <c r="B206" s="55" t="s">
        <v>320</v>
      </c>
      <c r="C206" s="61">
        <f>5*C205/(C205+C201)</f>
        <v>0.20348837209302326</v>
      </c>
      <c r="D206" s="55" t="s">
        <v>17</v>
      </c>
    </row>
    <row r="207" spans="1:6" ht="18.75" x14ac:dyDescent="0.35">
      <c r="A207" s="55" t="s">
        <v>275</v>
      </c>
      <c r="B207" s="64" t="s">
        <v>223</v>
      </c>
      <c r="C207" s="93">
        <f>(tafset-4)*(2.65-(C206*1.32))/5</f>
        <v>21.908837209302327</v>
      </c>
      <c r="D207" s="55" t="s">
        <v>208</v>
      </c>
    </row>
    <row r="208" spans="1:6" ht="18.75" x14ac:dyDescent="0.35">
      <c r="A208" s="55" t="s">
        <v>295</v>
      </c>
      <c r="B208" s="64" t="s">
        <v>223</v>
      </c>
      <c r="C208" s="61">
        <f>(IF((10^(LOG(C207)-INT(LOG(C207)))*100)-VLOOKUP((10^(LOG(C207)-INT(LOG(C207)))*100),E48_s:E48_f,1)&lt;VLOOKUP((10^(LOG(C207)-INT(LOG(C207)))*100),E48_s:E48_f,2)-(10^(LOG(C207)-INT(LOG(C207)))*100),VLOOKUP((10^(LOG(C207)-INT(LOG(C207)))*100),E48_s:E48_f,1),VLOOKUP((10^(LOG(C207)-INT(LOG(C207)))*100),E48_s:E48_f,2)))*10^INT(LOG(C207))/100</f>
        <v>21.5</v>
      </c>
      <c r="D208" s="55" t="s">
        <v>208</v>
      </c>
    </row>
    <row r="209" spans="1:6" ht="18.75" x14ac:dyDescent="0.35">
      <c r="A209" s="55" t="s">
        <v>327</v>
      </c>
      <c r="B209" s="64" t="s">
        <v>223</v>
      </c>
      <c r="C209" s="92">
        <v>10</v>
      </c>
      <c r="D209" s="55" t="s">
        <v>208</v>
      </c>
    </row>
    <row r="210" spans="1:6" x14ac:dyDescent="0.25">
      <c r="A210" s="80" t="s">
        <v>224</v>
      </c>
      <c r="B210" s="68"/>
      <c r="C210" s="100"/>
      <c r="D210" s="59"/>
      <c r="E210" s="80" t="s">
        <v>19</v>
      </c>
      <c r="F210" s="80"/>
    </row>
    <row r="211" spans="1:6" ht="18.75" x14ac:dyDescent="0.35">
      <c r="A211" s="55" t="s">
        <v>225</v>
      </c>
      <c r="B211" s="55" t="s">
        <v>226</v>
      </c>
      <c r="C211" s="92">
        <v>100</v>
      </c>
      <c r="D211" s="55" t="s">
        <v>132</v>
      </c>
    </row>
    <row r="212" spans="1:6" ht="18.75" x14ac:dyDescent="0.35">
      <c r="A212" s="55" t="s">
        <v>228</v>
      </c>
      <c r="B212" s="55" t="s">
        <v>227</v>
      </c>
      <c r="C212" s="61">
        <f>(C211-15)/6.6</f>
        <v>12.878787878787879</v>
      </c>
      <c r="D212" s="55" t="s">
        <v>208</v>
      </c>
    </row>
    <row r="213" spans="1:6" ht="18.75" x14ac:dyDescent="0.35">
      <c r="A213" s="55" t="s">
        <v>295</v>
      </c>
      <c r="B213" s="55" t="s">
        <v>227</v>
      </c>
      <c r="C213" s="61">
        <f>(IF((10^(LOG(C212)-INT(LOG(C212)))*100)-VLOOKUP((10^(LOG(C212)-INT(LOG(C212)))*100),E48_s:E48_f,1)&lt;VLOOKUP((10^(LOG(C212)-INT(LOG(C212)))*100),E48_s:E48_f,2)-(10^(LOG(C212)-INT(LOG(C212)))*100),VLOOKUP((10^(LOG(C212)-INT(LOG(C212)))*100),E48_s:E48_f,1),VLOOKUP((10^(LOG(C212)-INT(LOG(C212)))*100),E48_s:E48_f,2)))*10^INT(LOG(C212))/100</f>
        <v>12.7</v>
      </c>
      <c r="D213" s="55" t="s">
        <v>208</v>
      </c>
    </row>
    <row r="214" spans="1:6" ht="18.75" x14ac:dyDescent="0.35">
      <c r="A214" s="55" t="s">
        <v>323</v>
      </c>
      <c r="B214" s="55" t="s">
        <v>227</v>
      </c>
      <c r="C214" s="92">
        <v>13</v>
      </c>
      <c r="D214" s="55" t="s">
        <v>208</v>
      </c>
    </row>
    <row r="215" spans="1:6" x14ac:dyDescent="0.25">
      <c r="A215" s="80" t="s">
        <v>229</v>
      </c>
      <c r="B215" s="68"/>
      <c r="C215" s="100"/>
      <c r="D215" s="59"/>
      <c r="E215" s="80" t="s">
        <v>19</v>
      </c>
      <c r="F215" s="80"/>
    </row>
    <row r="216" spans="1:6" ht="18.75" x14ac:dyDescent="0.35">
      <c r="A216" s="55" t="s">
        <v>230</v>
      </c>
      <c r="B216" s="55" t="s">
        <v>231</v>
      </c>
      <c r="C216" s="61">
        <f>(((2.5*10^3)/(fs/2))-1)*2.5</f>
        <v>60</v>
      </c>
      <c r="D216" s="55" t="s">
        <v>208</v>
      </c>
      <c r="E216" s="55" t="s">
        <v>19</v>
      </c>
    </row>
    <row r="217" spans="1:6" ht="18.75" x14ac:dyDescent="0.35">
      <c r="A217" s="55" t="s">
        <v>295</v>
      </c>
      <c r="B217" s="55" t="s">
        <v>231</v>
      </c>
      <c r="C217" s="61">
        <f>(IF((10^(LOG(C216)-INT(LOG(C216)))*100)-VLOOKUP((10^(LOG(C216)-INT(LOG(C216)))*100),E48_s:E48_f,1)&lt;VLOOKUP((10^(LOG(C216)-INT(LOG(C216)))*100),E48_s:E48_f,2)-(10^(LOG(C216)-INT(LOG(C216)))*100),VLOOKUP((10^(LOG(C216)-INT(LOG(C216)))*100),E48_s:E48_f,1),VLOOKUP((10^(LOG(C216)-INT(LOG(C216)))*100),E48_s:E48_f,2)))*10^INT(LOG(C216))/100</f>
        <v>59</v>
      </c>
      <c r="D217" s="55" t="s">
        <v>208</v>
      </c>
    </row>
    <row r="218" spans="1:6" ht="18.75" x14ac:dyDescent="0.35">
      <c r="A218" s="55" t="s">
        <v>323</v>
      </c>
      <c r="B218" s="55" t="s">
        <v>231</v>
      </c>
      <c r="C218" s="92">
        <v>62</v>
      </c>
      <c r="D218" s="55" t="s">
        <v>208</v>
      </c>
    </row>
    <row r="219" spans="1:6" x14ac:dyDescent="0.25">
      <c r="A219" s="80" t="s">
        <v>232</v>
      </c>
      <c r="B219" s="68"/>
      <c r="C219" s="100"/>
      <c r="D219" s="59"/>
      <c r="E219" s="80" t="s">
        <v>19</v>
      </c>
      <c r="F219" s="80"/>
    </row>
    <row r="220" spans="1:6" ht="18.75" x14ac:dyDescent="0.35">
      <c r="A220" s="55" t="s">
        <v>277</v>
      </c>
      <c r="B220" s="55" t="s">
        <v>44</v>
      </c>
      <c r="C220" s="61">
        <f>(vin*(1-dtyp))/(lmag2*fs)</f>
        <v>0.59043226146547179</v>
      </c>
      <c r="D220" s="55" t="s">
        <v>34</v>
      </c>
    </row>
    <row r="221" spans="1:6" ht="18.75" x14ac:dyDescent="0.35">
      <c r="A221" s="55" t="s">
        <v>334</v>
      </c>
      <c r="B221" s="55" t="s">
        <v>332</v>
      </c>
      <c r="C221" s="61">
        <f>fs*0.2*0.001</f>
        <v>0.04</v>
      </c>
      <c r="D221" s="55" t="s">
        <v>233</v>
      </c>
    </row>
    <row r="222" spans="1:6" ht="18.75" x14ac:dyDescent="0.35">
      <c r="A222" s="55" t="s">
        <v>335</v>
      </c>
      <c r="B222" s="55" t="s">
        <v>333</v>
      </c>
      <c r="C222" s="61">
        <f>((((dilout/(_taa1*2))-C220)*RS*(1-dtyp)*fs)/_ta2)*0.001</f>
        <v>3.5016604065198948E-3</v>
      </c>
      <c r="D222" s="55" t="s">
        <v>233</v>
      </c>
      <c r="E222" s="55" t="s">
        <v>19</v>
      </c>
    </row>
    <row r="223" spans="1:6" ht="18.75" x14ac:dyDescent="0.35">
      <c r="A223" s="55" t="s">
        <v>234</v>
      </c>
      <c r="B223" s="55" t="s">
        <v>235</v>
      </c>
      <c r="C223" s="93">
        <f>IF(Vslope1&gt;Vslope2, Vslope1, Vslope2)</f>
        <v>0.04</v>
      </c>
      <c r="D223" s="55" t="s">
        <v>233</v>
      </c>
      <c r="E223" s="55" t="s">
        <v>19</v>
      </c>
    </row>
    <row r="224" spans="1:6" ht="18.75" x14ac:dyDescent="0.35">
      <c r="A224" s="55" t="s">
        <v>236</v>
      </c>
      <c r="B224" s="55" t="s">
        <v>237</v>
      </c>
      <c r="C224" s="61">
        <f>2.5/(C223*0.5)</f>
        <v>125</v>
      </c>
      <c r="D224" s="55" t="s">
        <v>208</v>
      </c>
      <c r="E224" s="60"/>
    </row>
    <row r="225" spans="1:6" ht="18.75" x14ac:dyDescent="0.35">
      <c r="A225" s="55" t="s">
        <v>295</v>
      </c>
      <c r="B225" s="55" t="s">
        <v>237</v>
      </c>
      <c r="C225" s="104">
        <f>(IF((10^(LOG(C224)-INT(LOG(C224)))*100)-VLOOKUP((10^(LOG(C224)-INT(LOG(C224)))*100),E48_s:E48_f,1)&lt;VLOOKUP((10^(LOG(C224)-INT(LOG(C224)))*100),E48_s:E48_f,2)-(10^(LOG(C224)-INT(LOG(C224)))*100),VLOOKUP((10^(LOG(C224)-INT(LOG(C224)))*100),E48_s:E48_f,1),VLOOKUP((10^(LOG(C224)-INT(LOG(C224)))*100),E48_s:E48_f,2)))*10^INT(LOG(C224))/100</f>
        <v>127</v>
      </c>
      <c r="D225" s="55" t="s">
        <v>208</v>
      </c>
    </row>
    <row r="226" spans="1:6" ht="18.75" x14ac:dyDescent="0.35">
      <c r="A226" s="55" t="s">
        <v>323</v>
      </c>
      <c r="B226" s="55" t="s">
        <v>237</v>
      </c>
      <c r="C226" s="92">
        <v>125</v>
      </c>
      <c r="D226" s="55" t="s">
        <v>208</v>
      </c>
    </row>
    <row r="227" spans="1:6" x14ac:dyDescent="0.25">
      <c r="A227" s="80" t="s">
        <v>278</v>
      </c>
      <c r="B227" s="68"/>
      <c r="C227" s="100"/>
      <c r="D227" s="59"/>
      <c r="E227" s="80" t="s">
        <v>19</v>
      </c>
      <c r="F227" s="80"/>
    </row>
    <row r="228" spans="1:6" ht="18.75" x14ac:dyDescent="0.35">
      <c r="A228" s="55" t="s">
        <v>238</v>
      </c>
      <c r="B228" s="55" t="s">
        <v>239</v>
      </c>
      <c r="C228" s="61">
        <f>(((pout*0.15/VOUT)+(dilout/2))*RS)/(_ta1*_ta2)</f>
        <v>0.32710921019449923</v>
      </c>
      <c r="D228" s="55" t="s">
        <v>17</v>
      </c>
    </row>
    <row r="229" spans="1:6" ht="18.75" x14ac:dyDescent="0.35">
      <c r="A229" s="55" t="s">
        <v>181</v>
      </c>
      <c r="B229" s="55" t="s">
        <v>240</v>
      </c>
      <c r="C229" s="92">
        <v>1</v>
      </c>
      <c r="D229" s="55" t="s">
        <v>208</v>
      </c>
    </row>
    <row r="230" spans="1:6" ht="18.75" x14ac:dyDescent="0.35">
      <c r="A230" s="55" t="s">
        <v>242</v>
      </c>
      <c r="B230" s="55" t="s">
        <v>241</v>
      </c>
      <c r="C230" s="61">
        <f>(C229*(5-C228)/C228)</f>
        <v>14.285414913957936</v>
      </c>
      <c r="D230" s="55" t="s">
        <v>208</v>
      </c>
    </row>
    <row r="231" spans="1:6" ht="18.75" x14ac:dyDescent="0.35">
      <c r="A231" s="55" t="s">
        <v>295</v>
      </c>
      <c r="B231" s="55" t="s">
        <v>241</v>
      </c>
      <c r="C231" s="104">
        <f>(IF((10^(LOG(C230)-INT(LOG(C230)))*100)-VLOOKUP((10^(LOG(C230)-INT(LOG(C230)))*100),E48_s:E48_f,1)&lt;VLOOKUP((10^(LOG(C230)-INT(LOG(C230)))*100),E48_s:E48_f,2)-(10^(LOG(C230)-INT(LOG(C230)))*100),VLOOKUP((10^(LOG(C230)-INT(LOG(C230)))*100),E48_s:E48_f,1),VLOOKUP((10^(LOG(C230)-INT(LOG(C230)))*100),E48_s:E48_f,2)))*10^INT(LOG(C230))/100</f>
        <v>14</v>
      </c>
      <c r="D231" s="55" t="s">
        <v>208</v>
      </c>
    </row>
    <row r="232" spans="1:6" ht="18.75" x14ac:dyDescent="0.35">
      <c r="A232" s="55" t="s">
        <v>323</v>
      </c>
      <c r="B232" s="55" t="s">
        <v>241</v>
      </c>
      <c r="C232" s="92">
        <v>16</v>
      </c>
      <c r="D232" s="55" t="s">
        <v>208</v>
      </c>
    </row>
  </sheetData>
  <sheetProtection password="ECDD" sheet="1" formatColumns="0" formatRows="0" selectLockedCells="1"/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30"/>
  <sheetViews>
    <sheetView topLeftCell="A19" workbookViewId="0">
      <selection activeCell="K2" sqref="K2"/>
    </sheetView>
  </sheetViews>
  <sheetFormatPr defaultRowHeight="12.75" x14ac:dyDescent="0.2"/>
  <sheetData>
    <row r="30" spans="12:12" x14ac:dyDescent="0.2">
      <c r="L30" t="s">
        <v>19</v>
      </c>
    </row>
  </sheetData>
  <sheetProtection password="ECDD" sheet="1" objects="1" scenarios="1"/>
  <phoneticPr fontId="21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.Drawing.6" shapeId="5125" r:id="rId4">
          <objectPr defaultSize="0" autoPict="0" r:id="rId5">
            <anchor moveWithCells="1">
              <from>
                <xdr:col>0</xdr:col>
                <xdr:colOff>47625</xdr:colOff>
                <xdr:row>5</xdr:row>
                <xdr:rowOff>57150</xdr:rowOff>
              </from>
              <to>
                <xdr:col>8</xdr:col>
                <xdr:colOff>533400</xdr:colOff>
                <xdr:row>46</xdr:row>
                <xdr:rowOff>57150</xdr:rowOff>
              </to>
            </anchor>
          </objectPr>
        </oleObject>
      </mc:Choice>
      <mc:Fallback>
        <oleObject progId="Visio.Drawing.6" shapeId="512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2.75" x14ac:dyDescent="0.2"/>
  <sheetData/>
  <phoneticPr fontId="21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1"/>
  <sheetViews>
    <sheetView workbookViewId="0">
      <selection activeCell="I3" sqref="I3"/>
    </sheetView>
  </sheetViews>
  <sheetFormatPr defaultRowHeight="12.75" x14ac:dyDescent="0.2"/>
  <sheetData>
    <row r="31" spans="7:7" x14ac:dyDescent="0.2">
      <c r="G31" t="s">
        <v>19</v>
      </c>
    </row>
  </sheetData>
  <sheetProtection password="ECDD" sheet="1" objects="1" scenarios="1"/>
  <phoneticPr fontId="21" type="noConversion"/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>
      <selection sqref="A1:IV65536"/>
    </sheetView>
  </sheetViews>
  <sheetFormatPr defaultRowHeight="12.75" x14ac:dyDescent="0.2"/>
  <cols>
    <col min="1" max="1" width="9.140625" style="73"/>
    <col min="2" max="2" width="10.140625" style="73" customWidth="1"/>
    <col min="3" max="3" width="9.140625" style="73"/>
    <col min="4" max="4" width="12.42578125" style="73" customWidth="1"/>
    <col min="5" max="5" width="21.5703125" style="73" customWidth="1"/>
    <col min="6" max="6" width="15.42578125" style="73" customWidth="1"/>
    <col min="7" max="7" width="21.140625" style="73" customWidth="1"/>
    <col min="8" max="8" width="9.140625" style="73"/>
    <col min="9" max="9" width="14.28515625" style="73" customWidth="1"/>
    <col min="10" max="10" width="17.140625" style="73" customWidth="1"/>
    <col min="11" max="11" width="11.85546875" style="73" customWidth="1"/>
    <col min="12" max="12" width="13.5703125" style="73" customWidth="1"/>
    <col min="13" max="16384" width="9.140625" style="73"/>
  </cols>
  <sheetData>
    <row r="1" spans="1:18" ht="42.75" x14ac:dyDescent="0.3">
      <c r="A1" s="73" t="s">
        <v>245</v>
      </c>
      <c r="B1" s="73" t="s">
        <v>260</v>
      </c>
      <c r="C1" s="73" t="s">
        <v>190</v>
      </c>
      <c r="D1" s="73" t="s">
        <v>246</v>
      </c>
      <c r="E1" s="54" t="s">
        <v>247</v>
      </c>
      <c r="F1" s="73" t="s">
        <v>248</v>
      </c>
      <c r="G1" s="73" t="s">
        <v>249</v>
      </c>
      <c r="H1" s="73" t="s">
        <v>250</v>
      </c>
      <c r="I1" s="77" t="s">
        <v>251</v>
      </c>
      <c r="J1" s="77" t="s">
        <v>252</v>
      </c>
      <c r="K1" s="77" t="s">
        <v>253</v>
      </c>
      <c r="L1" s="73" t="s">
        <v>254</v>
      </c>
      <c r="M1" s="73" t="s">
        <v>255</v>
      </c>
      <c r="N1" s="73" t="s">
        <v>256</v>
      </c>
      <c r="O1" s="73" t="s">
        <v>261</v>
      </c>
      <c r="P1" s="79" t="s">
        <v>258</v>
      </c>
      <c r="Q1" s="79" t="s">
        <v>259</v>
      </c>
      <c r="R1" s="73" t="s">
        <v>257</v>
      </c>
    </row>
    <row r="2" spans="1:18" ht="15" x14ac:dyDescent="0.2">
      <c r="A2" s="74">
        <f>1</f>
        <v>1</v>
      </c>
      <c r="B2" s="73">
        <v>100</v>
      </c>
      <c r="C2" s="73">
        <f t="shared" ref="C2:C33" si="0">_ta1*_ta2*(rload/RS)</f>
        <v>397.42078776290634</v>
      </c>
      <c r="D2" s="54" t="str">
        <f t="shared" ref="D2:D33" si="1">IMDIV((COMPLEX(1,2*PI()*(B2)*(esrcout*0.001)*(cout*0.000001))),(COMPLEX(1,2*PI()*(B2)*rload*(cout*0.000001))))</f>
        <v>0.0017244414674517-0.0293787887774182i</v>
      </c>
      <c r="E2" s="54" t="str">
        <f t="shared" ref="E2:E33" si="2">IMDIV(1,(COMPLEX((1-(B2/(fpp*1000))^2),(B2/(fpp*1000)))))</f>
        <v>0.999999999984-0.002000008i</v>
      </c>
      <c r="F2" s="73" t="str">
        <f t="shared" ref="F2:F33" si="3">IMPRODUCT(D2,E2)</f>
        <v>0.00166568365483896-0.0293822376736786i</v>
      </c>
      <c r="G2" s="73" t="str">
        <f t="shared" ref="G2:G33" si="4">IMPRODUCT(C2,F2)</f>
        <v>0.661977310269896-11.6771120425103i</v>
      </c>
      <c r="H2" s="76">
        <f t="shared" ref="H2:H33" si="5">IMABS(G2)</f>
        <v>11.695860789726048</v>
      </c>
      <c r="I2" s="54" t="str">
        <f t="shared" ref="I2:I33" si="6">IMDIV((COMPLEX(1,(2*PI()*B2*(rf*1000)*(Cz*0.000000001)))),(COMPLEX(0,2*PI()*B2*((Cz*0.000000001)+(Cp*0.000000000001))*(RII*1000))))</f>
        <v>2.22437137330755-20.5228811208118i</v>
      </c>
      <c r="J2" s="78" t="str">
        <f t="shared" ref="J2:J33" si="7">IMDIV(1,(COMPLEX(1,2*PI()*B2*(((Cz*0.000000001)*(Cp*0.000000000001))/((Cz*0.000000001)+(Cp*0.000000000001)))*(rf*1000))))</f>
        <v>0.999902924328416-0.00985222045521564i</v>
      </c>
      <c r="K2" s="78" t="str">
        <f t="shared" ref="K2:K33" si="8">IMPRODUCT(I2,J2)</f>
        <v>2.02195949178421-20.5428038454883i</v>
      </c>
      <c r="L2" s="78" t="str">
        <f t="shared" ref="L2:L33" si="9">IMPRODUCT(G2,K2)</f>
        <v>-238.542130865232-37.2095175660198i</v>
      </c>
      <c r="M2" s="73">
        <f t="shared" ref="M2:M33" si="10">20*LOG(IMABS(L2))</f>
        <v>47.655709310388829</v>
      </c>
      <c r="N2" s="73">
        <f t="shared" ref="N2:N33" si="11">(180/PI())*IMARGUMENT(L2)+180</f>
        <v>8.8659597264308445</v>
      </c>
      <c r="O2" s="73">
        <f t="shared" ref="O2:O55" si="12">IF(N2&gt;180,-(360-N2),N2)</f>
        <v>8.8659597264308445</v>
      </c>
      <c r="P2" s="73">
        <v>48.311999999999998</v>
      </c>
      <c r="Q2" s="73">
        <v>11.617000000000001</v>
      </c>
      <c r="R2" s="73">
        <f>B2</f>
        <v>100</v>
      </c>
    </row>
    <row r="3" spans="1:18" ht="15" x14ac:dyDescent="0.2">
      <c r="A3" s="74">
        <f>1+A2</f>
        <v>2</v>
      </c>
      <c r="B3" s="73">
        <v>1000</v>
      </c>
      <c r="C3" s="73">
        <f t="shared" si="0"/>
        <v>397.42078776290634</v>
      </c>
      <c r="D3" s="54" t="str">
        <f t="shared" si="1"/>
        <v>0.00086849073336979-0.00294039790123243i</v>
      </c>
      <c r="E3" s="54" t="str">
        <f t="shared" si="2"/>
        <v>0.999999839936-0.0200079999987195i</v>
      </c>
      <c r="F3" s="73" t="str">
        <f t="shared" si="3"/>
        <v>0.000809659113151596-0.00295777419317273i</v>
      </c>
      <c r="G3" s="73" t="str">
        <f t="shared" si="4"/>
        <v>0.321775362568123-1.1754809498755i</v>
      </c>
      <c r="H3" s="76">
        <f t="shared" si="5"/>
        <v>1.2187267320757573</v>
      </c>
      <c r="I3" s="54" t="str">
        <f t="shared" si="6"/>
        <v>2.22437137330755-2.05228811208118i</v>
      </c>
      <c r="J3" s="78" t="str">
        <f t="shared" si="7"/>
        <v>0.990384839261999-0.0975843707874555i</v>
      </c>
      <c r="K3" s="78" t="str">
        <f t="shared" si="8"/>
        <v>2.00271244092017-2.24961891286468i</v>
      </c>
      <c r="L3" s="78" t="str">
        <f t="shared" si="9"/>
        <v>-1.99996065475529-3.07802226370746i</v>
      </c>
      <c r="M3" s="73">
        <f t="shared" si="10"/>
        <v>11.294985954335106</v>
      </c>
      <c r="N3" s="73">
        <f t="shared" si="11"/>
        <v>56.985997803972054</v>
      </c>
      <c r="O3" s="73">
        <f t="shared" si="12"/>
        <v>56.985997803972054</v>
      </c>
    </row>
    <row r="4" spans="1:18" ht="15" x14ac:dyDescent="0.2">
      <c r="A4" s="74">
        <f t="shared" ref="A4:A67" si="13">1+A3</f>
        <v>3</v>
      </c>
      <c r="B4" s="73">
        <f t="shared" ref="B4:B35" si="14">(fs*1000/2)*(A4/100)</f>
        <v>3000</v>
      </c>
      <c r="C4" s="73">
        <f t="shared" si="0"/>
        <v>397.42078776290634</v>
      </c>
      <c r="D4" s="54" t="str">
        <f t="shared" si="1"/>
        <v>0.000860798780537962-0.000980140179431488i</v>
      </c>
      <c r="E4" s="54" t="str">
        <f t="shared" si="2"/>
        <v>0.999986993344607-0.0602159971905624i</v>
      </c>
      <c r="F4" s="73" t="str">
        <f t="shared" si="3"/>
        <v>0.000801767466133857-0.00103196128803645i</v>
      </c>
      <c r="G4" s="73" t="str">
        <f t="shared" si="4"/>
        <v>0.318639057993587-0.410122868032269i</v>
      </c>
      <c r="H4" s="76">
        <f t="shared" si="5"/>
        <v>0.51935692559361757</v>
      </c>
      <c r="I4" s="54" t="str">
        <f t="shared" si="6"/>
        <v>2.22437137330755-0.684096037360393i</v>
      </c>
      <c r="J4" s="78" t="str">
        <f t="shared" si="7"/>
        <v>0.919644594479931-0.271842627863575i</v>
      </c>
      <c r="K4" s="78" t="str">
        <f t="shared" si="8"/>
        <v>1.85966464507108-1.23380418232806i</v>
      </c>
      <c r="L4" s="78" t="str">
        <f t="shared" si="9"/>
        <v>0.0865504808428347-1.15582920022032i</v>
      </c>
      <c r="M4" s="73">
        <f t="shared" si="10"/>
        <v>1.2821572947542146</v>
      </c>
      <c r="N4" s="73">
        <f t="shared" si="11"/>
        <v>94.282414345268919</v>
      </c>
      <c r="O4" s="73">
        <f t="shared" si="12"/>
        <v>94.282414345268919</v>
      </c>
    </row>
    <row r="5" spans="1:18" ht="15" x14ac:dyDescent="0.2">
      <c r="A5" s="74">
        <f t="shared" si="13"/>
        <v>4</v>
      </c>
      <c r="B5" s="73">
        <f t="shared" si="14"/>
        <v>4000</v>
      </c>
      <c r="C5" s="73">
        <f t="shared" si="0"/>
        <v>397.42078776290634</v>
      </c>
      <c r="D5" s="54" t="str">
        <f t="shared" si="1"/>
        <v>0.000860378123451906-0.000735105444067214i</v>
      </c>
      <c r="E5" s="54" t="str">
        <f t="shared" si="2"/>
        <v>0.999958777866806-0.0805119788942678i</v>
      </c>
      <c r="F5" s="73" t="str">
        <f t="shared" si="3"/>
        <v>0.000801157862832503-0.000804345886769137i</v>
      </c>
      <c r="G5" s="73" t="str">
        <f t="shared" si="4"/>
        <v>0.31839678896934-0.319663775953644i</v>
      </c>
      <c r="H5" s="76">
        <f t="shared" si="5"/>
        <v>0.45117784174638709</v>
      </c>
      <c r="I5" s="54" t="str">
        <f t="shared" si="6"/>
        <v>2.22437137330754-0.513072028020294i</v>
      </c>
      <c r="J5" s="78" t="str">
        <f t="shared" si="7"/>
        <v>0.865548954412695-0.34113628057975i</v>
      </c>
      <c r="K5" s="78" t="str">
        <f t="shared" si="8"/>
        <v>1.75027483308352-1.20290273430957i</v>
      </c>
      <c r="L5" s="78" t="str">
        <f t="shared" si="9"/>
        <v>0.17275745651328-0.942499830146718i</v>
      </c>
      <c r="M5" s="73">
        <f t="shared" si="10"/>
        <v>-0.37085855982969884</v>
      </c>
      <c r="N5" s="73">
        <f t="shared" si="11"/>
        <v>100.38684758199327</v>
      </c>
      <c r="O5" s="73">
        <f t="shared" si="12"/>
        <v>100.38684758199327</v>
      </c>
    </row>
    <row r="6" spans="1:18" ht="15" x14ac:dyDescent="0.2">
      <c r="A6" s="74">
        <f t="shared" si="13"/>
        <v>5</v>
      </c>
      <c r="B6" s="73">
        <f t="shared" si="14"/>
        <v>5000</v>
      </c>
      <c r="C6" s="73">
        <f t="shared" si="0"/>
        <v>397.42078776290634</v>
      </c>
      <c r="D6" s="54" t="str">
        <f t="shared" si="1"/>
        <v>0.000860183419195016-0.000588084469854899i</v>
      </c>
      <c r="E6" s="54" t="str">
        <f t="shared" si="2"/>
        <v>0.999899000101-0.100999899000101i</v>
      </c>
      <c r="F6" s="73" t="str">
        <f t="shared" si="3"/>
        <v>0.000800700068697683-0.000674903511843098i</v>
      </c>
      <c r="G6" s="73" t="str">
        <f t="shared" si="4"/>
        <v>0.318214852063646-0.268220685340636i</v>
      </c>
      <c r="H6" s="76">
        <f t="shared" si="5"/>
        <v>0.41617667896998811</v>
      </c>
      <c r="I6" s="54" t="str">
        <f t="shared" si="6"/>
        <v>2.22437137330755-0.410457622416236i</v>
      </c>
      <c r="J6" s="78" t="str">
        <f t="shared" si="7"/>
        <v>0.804691194867478-0.396438237018364i</v>
      </c>
      <c r="K6" s="78" t="str">
        <f t="shared" si="8"/>
        <v>1.62721096201442-1.21211750033275i</v>
      </c>
      <c r="L6" s="78" t="str">
        <f t="shared" si="9"/>
        <v>0.192687708901133-0.822165430477446i</v>
      </c>
      <c r="M6" s="73">
        <f t="shared" si="10"/>
        <v>-1.4685897413907534</v>
      </c>
      <c r="N6" s="73">
        <f t="shared" si="11"/>
        <v>103.19012755660417</v>
      </c>
      <c r="O6" s="73">
        <f t="shared" si="12"/>
        <v>103.19012755660417</v>
      </c>
    </row>
    <row r="7" spans="1:18" ht="15" x14ac:dyDescent="0.2">
      <c r="A7" s="74">
        <f t="shared" si="13"/>
        <v>6</v>
      </c>
      <c r="B7" s="73">
        <f t="shared" si="14"/>
        <v>6000</v>
      </c>
      <c r="C7" s="73">
        <f t="shared" si="0"/>
        <v>397.42078776290634</v>
      </c>
      <c r="D7" s="54" t="str">
        <f t="shared" si="1"/>
        <v>0.000860077653887862-0.000490070443422819i</v>
      </c>
      <c r="E7" s="54" t="str">
        <f t="shared" si="2"/>
        <v>0.999789654644088-0.121727636523225i</v>
      </c>
      <c r="F7" s="73" t="str">
        <f t="shared" si="3"/>
        <v>0.000800241623739894-0.000594662579415185i</v>
      </c>
      <c r="G7" s="73" t="str">
        <f t="shared" si="4"/>
        <v>0.318032656507376-0.236331270764305i</v>
      </c>
      <c r="H7" s="76">
        <f t="shared" si="5"/>
        <v>0.39622877248656474</v>
      </c>
      <c r="I7" s="54" t="str">
        <f t="shared" si="6"/>
        <v>2.22437137330754-0.342048018680196i</v>
      </c>
      <c r="J7" s="78" t="str">
        <f t="shared" si="7"/>
        <v>0.741011706070655-0.438079168115664i</v>
      </c>
      <c r="K7" s="78" t="str">
        <f t="shared" si="8"/>
        <v>1.49844111479031-1.22791234667916i</v>
      </c>
      <c r="L7" s="78" t="str">
        <f t="shared" si="9"/>
        <v>0.186359123078771-0.744644718396455i</v>
      </c>
      <c r="M7" s="73">
        <f t="shared" si="10"/>
        <v>-2.2971848158600769</v>
      </c>
      <c r="N7" s="73">
        <f t="shared" si="11"/>
        <v>104.05057717777083</v>
      </c>
      <c r="O7" s="73">
        <f t="shared" si="12"/>
        <v>104.05057717777083</v>
      </c>
    </row>
    <row r="8" spans="1:18" ht="15" x14ac:dyDescent="0.2">
      <c r="A8" s="74">
        <f t="shared" si="13"/>
        <v>7</v>
      </c>
      <c r="B8" s="73">
        <f t="shared" si="14"/>
        <v>7000.0000000000009</v>
      </c>
      <c r="C8" s="73">
        <f t="shared" si="0"/>
        <v>397.42078776290634</v>
      </c>
      <c r="D8" s="54" t="str">
        <f t="shared" si="1"/>
        <v>0.000860013880732657-0.000420060406888338i</v>
      </c>
      <c r="E8" s="54" t="str">
        <f t="shared" si="2"/>
        <v>0.999608313413218-0.142742925212006i</v>
      </c>
      <c r="F8" s="73" t="str">
        <f t="shared" si="3"/>
        <v>0.000799716373586141-0.00054265677192003i</v>
      </c>
      <c r="G8" s="73" t="str">
        <f t="shared" si="4"/>
        <v>0.317823911177499-0.215663081781334i</v>
      </c>
      <c r="H8" s="76">
        <f t="shared" si="5"/>
        <v>0.38408671333383188</v>
      </c>
      <c r="I8" s="54" t="str">
        <f t="shared" si="6"/>
        <v>2.22437137330754-0.293184016011597i</v>
      </c>
      <c r="J8" s="78" t="str">
        <f t="shared" si="7"/>
        <v>0.67763671452145-0.467381212346009i</v>
      </c>
      <c r="K8" s="78" t="str">
        <f t="shared" si="8"/>
        <v>1.37028700843972-1.23830164252454i</v>
      </c>
      <c r="L8" s="78" t="str">
        <f t="shared" si="9"/>
        <v>0.168454028056296-0.689082190409705i</v>
      </c>
      <c r="M8" s="73">
        <f t="shared" si="10"/>
        <v>-2.9824985262340249</v>
      </c>
      <c r="N8" s="73">
        <f t="shared" si="11"/>
        <v>103.73718744582411</v>
      </c>
      <c r="O8" s="73">
        <f t="shared" si="12"/>
        <v>103.73718744582411</v>
      </c>
    </row>
    <row r="9" spans="1:18" ht="15" x14ac:dyDescent="0.2">
      <c r="A9" s="74">
        <f t="shared" si="13"/>
        <v>8</v>
      </c>
      <c r="B9" s="73">
        <f t="shared" si="14"/>
        <v>8000</v>
      </c>
      <c r="C9" s="73">
        <f t="shared" si="0"/>
        <v>397.42078776290634</v>
      </c>
      <c r="D9" s="54" t="str">
        <f t="shared" si="1"/>
        <v>0.000859972489497753-0.000367552871253857i</v>
      </c>
      <c r="E9" s="54" t="str">
        <f t="shared" si="2"/>
        <v>0.999327874060402-0.164093246972151i</v>
      </c>
      <c r="F9" s="73" t="str">
        <f t="shared" si="3"/>
        <v>0.000799081535602239-0.000508421507543324i</v>
      </c>
      <c r="G9" s="73" t="str">
        <f t="shared" si="4"/>
        <v>0.317571613365835-0.202057276043472i</v>
      </c>
      <c r="H9" s="76">
        <f t="shared" si="5"/>
        <v>0.37640254039775989</v>
      </c>
      <c r="I9" s="54" t="str">
        <f t="shared" si="6"/>
        <v>2.22437137330754-0.256536014010147i</v>
      </c>
      <c r="J9" s="78" t="str">
        <f t="shared" si="7"/>
        <v>0.616772023904016-0.486173111590265i</v>
      </c>
      <c r="K9" s="78" t="str">
        <f t="shared" si="8"/>
        <v>1.24720912166277-1.23965378845855i</v>
      </c>
      <c r="L9" s="78" t="str">
        <f t="shared" si="9"/>
        <v>0.145597145238127-0.645686531395602i</v>
      </c>
      <c r="M9" s="73">
        <f t="shared" si="10"/>
        <v>-3.5841720501078704</v>
      </c>
      <c r="N9" s="73">
        <f t="shared" si="11"/>
        <v>102.70721168010094</v>
      </c>
      <c r="O9" s="73">
        <f t="shared" si="12"/>
        <v>102.70721168010094</v>
      </c>
    </row>
    <row r="10" spans="1:18" ht="15" x14ac:dyDescent="0.2">
      <c r="A10" s="74">
        <f t="shared" si="13"/>
        <v>9</v>
      </c>
      <c r="B10" s="73">
        <f t="shared" si="14"/>
        <v>9000</v>
      </c>
      <c r="C10" s="73">
        <f t="shared" si="0"/>
        <v>397.42078776290634</v>
      </c>
      <c r="D10" s="54" t="str">
        <f t="shared" si="1"/>
        <v>0.00085994411180139-0.000326713672616123i</v>
      </c>
      <c r="E10" s="54" t="str">
        <f t="shared" si="2"/>
        <v>0.99891626463625-0.185825679655359i</v>
      </c>
      <c r="F10" s="73" t="str">
        <f t="shared" si="3"/>
        <v>0.000798300369689993-0.000486159300496406i</v>
      </c>
      <c r="G10" s="73" t="str">
        <f t="shared" si="4"/>
        <v>0.317261161793616-0.193209812181545i</v>
      </c>
      <c r="H10" s="76">
        <f t="shared" si="5"/>
        <v>0.37146288684855566</v>
      </c>
      <c r="I10" s="54" t="str">
        <f t="shared" si="6"/>
        <v>2.22437137330755-0.228032012453464i</v>
      </c>
      <c r="J10" s="78" t="str">
        <f t="shared" si="7"/>
        <v>0.559788402057705-0.49641247665564i</v>
      </c>
      <c r="K10" s="78" t="str">
        <f t="shared" si="8"/>
        <v>1.13197936058794-1.23185537829484i</v>
      </c>
      <c r="L10" s="78" t="str">
        <f t="shared" si="9"/>
        <v>0.121126540791352-0.609529388132117i</v>
      </c>
      <c r="M10" s="73">
        <f t="shared" si="10"/>
        <v>-4.131903013797614</v>
      </c>
      <c r="N10" s="73">
        <f t="shared" si="11"/>
        <v>101.23947510428049</v>
      </c>
      <c r="O10" s="73">
        <f t="shared" si="12"/>
        <v>101.23947510428049</v>
      </c>
    </row>
    <row r="11" spans="1:18" ht="15" x14ac:dyDescent="0.2">
      <c r="A11" s="74">
        <f t="shared" si="13"/>
        <v>10</v>
      </c>
      <c r="B11" s="73">
        <f t="shared" si="14"/>
        <v>10000</v>
      </c>
      <c r="C11" s="73">
        <f t="shared" si="0"/>
        <v>397.42078776290634</v>
      </c>
      <c r="D11" s="54" t="str">
        <f t="shared" si="1"/>
        <v>0.000859923813401121-0.000294042311328236i</v>
      </c>
      <c r="E11" s="54" t="str">
        <f t="shared" si="2"/>
        <v>0.998336106489185-0.207986688851913i</v>
      </c>
      <c r="F11" s="73" t="str">
        <f t="shared" si="3"/>
        <v>0.000797336105032684-0.000472405762848721i</v>
      </c>
      <c r="G11" s="73" t="str">
        <f t="shared" si="4"/>
        <v>0.316877942973897-0.187743870415075i</v>
      </c>
      <c r="H11" s="76">
        <f t="shared" si="5"/>
        <v>0.36831968671495252</v>
      </c>
      <c r="I11" s="54" t="str">
        <f t="shared" si="6"/>
        <v>2.22437137330755-0.205228811208118i</v>
      </c>
      <c r="J11" s="78" t="str">
        <f t="shared" si="7"/>
        <v>0.507395038669404-0.499945310412127i</v>
      </c>
      <c r="K11" s="78" t="str">
        <f t="shared" si="8"/>
        <v>1.02603181724955-1.21619611729911i</v>
      </c>
      <c r="L11" s="78" t="str">
        <f t="shared" si="9"/>
        <v>0.0967934854302853-0.578016908442026i</v>
      </c>
      <c r="M11" s="73">
        <f t="shared" si="10"/>
        <v>-4.6410799689356477</v>
      </c>
      <c r="N11" s="73">
        <f t="shared" si="11"/>
        <v>99.506424440472657</v>
      </c>
      <c r="O11" s="73">
        <f t="shared" si="12"/>
        <v>99.506424440472657</v>
      </c>
    </row>
    <row r="12" spans="1:18" ht="15" x14ac:dyDescent="0.2">
      <c r="A12" s="74">
        <f t="shared" si="13"/>
        <v>11</v>
      </c>
      <c r="B12" s="73">
        <f t="shared" si="14"/>
        <v>11000</v>
      </c>
      <c r="C12" s="73">
        <f t="shared" si="0"/>
        <v>397.42078776290634</v>
      </c>
      <c r="D12" s="54" t="str">
        <f t="shared" si="1"/>
        <v>0.000859908794879991-0.000267311196134653i</v>
      </c>
      <c r="E12" s="54" t="str">
        <f t="shared" si="2"/>
        <v>0.997544338518663-0.230621852116547i</v>
      </c>
      <c r="F12" s="73" t="str">
        <f t="shared" si="3"/>
        <v>0.000796149346830878-0.000464968529253307i</v>
      </c>
      <c r="G12" s="73" t="str">
        <f t="shared" si="4"/>
        <v>0.316406300594451-0.184788159180809i</v>
      </c>
      <c r="H12" s="76">
        <f t="shared" si="5"/>
        <v>0.3664145341403614</v>
      </c>
      <c r="I12" s="54" t="str">
        <f t="shared" si="6"/>
        <v>2.22437137330755-0.186571646552834i</v>
      </c>
      <c r="J12" s="78" t="str">
        <f t="shared" si="7"/>
        <v>0.459827268017496-0.498383538657791i</v>
      </c>
      <c r="K12" s="78" t="str">
        <f t="shared" si="8"/>
        <v>0.929842374222124-1.19438080684202i</v>
      </c>
      <c r="L12" s="78" t="str">
        <f t="shared" si="9"/>
        <v>0.0735005551063571-0.549733473254718i</v>
      </c>
      <c r="M12" s="73">
        <f t="shared" si="10"/>
        <v>-5.1200064698349932</v>
      </c>
      <c r="N12" s="73">
        <f t="shared" si="11"/>
        <v>97.615405690593576</v>
      </c>
      <c r="O12" s="73">
        <f t="shared" si="12"/>
        <v>97.615405690593576</v>
      </c>
    </row>
    <row r="13" spans="1:18" ht="15" x14ac:dyDescent="0.2">
      <c r="A13" s="74">
        <f t="shared" si="13"/>
        <v>12</v>
      </c>
      <c r="B13" s="73">
        <f t="shared" si="14"/>
        <v>12000</v>
      </c>
      <c r="C13" s="73">
        <f t="shared" si="0"/>
        <v>397.42078776290634</v>
      </c>
      <c r="D13" s="54" t="str">
        <f t="shared" si="1"/>
        <v>0.000859897372062692-0.000245035265924834i</v>
      </c>
      <c r="E13" s="54" t="str">
        <f t="shared" si="2"/>
        <v>0.996491807450037-0.253775502746189i</v>
      </c>
      <c r="F13" s="73" t="str">
        <f t="shared" si="3"/>
        <v>0.000794696738707668-0.000462396522935775i</v>
      </c>
      <c r="G13" s="73" t="str">
        <f t="shared" si="4"/>
        <v>0.315829003929814-0.183765990403964i</v>
      </c>
      <c r="H13" s="76">
        <f t="shared" si="5"/>
        <v>0.36540101115411305</v>
      </c>
      <c r="I13" s="54" t="str">
        <f t="shared" si="6"/>
        <v>2.22437137330754-0.171024009340098i</v>
      </c>
      <c r="J13" s="78" t="str">
        <f t="shared" si="7"/>
        <v>0.417009764044986-0.493064519851237i</v>
      </c>
      <c r="K13" s="78" t="str">
        <f t="shared" si="8"/>
        <v>0.84325871048309-1.16807728493166i</v>
      </c>
      <c r="L13" s="78" t="str">
        <f t="shared" si="9"/>
        <v>0.051672679453174-0.523874957511702i</v>
      </c>
      <c r="M13" s="73">
        <f t="shared" si="10"/>
        <v>-5.5733990774447015</v>
      </c>
      <c r="N13" s="73">
        <f t="shared" si="11"/>
        <v>95.633177895183621</v>
      </c>
      <c r="O13" s="73">
        <f t="shared" si="12"/>
        <v>95.633177895183621</v>
      </c>
    </row>
    <row r="14" spans="1:18" ht="15" x14ac:dyDescent="0.2">
      <c r="A14" s="74">
        <f t="shared" si="13"/>
        <v>13</v>
      </c>
      <c r="B14" s="73">
        <f t="shared" si="14"/>
        <v>13000</v>
      </c>
      <c r="C14" s="73">
        <f t="shared" si="0"/>
        <v>397.42078776290634</v>
      </c>
      <c r="D14" s="54" t="str">
        <f t="shared" si="1"/>
        <v>0.000859888482424657-0.000226186401327676i</v>
      </c>
      <c r="E14" s="54" t="str">
        <f t="shared" si="2"/>
        <v>0.99512283085849-0.277490278875169i</v>
      </c>
      <c r="F14" s="73" t="str">
        <f t="shared" si="3"/>
        <v>0.000792930133270848-0.000463693946780455i</v>
      </c>
      <c r="G14" s="73" t="str">
        <f t="shared" si="4"/>
        <v>0.315126918205447-0.18428161361038i</v>
      </c>
      <c r="H14" s="76">
        <f t="shared" si="5"/>
        <v>0.36505436265371205</v>
      </c>
      <c r="I14" s="54" t="str">
        <f t="shared" si="6"/>
        <v>2.22437137330754-0.157868316313937i</v>
      </c>
      <c r="J14" s="78" t="str">
        <f t="shared" si="7"/>
        <v>0.378682001949743-0.485058700931215i</v>
      </c>
      <c r="K14" s="78" t="str">
        <f t="shared" si="8"/>
        <v>0.765754004294362-1.13873257879133i</v>
      </c>
      <c r="L14" s="78" t="str">
        <f t="shared" si="9"/>
        <v>0.0314622223863875-0.499959671754628i</v>
      </c>
      <c r="M14" s="73">
        <f t="shared" si="10"/>
        <v>-6.0041358772051421</v>
      </c>
      <c r="N14" s="73">
        <f t="shared" si="11"/>
        <v>93.60084766921122</v>
      </c>
      <c r="O14" s="73">
        <f t="shared" si="12"/>
        <v>93.60084766921122</v>
      </c>
    </row>
    <row r="15" spans="1:18" ht="15" x14ac:dyDescent="0.2">
      <c r="A15" s="74">
        <f t="shared" si="13"/>
        <v>14</v>
      </c>
      <c r="B15" s="73">
        <f t="shared" si="14"/>
        <v>14000.000000000002</v>
      </c>
      <c r="C15" s="73">
        <f t="shared" si="0"/>
        <v>397.42078776290634</v>
      </c>
      <c r="D15" s="54" t="str">
        <f t="shared" si="1"/>
        <v>0.000859881428768898-0.000210030231287027i</v>
      </c>
      <c r="E15" s="54" t="str">
        <f t="shared" si="2"/>
        <v>0.993374742343426-0.301806562343923i</v>
      </c>
      <c r="F15" s="73" t="str">
        <f t="shared" si="3"/>
        <v>0.000790795990656164-0.000468156584929203i</v>
      </c>
      <c r="G15" s="73" t="str">
        <f t="shared" si="4"/>
        <v>0.314278765566321-0.186055158778956i</v>
      </c>
      <c r="H15" s="76">
        <f t="shared" si="5"/>
        <v>0.36522276023565819</v>
      </c>
      <c r="I15" s="54" t="str">
        <f t="shared" si="6"/>
        <v>2.22437137330754-0.146592008005798i</v>
      </c>
      <c r="J15" s="78" t="str">
        <f t="shared" si="7"/>
        <v>0.34448691416127-0.475200673540048i</v>
      </c>
      <c r="K15" s="78" t="str">
        <f t="shared" si="8"/>
        <v>0.696606209399438-1.10752180327757i</v>
      </c>
      <c r="L15" s="78" t="str">
        <f t="shared" si="9"/>
        <v>0.0128683946159255-0.47767776406808i</v>
      </c>
      <c r="M15" s="73">
        <f t="shared" si="10"/>
        <v>-6.4141488052429523</v>
      </c>
      <c r="N15" s="73">
        <f t="shared" si="11"/>
        <v>91.54314575810659</v>
      </c>
      <c r="O15" s="73">
        <f t="shared" si="12"/>
        <v>91.54314575810659</v>
      </c>
    </row>
    <row r="16" spans="1:18" ht="15" x14ac:dyDescent="0.2">
      <c r="A16" s="74">
        <f t="shared" si="13"/>
        <v>15</v>
      </c>
      <c r="B16" s="73">
        <f t="shared" si="14"/>
        <v>15000</v>
      </c>
      <c r="C16" s="73">
        <f t="shared" si="0"/>
        <v>397.42078776290634</v>
      </c>
      <c r="D16" s="54" t="str">
        <f t="shared" si="1"/>
        <v>0.000859875738239298-0.000196028216984356i</v>
      </c>
      <c r="E16" s="54" t="str">
        <f t="shared" si="2"/>
        <v>0.991177431652325-0.326761790654613i</v>
      </c>
      <c r="F16" s="73" t="str">
        <f t="shared" si="3"/>
        <v>0.000788234894567535-0.000475273280609469i</v>
      </c>
      <c r="G16" s="73" t="str">
        <f t="shared" si="4"/>
        <v>0.313260932741241-0.188883481582476i</v>
      </c>
      <c r="H16" s="76">
        <f t="shared" si="5"/>
        <v>0.36579964679675392</v>
      </c>
      <c r="I16" s="54" t="str">
        <f t="shared" si="6"/>
        <v>2.22437137330755-0.136819207472079i</v>
      </c>
      <c r="J16" s="78" t="str">
        <f t="shared" si="7"/>
        <v>0.314029454534721-0.464128167879678i</v>
      </c>
      <c r="K16" s="78" t="str">
        <f t="shared" si="8"/>
        <v>0.635016480947653-1.07535867126957i</v>
      </c>
      <c r="L16" s="78" t="str">
        <f t="shared" si="9"/>
        <v>-0.00419163465157943-0.456811984176932i</v>
      </c>
      <c r="M16" s="73">
        <f t="shared" si="10"/>
        <v>-6.8048845798366671</v>
      </c>
      <c r="N16" s="73">
        <f t="shared" si="11"/>
        <v>89.474277726515382</v>
      </c>
      <c r="O16" s="73">
        <f t="shared" si="12"/>
        <v>89.474277726515382</v>
      </c>
    </row>
    <row r="17" spans="1:18" ht="15" x14ac:dyDescent="0.2">
      <c r="A17" s="74">
        <f t="shared" si="13"/>
        <v>16</v>
      </c>
      <c r="B17" s="73">
        <f t="shared" si="14"/>
        <v>16000</v>
      </c>
      <c r="C17" s="73">
        <f t="shared" si="0"/>
        <v>397.42078776290634</v>
      </c>
      <c r="D17" s="54" t="str">
        <f t="shared" si="1"/>
        <v>0.000859871080957751-0.000183776454279469i</v>
      </c>
      <c r="E17" s="54" t="str">
        <f t="shared" si="2"/>
        <v>0.98845289678367-0.352389624521807i</v>
      </c>
      <c r="F17" s="73" t="str">
        <f t="shared" si="3"/>
        <v>0.000785181145113704-0.000484664015949035i</v>
      </c>
      <c r="G17" s="73" t="str">
        <f t="shared" si="4"/>
        <v>0.312047309227669-0.192615555018799i</v>
      </c>
      <c r="H17" s="76">
        <f t="shared" si="5"/>
        <v>0.36670734275635725</v>
      </c>
      <c r="I17" s="54" t="str">
        <f t="shared" si="6"/>
        <v>2.22437137330755-0.128268007005074i</v>
      </c>
      <c r="J17" s="78" t="str">
        <f t="shared" si="7"/>
        <v>0.286912887884509-0.452320552982374i</v>
      </c>
      <c r="K17" s="78" t="str">
        <f t="shared" si="8"/>
        <v>0.580182558584818-1.04293063392565i</v>
      </c>
      <c r="L17" s="78" t="str">
        <f t="shared" si="9"/>
        <v>-0.0198402566324801-0.437195883561648i</v>
      </c>
      <c r="M17" s="73">
        <f t="shared" si="10"/>
        <v>-7.1775440171328384</v>
      </c>
      <c r="N17" s="73">
        <f t="shared" si="11"/>
        <v>87.401659937728724</v>
      </c>
      <c r="O17" s="73">
        <f t="shared" si="12"/>
        <v>87.401659937728724</v>
      </c>
    </row>
    <row r="18" spans="1:18" ht="15" x14ac:dyDescent="0.2">
      <c r="A18" s="74">
        <f t="shared" si="13"/>
        <v>17</v>
      </c>
      <c r="B18" s="73">
        <f t="shared" si="14"/>
        <v>17000</v>
      </c>
      <c r="C18" s="73">
        <f t="shared" si="0"/>
        <v>397.42078776290634</v>
      </c>
      <c r="D18" s="54" t="str">
        <f t="shared" si="1"/>
        <v>0.000859867221116721-0.000172966075284167i</v>
      </c>
      <c r="E18" s="54" t="str">
        <f t="shared" si="2"/>
        <v>0.985114830259947-0.378718953288537i</v>
      </c>
      <c r="F18" s="73" t="str">
        <f t="shared" si="3"/>
        <v>0.000781562420590445-0.000496039459842739i</v>
      </c>
      <c r="G18" s="73" t="str">
        <f t="shared" si="4"/>
        <v>0.310609152876939-0.197136392892188i</v>
      </c>
      <c r="H18" s="76">
        <f t="shared" si="5"/>
        <v>0.36788694357570345</v>
      </c>
      <c r="I18" s="54" t="str">
        <f t="shared" si="6"/>
        <v>2.22437137330754-0.120722830122422i</v>
      </c>
      <c r="J18" s="78" t="str">
        <f t="shared" si="7"/>
        <v>0.262759656219213-0.440132956369747i</v>
      </c>
      <c r="K18" s="78" t="str">
        <f t="shared" si="8"/>
        <v>0.531340961231044-1.01074023793886i</v>
      </c>
      <c r="L18" s="78" t="str">
        <f t="shared" si="9"/>
        <v>-0.0342143188014656-0.418691809577781i</v>
      </c>
      <c r="M18" s="73">
        <f t="shared" si="10"/>
        <v>-7.5332062140021776</v>
      </c>
      <c r="N18" s="73">
        <f t="shared" si="11"/>
        <v>85.328330027448771</v>
      </c>
      <c r="O18" s="73">
        <f t="shared" si="12"/>
        <v>85.328330027448771</v>
      </c>
    </row>
    <row r="19" spans="1:18" ht="15" x14ac:dyDescent="0.2">
      <c r="A19" s="74">
        <f t="shared" si="13"/>
        <v>18</v>
      </c>
      <c r="B19" s="73">
        <f t="shared" si="14"/>
        <v>18000</v>
      </c>
      <c r="C19" s="73">
        <f t="shared" si="0"/>
        <v>397.42078776290634</v>
      </c>
      <c r="D19" s="54" t="str">
        <f t="shared" si="1"/>
        <v>0.00085986398653237-0.000163356849408337i</v>
      </c>
      <c r="E19" s="54" t="str">
        <f t="shared" si="2"/>
        <v>0.981068267923973-0.405772721108261i</v>
      </c>
      <c r="F19" s="73" t="str">
        <f t="shared" si="3"/>
        <v>0.000777299518621421-0.000509173570900791i</v>
      </c>
      <c r="G19" s="73" t="str">
        <f t="shared" si="4"/>
        <v>0.308914987018253-0.202356161655444i</v>
      </c>
      <c r="H19" s="76">
        <f t="shared" si="5"/>
        <v>0.36929187015748338</v>
      </c>
      <c r="I19" s="54" t="str">
        <f t="shared" si="6"/>
        <v>2.22437137330754-0.114016006226732i</v>
      </c>
      <c r="J19" s="78" t="str">
        <f t="shared" si="7"/>
        <v>0.241222101619263-0.427824729661165i</v>
      </c>
      <c r="K19" s="78" t="str">
        <f t="shared" si="8"/>
        <v>0.487788670409974-0.97914426209158i</v>
      </c>
      <c r="L19" s="78" t="str">
        <f t="shared" si="9"/>
        <v>-0.0474506437964562-0.401179380056192i</v>
      </c>
      <c r="M19" s="73">
        <f t="shared" si="10"/>
        <v>-7.8728926982418983</v>
      </c>
      <c r="N19" s="73">
        <f t="shared" si="11"/>
        <v>83.254516231399208</v>
      </c>
      <c r="O19" s="73">
        <f t="shared" si="12"/>
        <v>83.254516231399208</v>
      </c>
    </row>
    <row r="20" spans="1:18" ht="15" x14ac:dyDescent="0.2">
      <c r="A20" s="74">
        <f t="shared" si="13"/>
        <v>19</v>
      </c>
      <c r="B20" s="73">
        <f t="shared" si="14"/>
        <v>19000</v>
      </c>
      <c r="C20" s="73">
        <f t="shared" si="0"/>
        <v>397.42078776290634</v>
      </c>
      <c r="D20" s="54" t="str">
        <f t="shared" si="1"/>
        <v>0.000859861249103746-0.000154759120916116i</v>
      </c>
      <c r="E20" s="54" t="str">
        <f t="shared" si="2"/>
        <v>0.976209335792462-0.433566558673604i</v>
      </c>
      <c r="F20" s="73" t="str">
        <f t="shared" si="3"/>
        <v>0.000772306199382292-0.000523884381348045i</v>
      </c>
      <c r="G20" s="73" t="str">
        <f t="shared" si="4"/>
        <v>0.306930538152687-0.208202543532023i</v>
      </c>
      <c r="H20" s="76">
        <f t="shared" si="5"/>
        <v>0.37088361298917216</v>
      </c>
      <c r="I20" s="54" t="str">
        <f t="shared" si="6"/>
        <v>2.22437137330754-0.108015163793746i</v>
      </c>
      <c r="J20" s="78" t="str">
        <f t="shared" si="7"/>
        <v>0.221986818900721-0.415582327746332i</v>
      </c>
      <c r="K20" s="78" t="str">
        <f t="shared" si="8"/>
        <v>0.448891932013063-0.948387375695067i</v>
      </c>
      <c r="L20" s="78" t="str">
        <f t="shared" si="9"/>
        <v>-0.0596780216082044-0.384549489615425i</v>
      </c>
      <c r="M20" s="73">
        <f t="shared" si="10"/>
        <v>-8.1976004077461457</v>
      </c>
      <c r="N20" s="73">
        <f t="shared" si="11"/>
        <v>81.178667615747145</v>
      </c>
      <c r="O20" s="73">
        <f t="shared" si="12"/>
        <v>81.178667615747145</v>
      </c>
    </row>
    <row r="21" spans="1:18" ht="15" x14ac:dyDescent="0.2">
      <c r="A21" s="74">
        <f t="shared" si="13"/>
        <v>20</v>
      </c>
      <c r="B21" s="73">
        <f t="shared" si="14"/>
        <v>20000</v>
      </c>
      <c r="C21" s="73">
        <f t="shared" si="0"/>
        <v>397.42078776290634</v>
      </c>
      <c r="D21" s="54" t="str">
        <f t="shared" si="1"/>
        <v>0.000859858911931568-0.00014702116521422i</v>
      </c>
      <c r="E21" s="54" t="str">
        <f t="shared" si="2"/>
        <v>0.970425138632163-0.462107208872458i</v>
      </c>
      <c r="F21" s="73" t="str">
        <f t="shared" si="3"/>
        <v>0.000766489163512973-0.000540020036451677i</v>
      </c>
      <c r="G21" s="73" t="str">
        <f t="shared" si="4"/>
        <v>0.304618727175057-0.214615188294379i</v>
      </c>
      <c r="H21" s="76">
        <f t="shared" si="5"/>
        <v>0.3726288340861233</v>
      </c>
      <c r="I21" s="54" t="str">
        <f t="shared" si="6"/>
        <v>2.22437137330755-0.102614405604059i</v>
      </c>
      <c r="J21" s="78" t="str">
        <f t="shared" si="7"/>
        <v>0.204775200095653-0.403537256670854i</v>
      </c>
      <c r="K21" s="78" t="str">
        <f t="shared" si="8"/>
        <v>0.414087357323724-0.918629607241976i</v>
      </c>
      <c r="L21" s="78" t="str">
        <f t="shared" si="9"/>
        <v>-0.0710131024037923-0.368701217865726i</v>
      </c>
      <c r="M21" s="73">
        <f t="shared" si="10"/>
        <v>-8.5083186982937349</v>
      </c>
      <c r="N21" s="73">
        <f t="shared" si="11"/>
        <v>79.098136136162822</v>
      </c>
      <c r="O21" s="73">
        <f t="shared" si="12"/>
        <v>79.098136136162822</v>
      </c>
    </row>
    <row r="22" spans="1:18" ht="15" x14ac:dyDescent="0.2">
      <c r="A22" s="74">
        <f t="shared" si="13"/>
        <v>21</v>
      </c>
      <c r="B22" s="73">
        <f t="shared" si="14"/>
        <v>21000</v>
      </c>
      <c r="C22" s="73">
        <f t="shared" si="0"/>
        <v>397.42078776290634</v>
      </c>
      <c r="D22" s="54" t="str">
        <f t="shared" si="1"/>
        <v>0.000859856900623609-0.000140020157628742i</v>
      </c>
      <c r="E22" s="54" t="str">
        <f t="shared" si="2"/>
        <v>0.963593842808501-0.491390740625996i</v>
      </c>
      <c r="F22" s="73" t="str">
        <f t="shared" si="3"/>
        <v>0.000759748206177555-0.00055744828098994i</v>
      </c>
      <c r="G22" s="73" t="str">
        <f t="shared" si="4"/>
        <v>0.301939730600539-0.2215415349681i</v>
      </c>
      <c r="H22" s="76">
        <f t="shared" si="5"/>
        <v>0.37449733327641727</v>
      </c>
      <c r="I22" s="54" t="str">
        <f t="shared" si="6"/>
        <v>2.22437137330755-0.0977280053371991i</v>
      </c>
      <c r="J22" s="78" t="str">
        <f t="shared" si="7"/>
        <v>0.189341843787141-0.391779925440836i</v>
      </c>
      <c r="K22" s="78" t="str">
        <f t="shared" si="8"/>
        <v>0.382878706444897-0.889968051507347i</v>
      </c>
      <c r="L22" s="78" t="str">
        <f t="shared" si="9"/>
        <v>-0.0815585947268517-0.353540250047618i</v>
      </c>
      <c r="M22" s="73">
        <f t="shared" si="10"/>
        <v>-8.8060383653407932</v>
      </c>
      <c r="N22" s="73">
        <f t="shared" si="11"/>
        <v>77.009632647210864</v>
      </c>
      <c r="O22" s="73">
        <f t="shared" si="12"/>
        <v>77.009632647210864</v>
      </c>
    </row>
    <row r="23" spans="1:18" ht="15" x14ac:dyDescent="0.2">
      <c r="A23" s="74">
        <f t="shared" si="13"/>
        <v>22</v>
      </c>
      <c r="B23" s="73">
        <f t="shared" si="14"/>
        <v>22000</v>
      </c>
      <c r="C23" s="73">
        <f t="shared" si="0"/>
        <v>397.42078776290634</v>
      </c>
      <c r="D23" s="54" t="str">
        <f t="shared" si="1"/>
        <v>0.00085985515730084-0.000133655605242459i</v>
      </c>
      <c r="E23" s="54" t="str">
        <f t="shared" si="2"/>
        <v>0.95558501521352-0.521400553935948i</v>
      </c>
      <c r="F23" s="73" t="str">
        <f t="shared" si="3"/>
        <v>0.000751976596960684-0.000576048248890327i</v>
      </c>
      <c r="G23" s="73" t="str">
        <f t="shared" si="4"/>
        <v>0.298851131543385-0.228933548863436i</v>
      </c>
      <c r="H23" s="76">
        <f t="shared" si="5"/>
        <v>0.37646058043302333</v>
      </c>
      <c r="I23" s="54" t="str">
        <f t="shared" si="6"/>
        <v>2.22437137330754-0.0932858232764171i</v>
      </c>
      <c r="J23" s="78" t="str">
        <f t="shared" si="7"/>
        <v>0.175471885189957-0.380370217942782i</v>
      </c>
      <c r="K23" s="78" t="str">
        <f t="shared" si="8"/>
        <v>0.354831489306225-0.862453663322484i</v>
      </c>
      <c r="L23" s="78" t="str">
        <f t="shared" si="9"/>
        <v>-0.0914027857882974-0.338978085283034i</v>
      </c>
      <c r="M23" s="73">
        <f t="shared" si="10"/>
        <v>-9.091756818673435</v>
      </c>
      <c r="N23" s="73">
        <f t="shared" si="11"/>
        <v>74.909535805428831</v>
      </c>
      <c r="O23" s="73">
        <f t="shared" si="12"/>
        <v>74.909535805428831</v>
      </c>
    </row>
    <row r="24" spans="1:18" ht="15" x14ac:dyDescent="0.2">
      <c r="A24" s="74">
        <f t="shared" si="13"/>
        <v>23</v>
      </c>
      <c r="B24" s="73">
        <f t="shared" si="14"/>
        <v>23000</v>
      </c>
      <c r="C24" s="73">
        <f t="shared" si="0"/>
        <v>397.42078776290634</v>
      </c>
      <c r="D24" s="54" t="str">
        <f t="shared" si="1"/>
        <v>0.000859853636386412-0.000127844492165655i</v>
      </c>
      <c r="E24" s="54" t="str">
        <f t="shared" si="2"/>
        <v>0.946260289080358-0.552105191497926i</v>
      </c>
      <c r="F24" s="73" t="str">
        <f t="shared" si="3"/>
        <v>0.000743061742704729-0.000595703822691312i</v>
      </c>
      <c r="G24" s="73" t="str">
        <f t="shared" si="4"/>
        <v>0.295308183142191-0.236745082487356i</v>
      </c>
      <c r="H24" s="76">
        <f t="shared" si="5"/>
        <v>0.37849063015177375</v>
      </c>
      <c r="I24" s="54" t="str">
        <f t="shared" si="6"/>
        <v>2.22437137330754-0.0892299179165727i</v>
      </c>
      <c r="J24" s="78" t="str">
        <f t="shared" si="7"/>
        <v>0.162977890602674-0.3693454991974i</v>
      </c>
      <c r="K24" s="78" t="str">
        <f t="shared" si="8"/>
        <v>0.329566685762396-0.836104059075372i</v>
      </c>
      <c r="L24" s="78" t="str">
        <f t="shared" si="9"/>
        <v>-0.100619785237126-0.324931662809262i</v>
      </c>
      <c r="M24" s="73">
        <f t="shared" si="10"/>
        <v>-9.3664814854046679</v>
      </c>
      <c r="N24" s="73">
        <f t="shared" si="11"/>
        <v>72.794105383185752</v>
      </c>
      <c r="O24" s="73">
        <f t="shared" si="12"/>
        <v>72.794105383185752</v>
      </c>
    </row>
    <row r="25" spans="1:18" ht="15" x14ac:dyDescent="0.2">
      <c r="A25" s="74">
        <f t="shared" si="13"/>
        <v>24</v>
      </c>
      <c r="B25" s="73">
        <f t="shared" si="14"/>
        <v>24000</v>
      </c>
      <c r="C25" s="73">
        <f t="shared" si="0"/>
        <v>397.42078776290634</v>
      </c>
      <c r="D25" s="54" t="str">
        <f t="shared" si="1"/>
        <v>0.000859852301596232-0.000122517638489096i</v>
      </c>
      <c r="E25" s="54" t="str">
        <f t="shared" si="2"/>
        <v>0.935474435292397-0.583455988747857i</v>
      </c>
      <c r="F25" s="73" t="str">
        <f t="shared" si="3"/>
        <v>0.000732886196366895-0.000616298093483895i</v>
      </c>
      <c r="G25" s="73" t="str">
        <f t="shared" si="4"/>
        <v>0.291264209500691-0.244929673809147i</v>
      </c>
      <c r="H25" s="76">
        <f t="shared" si="5"/>
        <v>0.38055930529723953</v>
      </c>
      <c r="I25" s="54" t="str">
        <f t="shared" si="6"/>
        <v>2.22437137330755-0.0855120046700494i</v>
      </c>
      <c r="J25" s="78" t="str">
        <f t="shared" si="7"/>
        <v>0.151696692457248-0.358726645169799i</v>
      </c>
      <c r="K25" s="78" t="str">
        <f t="shared" si="8"/>
        <v>0.306754345570311-0.810913168632191i</v>
      </c>
      <c r="L25" s="78" t="str">
        <f t="shared" si="9"/>
        <v>-0.109270135907186-0.31132322483543i</v>
      </c>
      <c r="M25" s="73">
        <f t="shared" si="10"/>
        <v>-9.6312324064230896</v>
      </c>
      <c r="N25" s="73">
        <f t="shared" si="11"/>
        <v>70.659633887064203</v>
      </c>
      <c r="O25" s="73">
        <f t="shared" si="12"/>
        <v>70.659633887064203</v>
      </c>
      <c r="P25" s="73">
        <v>-9.1029999999999998</v>
      </c>
      <c r="Q25" s="73">
        <v>72.905000000000001</v>
      </c>
      <c r="R25" s="73">
        <f>B25</f>
        <v>24000</v>
      </c>
    </row>
    <row r="26" spans="1:18" ht="15" x14ac:dyDescent="0.2">
      <c r="A26" s="74">
        <f t="shared" si="13"/>
        <v>25</v>
      </c>
      <c r="B26" s="73">
        <f t="shared" si="14"/>
        <v>25000</v>
      </c>
      <c r="C26" s="73">
        <f t="shared" si="0"/>
        <v>397.42078776290634</v>
      </c>
      <c r="D26" s="54" t="str">
        <f t="shared" si="1"/>
        <v>0.000859851123754654-0.000117616933088185i</v>
      </c>
      <c r="E26" s="54" t="str">
        <f t="shared" si="2"/>
        <v>0.923076923076923-0.615384615384615i</v>
      </c>
      <c r="F26" s="73" t="str">
        <f t="shared" si="3"/>
        <v>0.00072132907848849-0.000637708629776573i</v>
      </c>
      <c r="G26" s="73" t="str">
        <f t="shared" si="4"/>
        <v>0.286671170609187-0.253438666009009i</v>
      </c>
      <c r="H26" s="76">
        <f t="shared" si="5"/>
        <v>0.38263757981524454</v>
      </c>
      <c r="I26" s="54" t="str">
        <f t="shared" si="6"/>
        <v>2.22437137330755-0.0820915244832473i</v>
      </c>
      <c r="J26" s="78" t="str">
        <f t="shared" si="7"/>
        <v>0.141486372119377-0.348522565444297i</v>
      </c>
      <c r="K26" s="78" t="str">
        <f t="shared" si="8"/>
        <v>0.286107487141347-0.786858449506885i</v>
      </c>
      <c r="L26" s="78" t="str">
        <f t="shared" si="9"/>
        <v>-0.117401587522079-0.298080332700161i</v>
      </c>
      <c r="M26" s="73">
        <f t="shared" si="10"/>
        <v>-9.8870443931825349</v>
      </c>
      <c r="N26" s="73">
        <f t="shared" si="11"/>
        <v>68.502558913044609</v>
      </c>
      <c r="O26" s="73">
        <f t="shared" si="12"/>
        <v>68.502558913044609</v>
      </c>
    </row>
    <row r="27" spans="1:18" ht="15" x14ac:dyDescent="0.2">
      <c r="A27" s="74">
        <f t="shared" si="13"/>
        <v>26</v>
      </c>
      <c r="B27" s="73">
        <f t="shared" si="14"/>
        <v>26000</v>
      </c>
      <c r="C27" s="73">
        <f t="shared" si="0"/>
        <v>397.42078776290634</v>
      </c>
      <c r="D27" s="54" t="str">
        <f t="shared" si="1"/>
        <v>0.000859850079186539-0.000113093205010721i</v>
      </c>
      <c r="E27" s="54" t="str">
        <f t="shared" si="2"/>
        <v>0.908914055000462-0.647800587445505i</v>
      </c>
      <c r="F27" s="73" t="str">
        <f t="shared" si="3"/>
        <v>0.000708267977523866-0.000659803389971397i</v>
      </c>
      <c r="G27" s="73" t="str">
        <f t="shared" si="4"/>
        <v>0.281480417574775-0.262219583011069i</v>
      </c>
      <c r="H27" s="76">
        <f t="shared" si="5"/>
        <v>0.3846951197930234</v>
      </c>
      <c r="I27" s="54" t="str">
        <f t="shared" si="6"/>
        <v>2.22437137330755-0.0789341581569684i</v>
      </c>
      <c r="J27" s="78" t="str">
        <f t="shared" si="7"/>
        <v>0.132223493367264-0.338733584353576i</v>
      </c>
      <c r="K27" s="78" t="str">
        <f t="shared" si="8"/>
        <v>0.267376503204421-0.763906238351471i</v>
      </c>
      <c r="L27" s="78" t="str">
        <f t="shared" si="9"/>
        <v>-0.125049925508413-0.285136002136369i</v>
      </c>
      <c r="M27" s="73">
        <f t="shared" si="10"/>
        <v>-10.134968789562835</v>
      </c>
      <c r="N27" s="73">
        <f t="shared" si="11"/>
        <v>66.319551112216473</v>
      </c>
      <c r="O27" s="73">
        <f t="shared" si="12"/>
        <v>66.319551112216473</v>
      </c>
    </row>
    <row r="28" spans="1:18" ht="15" x14ac:dyDescent="0.2">
      <c r="A28" s="74">
        <f t="shared" si="13"/>
        <v>27</v>
      </c>
      <c r="B28" s="73">
        <f t="shared" si="14"/>
        <v>27000</v>
      </c>
      <c r="C28" s="73">
        <f t="shared" si="0"/>
        <v>397.42078776290634</v>
      </c>
      <c r="D28" s="54" t="str">
        <f t="shared" si="1"/>
        <v>0.00085984914851818-0.000108904567889543i</v>
      </c>
      <c r="E28" s="54" t="str">
        <f t="shared" si="2"/>
        <v>0.89283175581238-0.680588859597241i</v>
      </c>
      <c r="F28" s="73" t="str">
        <f t="shared" si="3"/>
        <v>0.000693581389340392-0.000682437207980456i</v>
      </c>
      <c r="G28" s="73" t="str">
        <f t="shared" si="4"/>
        <v>0.27564366212935-0.271214732794311i</v>
      </c>
      <c r="H28" s="76">
        <f t="shared" si="5"/>
        <v>0.38669996089574254</v>
      </c>
      <c r="I28" s="54" t="str">
        <f t="shared" si="6"/>
        <v>2.22437137330754-0.0760106708178213i</v>
      </c>
      <c r="J28" s="78" t="str">
        <f t="shared" si="7"/>
        <v>0.123800627078351-0.329353961283841i</v>
      </c>
      <c r="K28" s="78" t="str">
        <f t="shared" si="8"/>
        <v>0.250344155336915-0.742015691877108i</v>
      </c>
      <c r="L28" s="78" t="str">
        <f t="shared" si="9"/>
        <v>-0.13223980783189-0.272428945862768i</v>
      </c>
      <c r="M28" s="73">
        <f t="shared" si="10"/>
        <v>-10.376074710697569</v>
      </c>
      <c r="N28" s="73">
        <f t="shared" si="11"/>
        <v>64.107587566472475</v>
      </c>
      <c r="O28" s="73">
        <f t="shared" si="12"/>
        <v>64.107587566472475</v>
      </c>
    </row>
    <row r="29" spans="1:18" ht="15" x14ac:dyDescent="0.2">
      <c r="A29" s="74">
        <f t="shared" si="13"/>
        <v>28</v>
      </c>
      <c r="B29" s="73">
        <f t="shared" si="14"/>
        <v>28000.000000000004</v>
      </c>
      <c r="C29" s="73">
        <f t="shared" si="0"/>
        <v>397.42078776290634</v>
      </c>
      <c r="D29" s="54" t="str">
        <f t="shared" si="1"/>
        <v>0.000859848315772472-0.000105015119123871i</v>
      </c>
      <c r="E29" s="54" t="str">
        <f t="shared" si="2"/>
        <v>0.874679080449271-0.713607641392179i</v>
      </c>
      <c r="F29" s="73" t="str">
        <f t="shared" si="3"/>
        <v>0.000677151742697216-0.00070544885640197i</v>
      </c>
      <c r="G29" s="73" t="str">
        <f t="shared" si="4"/>
        <v>0.269114179017752-0.280360040237712i</v>
      </c>
      <c r="H29" s="76">
        <f t="shared" si="5"/>
        <v>0.38861831340080999</v>
      </c>
      <c r="I29" s="54" t="str">
        <f t="shared" si="6"/>
        <v>2.22437137330754-0.073296004002899i</v>
      </c>
      <c r="J29" s="78" t="str">
        <f t="shared" si="7"/>
        <v>0.116124171722473-0.320373763695223i</v>
      </c>
      <c r="K29" s="78" t="str">
        <f t="shared" si="8"/>
        <v>0.234821166662289-0.721141666477852i</v>
      </c>
      <c r="L29" s="78" t="str">
        <f t="shared" si="9"/>
        <v>-0.138985601148509-0.259903919263786i</v>
      </c>
      <c r="M29" s="73">
        <f t="shared" si="10"/>
        <v>-10.611449539731154</v>
      </c>
      <c r="N29" s="73">
        <f t="shared" si="11"/>
        <v>61.864016883577861</v>
      </c>
      <c r="O29" s="73">
        <f t="shared" si="12"/>
        <v>61.864016883577861</v>
      </c>
    </row>
    <row r="30" spans="1:18" ht="15" x14ac:dyDescent="0.2">
      <c r="A30" s="74">
        <f t="shared" si="13"/>
        <v>29</v>
      </c>
      <c r="B30" s="73">
        <f t="shared" si="14"/>
        <v>28999.999999999996</v>
      </c>
      <c r="C30" s="73">
        <f t="shared" si="0"/>
        <v>397.42078776290634</v>
      </c>
      <c r="D30" s="54" t="str">
        <f t="shared" si="1"/>
        <v>0.000859847567678591-0.000101393908195517i</v>
      </c>
      <c r="E30" s="54" t="str">
        <f t="shared" si="2"/>
        <v>0.854312480830752-0.74668661675985i</v>
      </c>
      <c r="F30" s="73" t="str">
        <f t="shared" si="3"/>
        <v>0.000658869034409216-0.000728658752490751i</v>
      </c>
      <c r="G30" s="73" t="str">
        <f t="shared" si="4"/>
        <v>0.261848250687496-0.289584135425211i</v>
      </c>
      <c r="H30" s="76">
        <f t="shared" si="5"/>
        <v>0.39041449496409414</v>
      </c>
      <c r="I30" s="54" t="str">
        <f t="shared" si="6"/>
        <v>2.22437137330755-0.0707685555890063i</v>
      </c>
      <c r="J30" s="78" t="str">
        <f t="shared" si="7"/>
        <v>0.109112454763565-0.311780254312287i</v>
      </c>
      <c r="K30" s="78" t="str">
        <f t="shared" si="8"/>
        <v>0.220642382588535-0.701236803275187i</v>
      </c>
      <c r="L30" s="78" t="str">
        <f t="shared" si="9"/>
        <v>-0.145292231496455-0.247512163855359i</v>
      </c>
      <c r="M30" s="73">
        <f t="shared" si="10"/>
        <v>-10.842198419616997</v>
      </c>
      <c r="N30" s="73">
        <f t="shared" si="11"/>
        <v>59.586619840049323</v>
      </c>
      <c r="O30" s="73">
        <f t="shared" si="12"/>
        <v>59.586619840049323</v>
      </c>
    </row>
    <row r="31" spans="1:18" ht="15" x14ac:dyDescent="0.2">
      <c r="A31" s="74">
        <f t="shared" si="13"/>
        <v>30</v>
      </c>
      <c r="B31" s="73">
        <f t="shared" si="14"/>
        <v>30000</v>
      </c>
      <c r="C31" s="73">
        <f t="shared" si="0"/>
        <v>397.42078776290634</v>
      </c>
      <c r="D31" s="54" t="str">
        <f t="shared" si="1"/>
        <v>0.00085984689313998-0.0000980141113218376i</v>
      </c>
      <c r="E31" s="54" t="str">
        <f t="shared" si="2"/>
        <v>0.831600831600832-0.77962577962578i</v>
      </c>
      <c r="F31" s="73" t="str">
        <f t="shared" si="3"/>
        <v>0.000638635063430983-0.000751867420906918i</v>
      </c>
      <c r="G31" s="73" t="str">
        <f t="shared" si="4"/>
        <v>0.253806850001755-0.298807742710092i</v>
      </c>
      <c r="H31" s="76">
        <f t="shared" si="5"/>
        <v>0.39205099695232742</v>
      </c>
      <c r="I31" s="54" t="str">
        <f t="shared" si="6"/>
        <v>2.22437137330755-0.0684096037360393i</v>
      </c>
      <c r="J31" s="78" t="str">
        <f t="shared" si="7"/>
        <v>0.102694090567264-0.30355891410042i</v>
      </c>
      <c r="K31" s="78" t="str">
        <f t="shared" si="8"/>
        <v>0.207663450241523-0.682253020679039i</v>
      </c>
      <c r="L31" s="78" t="str">
        <f t="shared" si="9"/>
        <v>-0.151156078899948-0.235211936892788i</v>
      </c>
      <c r="M31" s="73">
        <f t="shared" si="10"/>
        <v>-11.069442463603528</v>
      </c>
      <c r="N31" s="73">
        <f t="shared" si="11"/>
        <v>57.273667561161872</v>
      </c>
      <c r="O31" s="73">
        <f t="shared" si="12"/>
        <v>57.273667561161872</v>
      </c>
    </row>
    <row r="32" spans="1:18" ht="15" x14ac:dyDescent="0.2">
      <c r="A32" s="74">
        <f t="shared" si="13"/>
        <v>31</v>
      </c>
      <c r="B32" s="73">
        <f t="shared" si="14"/>
        <v>31000</v>
      </c>
      <c r="C32" s="73">
        <f t="shared" si="0"/>
        <v>397.42078776290634</v>
      </c>
      <c r="D32" s="54" t="str">
        <f t="shared" si="1"/>
        <v>0.000859846282820489-0.0000948523658532674i</v>
      </c>
      <c r="E32" s="54" t="str">
        <f t="shared" si="2"/>
        <v>0.80643116012275-0.812195125529735i</v>
      </c>
      <c r="F32" s="73" t="str">
        <f t="shared" si="3"/>
        <v>0.000616368206191174-0.000774854863047101i</v>
      </c>
      <c r="G32" s="73" t="str">
        <f t="shared" si="4"/>
        <v>0.244957538056506-0.307943430074098i</v>
      </c>
      <c r="H32" s="76">
        <f t="shared" si="5"/>
        <v>0.39348869307326417</v>
      </c>
      <c r="I32" s="54" t="str">
        <f t="shared" si="6"/>
        <v>2.22437137330754-0.0662028423251992i</v>
      </c>
      <c r="J32" s="78" t="str">
        <f t="shared" si="7"/>
        <v>0.0968065668192553-0.295694192435233i</v>
      </c>
      <c r="K32" s="78" t="str">
        <f t="shared" si="8"/>
        <v>0.195757959982668-0.664142566785402i</v>
      </c>
      <c r="L32" s="78" t="str">
        <f t="shared" si="9"/>
        <v>-0.156565952141794-0.222969105739651i</v>
      </c>
      <c r="M32" s="73">
        <f t="shared" si="10"/>
        <v>-11.294315418437943</v>
      </c>
      <c r="N32" s="73">
        <f t="shared" si="11"/>
        <v>54.923977799409926</v>
      </c>
      <c r="O32" s="73">
        <f t="shared" si="12"/>
        <v>54.923977799409926</v>
      </c>
    </row>
    <row r="33" spans="1:18" ht="15" x14ac:dyDescent="0.2">
      <c r="A33" s="74">
        <f t="shared" si="13"/>
        <v>32</v>
      </c>
      <c r="B33" s="73">
        <f t="shared" si="14"/>
        <v>32000</v>
      </c>
      <c r="C33" s="73">
        <f t="shared" si="0"/>
        <v>397.42078776290634</v>
      </c>
      <c r="D33" s="54" t="str">
        <f t="shared" si="1"/>
        <v>0.000859845728819534-0.0000918882294713026i</v>
      </c>
      <c r="E33" s="54" t="str">
        <f t="shared" si="2"/>
        <v>0.778714955716654-0.844135453351387i</v>
      </c>
      <c r="F33" s="73" t="str">
        <f t="shared" si="3"/>
        <v>0.000592008616398443-0.000797381002652958i</v>
      </c>
      <c r="G33" s="73" t="str">
        <f t="shared" si="4"/>
        <v>0.235276530691497-0.316895786221515i</v>
      </c>
      <c r="H33" s="76">
        <f t="shared" si="5"/>
        <v>0.3946871992086633</v>
      </c>
      <c r="I33" s="54" t="str">
        <f t="shared" si="6"/>
        <v>2.22437137330754-0.0641340035025366i</v>
      </c>
      <c r="J33" s="78" t="str">
        <f t="shared" si="7"/>
        <v>0.0913950312331835-0.28817005309204i</v>
      </c>
      <c r="K33" s="78" t="str">
        <f t="shared" si="8"/>
        <v>0.184814991943311-0.646858745995671i</v>
      </c>
      <c r="L33" s="78" t="str">
        <f t="shared" si="9"/>
        <v>-0.161504180762362-0.210757773782712i</v>
      </c>
      <c r="M33" s="73">
        <f t="shared" si="10"/>
        <v>-11.517958547479141</v>
      </c>
      <c r="N33" s="73">
        <f t="shared" si="11"/>
        <v>52.536968718343374</v>
      </c>
      <c r="O33" s="73">
        <f t="shared" si="12"/>
        <v>52.536968718343374</v>
      </c>
    </row>
    <row r="34" spans="1:18" ht="15" x14ac:dyDescent="0.2">
      <c r="A34" s="74">
        <f t="shared" si="13"/>
        <v>33</v>
      </c>
      <c r="B34" s="73">
        <f t="shared" si="14"/>
        <v>33000</v>
      </c>
      <c r="C34" s="73">
        <f t="shared" ref="C34:C65" si="15">_ta1*_ta2*(rload/RS)</f>
        <v>397.42078776290634</v>
      </c>
      <c r="D34" s="54" t="str">
        <f t="shared" ref="D34:D65" si="16">IMDIV((COMPLEX(1,2*PI()*(B34)*(esrcout*0.001)*(cout*0.000001))),(COMPLEX(1,2*PI()*(B34)*rload*(cout*0.000001))))</f>
        <v>0.000859845224415178-0.0000891037377141246i</v>
      </c>
      <c r="E34" s="54" t="str">
        <f t="shared" ref="E34:E65" si="17">IMDIV(1,(COMPLEX((1-(B34/(fpp*1000))^2),(B34/(fpp*1000)))))</f>
        <v>0.748394849515882-0.875160525656418i</v>
      </c>
      <c r="F34" s="73" t="str">
        <f t="shared" ref="F34:F65" si="18">IMPRODUCT(D34,E34)</f>
        <v>0.000565523663397302-0.000819187376960213i</v>
      </c>
      <c r="G34" s="73" t="str">
        <f t="shared" ref="G34:G65" si="19">IMPRODUCT(C34,F34)</f>
        <v>0.22475085980592-0.325562092676957i</v>
      </c>
      <c r="H34" s="76">
        <f t="shared" ref="H34:H65" si="20">IMABS(G34)</f>
        <v>0.39560539072628914</v>
      </c>
      <c r="I34" s="54" t="str">
        <f t="shared" ref="I34:I65" si="21">IMDIV((COMPLEX(1,(2*PI()*B34*(rf*1000)*(Cz*0.000000001)))),(COMPLEX(0,2*PI()*B34*((Cz*0.000000001)+(Cp*0.000000000001))*(RII*1000))))</f>
        <v>2.22437137330755-0.0621905488509449i</v>
      </c>
      <c r="J34" s="78" t="str">
        <f t="shared" ref="J34:J65" si="22">IMDIV(1,(COMPLEX(1,2*PI()*B34*(((Cz*0.000000001)*(Cp*0.000000000001))/((Cz*0.000000001)+(Cp*0.000000000001)))*(rf*1000))))</f>
        <v>0.0864112519027597-0.280970367560989i</v>
      </c>
      <c r="K34" s="78" t="str">
        <f t="shared" ref="K34:K65" si="23">IMPRODUCT(I34,J34)</f>
        <v>0.174737013694697-0.630356405533094i</v>
      </c>
      <c r="L34" s="78" t="str">
        <f t="shared" ref="L34:L65" si="24">IMPRODUCT(G34,K34)</f>
        <v>-0.165947856449877-0.1985608919743i</v>
      </c>
      <c r="M34" s="73">
        <f t="shared" ref="M34:M65" si="25">20*LOG(IMABS(L34))</f>
        <v>-11.741513558330581</v>
      </c>
      <c r="N34" s="73">
        <f t="shared" ref="N34:N65" si="26">(180/PI())*IMARGUMENT(L34)+180</f>
        <v>50.112708636682157</v>
      </c>
      <c r="O34" s="73">
        <f t="shared" si="12"/>
        <v>50.112708636682157</v>
      </c>
    </row>
    <row r="35" spans="1:18" ht="15" x14ac:dyDescent="0.2">
      <c r="A35" s="74">
        <f t="shared" si="13"/>
        <v>34</v>
      </c>
      <c r="B35" s="73">
        <f t="shared" si="14"/>
        <v>34000</v>
      </c>
      <c r="C35" s="73">
        <f t="shared" si="15"/>
        <v>397.42078776290634</v>
      </c>
      <c r="D35" s="54" t="str">
        <f t="shared" si="16"/>
        <v>0.000859844763859234-0.0000864830395859272i</v>
      </c>
      <c r="E35" s="54" t="str">
        <f t="shared" si="17"/>
        <v>0.715451364638305-0.904960803485952i</v>
      </c>
      <c r="F35" s="73" t="str">
        <f t="shared" si="18"/>
        <v>0.000536913348688602-0.000840000217065061i</v>
      </c>
      <c r="G35" s="73" t="str">
        <f t="shared" si="19"/>
        <v>0.213380525996244-0.333833547987009i</v>
      </c>
      <c r="H35" s="76">
        <f t="shared" si="20"/>
        <v>0.39620207803093155</v>
      </c>
      <c r="I35" s="54" t="str">
        <f t="shared" si="21"/>
        <v>2.22437137330755-0.0603614150612112i</v>
      </c>
      <c r="J35" s="78" t="str">
        <f t="shared" si="22"/>
        <v>0.0818127270877542-0.274079194347581i</v>
      </c>
      <c r="K35" s="78" t="str">
        <f t="shared" si="23"/>
        <v>0.165438080096567-0.614592245902989i</v>
      </c>
      <c r="L35" s="78" t="str">
        <f t="shared" si="24"/>
        <v>-0.169870245464285-0.186370797954789i</v>
      </c>
      <c r="M35" s="73">
        <f t="shared" si="25"/>
        <v>-11.966113483216976</v>
      </c>
      <c r="N35" s="73">
        <f t="shared" si="26"/>
        <v>47.651959415929838</v>
      </c>
      <c r="O35" s="73">
        <f t="shared" si="12"/>
        <v>47.651959415929838</v>
      </c>
    </row>
    <row r="36" spans="1:18" ht="15" x14ac:dyDescent="0.2">
      <c r="A36" s="74">
        <f t="shared" si="13"/>
        <v>35</v>
      </c>
      <c r="B36" s="73">
        <f t="shared" ref="B36:B67" si="27">(fs*1000/2)*(A36/100)</f>
        <v>35000</v>
      </c>
      <c r="C36" s="73">
        <f t="shared" si="15"/>
        <v>397.42078776290634</v>
      </c>
      <c r="D36" s="54" t="str">
        <f t="shared" si="16"/>
        <v>0.000859844342212757-0.0000840120956332116i</v>
      </c>
      <c r="E36" s="54" t="str">
        <f t="shared" si="17"/>
        <v>0.679909345420611-0.933208905479269i</v>
      </c>
      <c r="F36" s="73" t="str">
        <f t="shared" si="18"/>
        <v>0.000506215368064602-0.0008595350064283i</v>
      </c>
      <c r="G36" s="73" t="str">
        <f t="shared" si="19"/>
        <v>0.201180510353924-0.34159707936453i</v>
      </c>
      <c r="H36" s="76">
        <f t="shared" si="20"/>
        <v>0.39643683276991598</v>
      </c>
      <c r="I36" s="54" t="str">
        <f t="shared" si="21"/>
        <v>2.22437137330754-0.0586368032023193i</v>
      </c>
      <c r="J36" s="78" t="str">
        <f t="shared" si="22"/>
        <v>0.0775619229645068-0.267480973286989i</v>
      </c>
      <c r="K36" s="78" t="str">
        <f t="shared" si="23"/>
        <v>0.15684229190994-0.59952500309688i</v>
      </c>
      <c r="L36" s="78" t="str">
        <f t="shared" si="24"/>
        <v>-0.173242377732384-0.174189614930243i</v>
      </c>
      <c r="M36" s="73">
        <f t="shared" si="25"/>
        <v>-12.192871530743707</v>
      </c>
      <c r="N36" s="73">
        <f t="shared" si="26"/>
        <v>45.156210597492446</v>
      </c>
      <c r="O36" s="73">
        <f t="shared" si="12"/>
        <v>45.156210597492446</v>
      </c>
    </row>
    <row r="37" spans="1:18" ht="15" x14ac:dyDescent="0.2">
      <c r="A37" s="74">
        <f t="shared" si="13"/>
        <v>36</v>
      </c>
      <c r="B37" s="73">
        <f t="shared" si="27"/>
        <v>36000</v>
      </c>
      <c r="C37" s="73">
        <f t="shared" si="15"/>
        <v>397.42078776290634</v>
      </c>
      <c r="D37" s="54" t="str">
        <f t="shared" si="16"/>
        <v>0.000859843955213105-0.0000816784263417033i</v>
      </c>
      <c r="E37" s="54" t="str">
        <f t="shared" si="17"/>
        <v>0.641843596575924-0.959566838734771i</v>
      </c>
      <c r="F37" s="73" t="str">
        <f t="shared" si="18"/>
        <v>0.000473509427350508-0.000877502520834862i</v>
      </c>
      <c r="G37" s="73" t="str">
        <f t="shared" si="19"/>
        <v>0.188182489630802-0.348737743094127i</v>
      </c>
      <c r="H37" s="76">
        <f t="shared" si="20"/>
        <v>0.39627094627543946</v>
      </c>
      <c r="I37" s="54" t="str">
        <f t="shared" si="21"/>
        <v>2.22437137330754-0.057008003113366i</v>
      </c>
      <c r="J37" s="78" t="str">
        <f t="shared" si="22"/>
        <v>0.0736256206066312-0.261160656678834i</v>
      </c>
      <c r="K37" s="78" t="str">
        <f t="shared" si="23"/>
        <v>0.148882475290357-0.585115538159363i</v>
      </c>
      <c r="L37" s="78" t="str">
        <f t="shared" si="24"/>
        <v>-0.176034797364466-0.162029437111522i</v>
      </c>
      <c r="M37" s="73">
        <f t="shared" si="25"/>
        <v>-12.422868062757997</v>
      </c>
      <c r="N37" s="73">
        <f t="shared" si="26"/>
        <v>42.627701051524781</v>
      </c>
      <c r="O37" s="73">
        <f t="shared" si="12"/>
        <v>42.627701051524781</v>
      </c>
    </row>
    <row r="38" spans="1:18" ht="15" x14ac:dyDescent="0.2">
      <c r="A38" s="74">
        <f t="shared" si="13"/>
        <v>37</v>
      </c>
      <c r="B38" s="73">
        <f t="shared" si="27"/>
        <v>37000</v>
      </c>
      <c r="C38" s="73">
        <f t="shared" si="15"/>
        <v>397.42078776290634</v>
      </c>
      <c r="D38" s="54" t="str">
        <f t="shared" si="16"/>
        <v>0.000859843599165789-0.0000794709013337607i</v>
      </c>
      <c r="E38" s="54" t="str">
        <f t="shared" si="17"/>
        <v>0.601383213294196-0.983694911223927i</v>
      </c>
      <c r="F38" s="73" t="str">
        <f t="shared" si="18"/>
        <v>0.00043892038536437-0.000893616238955336i</v>
      </c>
      <c r="G38" s="73" t="str">
        <f t="shared" si="19"/>
        <v>0.174436085316706-0.355141669643355i</v>
      </c>
      <c r="H38" s="76">
        <f t="shared" si="20"/>
        <v>0.39566848924028186</v>
      </c>
      <c r="I38" s="54" t="str">
        <f t="shared" si="21"/>
        <v>2.22437137330755-0.0554672462724644i</v>
      </c>
      <c r="J38" s="78" t="str">
        <f t="shared" si="22"/>
        <v>0.0699743560259959-0.255103793630638i</v>
      </c>
      <c r="K38" s="78" t="str">
        <f t="shared" si="23"/>
        <v>0.141499049463505-0.571326860612599i</v>
      </c>
      <c r="L38" s="78" t="str">
        <f t="shared" si="24"/>
        <v>-0.178219434925606-0.149912229680962i</v>
      </c>
      <c r="M38" s="73">
        <f t="shared" si="25"/>
        <v>-12.657136003677383</v>
      </c>
      <c r="N38" s="73">
        <f t="shared" si="26"/>
        <v>40.069424840428667</v>
      </c>
      <c r="O38" s="73">
        <f t="shared" si="12"/>
        <v>40.069424840428667</v>
      </c>
    </row>
    <row r="39" spans="1:18" ht="15" x14ac:dyDescent="0.2">
      <c r="A39" s="74">
        <f t="shared" si="13"/>
        <v>38</v>
      </c>
      <c r="B39" s="73">
        <f t="shared" si="27"/>
        <v>38000</v>
      </c>
      <c r="C39" s="73">
        <f t="shared" si="15"/>
        <v>397.42078776290634</v>
      </c>
      <c r="D39" s="54" t="str">
        <f t="shared" si="16"/>
        <v>0.000859843270855927-0.0000773795618504043i</v>
      </c>
      <c r="E39" s="54" t="str">
        <f t="shared" si="17"/>
        <v>0.558714077224444-1.00526207076368i</v>
      </c>
      <c r="F39" s="73" t="str">
        <f t="shared" si="18"/>
        <v>0.000402619801053393-0.000907600877488125i</v>
      </c>
      <c r="G39" s="73" t="str">
        <f t="shared" si="19"/>
        <v>0.160009478503584-0.360699455705636i</v>
      </c>
      <c r="H39" s="76">
        <f t="shared" si="20"/>
        <v>0.39459742847278034</v>
      </c>
      <c r="I39" s="54" t="str">
        <f t="shared" si="21"/>
        <v>2.22437137330755-0.0540075818968732i</v>
      </c>
      <c r="J39" s="78" t="str">
        <f t="shared" si="22"/>
        <v>0.0665819394214938-0.249296579929141i</v>
      </c>
      <c r="K39" s="78" t="str">
        <f t="shared" si="23"/>
        <v>0.134639054571335-0.558124105404018i</v>
      </c>
      <c r="L39" s="78" t="str">
        <f t="shared" si="24"/>
        <v>-0.179771536127249-0.137869380746578i</v>
      </c>
      <c r="M39" s="73">
        <f t="shared" si="25"/>
        <v>-12.896645151167426</v>
      </c>
      <c r="N39" s="73">
        <f t="shared" si="26"/>
        <v>37.485118273857012</v>
      </c>
      <c r="O39" s="73">
        <f t="shared" si="12"/>
        <v>37.485118273857012</v>
      </c>
    </row>
    <row r="40" spans="1:18" ht="15" x14ac:dyDescent="0.2">
      <c r="A40" s="74">
        <f t="shared" si="13"/>
        <v>39</v>
      </c>
      <c r="B40" s="73">
        <f t="shared" si="27"/>
        <v>39000</v>
      </c>
      <c r="C40" s="73">
        <f t="shared" si="15"/>
        <v>397.42078776290634</v>
      </c>
      <c r="D40" s="54" t="str">
        <f t="shared" si="16"/>
        <v>0.000859842967475453-0.0000753954705437997i</v>
      </c>
      <c r="E40" s="54" t="str">
        <f t="shared" si="17"/>
        <v>0.514079044457808-1.02395723870554i</v>
      </c>
      <c r="F40" s="73" t="str">
        <f t="shared" si="18"/>
        <v>0.000364825513274613-0.000919201662150146i</v>
      </c>
      <c r="G40" s="73" t="str">
        <f t="shared" si="19"/>
        <v>0.144989242881603-0.365309848684684i</v>
      </c>
      <c r="H40" s="76">
        <f t="shared" si="20"/>
        <v>0.39303074446842856</v>
      </c>
      <c r="I40" s="54" t="str">
        <f t="shared" si="21"/>
        <v>2.22437137330755-0.0526227721046456i</v>
      </c>
      <c r="J40" s="78" t="str">
        <f t="shared" si="22"/>
        <v>0.0634250418285239-0.243725882699343i</v>
      </c>
      <c r="K40" s="78" t="str">
        <f t="shared" si="23"/>
        <v>0.128255315812911-0.545474477932402i</v>
      </c>
      <c r="L40" s="78" t="str">
        <f t="shared" si="24"/>
        <v>-0.180671557859588-0.125940861579278i</v>
      </c>
      <c r="M40" s="73">
        <f t="shared" si="25"/>
        <v>-13.142286011295605</v>
      </c>
      <c r="N40" s="73">
        <f t="shared" si="26"/>
        <v>34.879225769648968</v>
      </c>
      <c r="O40" s="73">
        <f t="shared" si="12"/>
        <v>34.879225769648968</v>
      </c>
    </row>
    <row r="41" spans="1:18" ht="15" x14ac:dyDescent="0.2">
      <c r="A41" s="74">
        <f t="shared" si="13"/>
        <v>40</v>
      </c>
      <c r="B41" s="73">
        <f t="shared" si="27"/>
        <v>40000</v>
      </c>
      <c r="C41" s="73">
        <f t="shared" si="15"/>
        <v>397.42078776290634</v>
      </c>
      <c r="D41" s="54" t="str">
        <f t="shared" si="16"/>
        <v>0.000859842686562858-0.0000735105838008724i</v>
      </c>
      <c r="E41" s="54" t="str">
        <f t="shared" si="17"/>
        <v>0.467775467775468-1.03950103950104i</v>
      </c>
      <c r="F41" s="73" t="str">
        <f t="shared" si="18"/>
        <v>0.000325798986644921-0.000928193814213359i</v>
      </c>
      <c r="G41" s="73" t="str">
        <f t="shared" si="19"/>
        <v>0.129479289924781-0.36888351684133i</v>
      </c>
      <c r="H41" s="76">
        <f t="shared" si="20"/>
        <v>0.39094748434623966</v>
      </c>
      <c r="I41" s="54" t="str">
        <f t="shared" si="21"/>
        <v>2.22437137330754-0.0513072028020294i</v>
      </c>
      <c r="J41" s="78" t="str">
        <f t="shared" si="22"/>
        <v>0.0604828391392298-0.23837924680829i</v>
      </c>
      <c r="K41" s="78" t="str">
        <f t="shared" si="23"/>
        <v>0.12230572359788-0.533347177884732i</v>
      </c>
      <c r="L41" s="78" t="str">
        <f t="shared" si="24"/>
        <v>-0.180906924430328-0.114173979326511i</v>
      </c>
      <c r="M41" s="73">
        <f t="shared" si="25"/>
        <v>-13.394853909827862</v>
      </c>
      <c r="N41" s="73">
        <f t="shared" si="26"/>
        <v>32.256843132759855</v>
      </c>
      <c r="O41" s="73">
        <f t="shared" si="12"/>
        <v>32.256843132759855</v>
      </c>
    </row>
    <row r="42" spans="1:18" ht="15" x14ac:dyDescent="0.2">
      <c r="A42" s="74">
        <f t="shared" si="13"/>
        <v>41</v>
      </c>
      <c r="B42" s="73">
        <f t="shared" si="27"/>
        <v>41000</v>
      </c>
      <c r="C42" s="73">
        <f t="shared" si="15"/>
        <v>397.42078776290634</v>
      </c>
      <c r="D42" s="54" t="str">
        <f t="shared" si="16"/>
        <v>0.000859842425953126-0.0000717176427512647i</v>
      </c>
      <c r="E42" s="54" t="str">
        <f t="shared" si="17"/>
        <v>0.420149875001565-1.05165719627986i</v>
      </c>
      <c r="F42" s="73" t="str">
        <f t="shared" si="18"/>
        <v>0.000285840312685653-0.000934391633557688i</v>
      </c>
      <c r="G42" s="73" t="str">
        <f t="shared" si="19"/>
        <v>0.113598882241928-0.371346659087565i</v>
      </c>
      <c r="H42" s="76">
        <f t="shared" si="20"/>
        <v>0.38833368030871546</v>
      </c>
      <c r="I42" s="54" t="str">
        <f t="shared" si="21"/>
        <v>2.22437137330754-0.0500558076117359i</v>
      </c>
      <c r="J42" s="78" t="str">
        <f t="shared" si="22"/>
        <v>0.0577367049909816-0.233244888235018i</v>
      </c>
      <c r="K42" s="78" t="str">
        <f t="shared" si="23"/>
        <v>0.116752612519129-0.521713309757455i</v>
      </c>
      <c r="L42" s="78" t="str">
        <f t="shared" si="24"/>
        <v>-0.180473528298949-0.102621741437907i</v>
      </c>
      <c r="M42" s="73">
        <f t="shared" si="25"/>
        <v>-13.655034214711337</v>
      </c>
      <c r="N42" s="73">
        <f t="shared" si="26"/>
        <v>29.623638172257387</v>
      </c>
      <c r="O42" s="73">
        <f t="shared" si="12"/>
        <v>29.623638172257387</v>
      </c>
    </row>
    <row r="43" spans="1:18" ht="15" x14ac:dyDescent="0.2">
      <c r="A43" s="74">
        <f t="shared" si="13"/>
        <v>42</v>
      </c>
      <c r="B43" s="73">
        <f t="shared" si="27"/>
        <v>42000</v>
      </c>
      <c r="C43" s="73">
        <f t="shared" si="15"/>
        <v>397.42078776290634</v>
      </c>
      <c r="D43" s="54" t="str">
        <f t="shared" si="16"/>
        <v>0.000859842183735855-0.0000700100798455882i</v>
      </c>
      <c r="E43" s="54" t="str">
        <f t="shared" si="17"/>
        <v>0.371589855273829-1.06024279358022i</v>
      </c>
      <c r="F43" s="73" t="str">
        <f t="shared" si="18"/>
        <v>0.000245280949978479-0.000937656514359751i</v>
      </c>
      <c r="G43" s="73" t="str">
        <f t="shared" si="19"/>
        <v>0.0974797483636811-0.372644190587873i</v>
      </c>
      <c r="H43" s="76">
        <f t="shared" si="20"/>
        <v>0.38518306572321903</v>
      </c>
      <c r="I43" s="54" t="str">
        <f t="shared" si="21"/>
        <v>2.22437137330755-0.0488640026685995i</v>
      </c>
      <c r="J43" s="78" t="str">
        <f t="shared" si="22"/>
        <v>0.0551699453237044-0.228311678318661i</v>
      </c>
      <c r="K43" s="78" t="str">
        <f t="shared" si="23"/>
        <v>0.111562224586355-0.510545785799356i</v>
      </c>
      <c r="L43" s="78" t="str">
        <f t="shared" si="24"/>
        <v>-0.17937686352768-0.0913408896090238i</v>
      </c>
      <c r="M43" s="73">
        <f t="shared" si="25"/>
        <v>-13.923389525688759</v>
      </c>
      <c r="N43" s="73">
        <f t="shared" si="26"/>
        <v>26.98575009393366</v>
      </c>
      <c r="O43" s="73">
        <f t="shared" si="12"/>
        <v>26.98575009393366</v>
      </c>
    </row>
    <row r="44" spans="1:18" ht="15" x14ac:dyDescent="0.2">
      <c r="A44" s="74">
        <f t="shared" si="13"/>
        <v>43</v>
      </c>
      <c r="B44" s="73">
        <f t="shared" si="27"/>
        <v>43000</v>
      </c>
      <c r="C44" s="73">
        <f t="shared" si="15"/>
        <v>397.42078776290634</v>
      </c>
      <c r="D44" s="54" t="str">
        <f t="shared" si="16"/>
        <v>0.000859841958220177-0.0000683819384692646i</v>
      </c>
      <c r="E44" s="54" t="str">
        <f t="shared" si="17"/>
        <v>0.322513460849838-1.0651366218543i</v>
      </c>
      <c r="F44" s="73" t="str">
        <f t="shared" si="18"/>
        <v>0.00020447449879249-0.000937903254342569i</v>
      </c>
      <c r="G44" s="73" t="str">
        <f t="shared" si="19"/>
        <v>0.0812624163875368-0.372742250186217i</v>
      </c>
      <c r="H44" s="76">
        <f t="shared" si="20"/>
        <v>0.38149752999334846</v>
      </c>
      <c r="I44" s="54" t="str">
        <f t="shared" si="21"/>
        <v>2.22437137330755-0.0477276305135158i</v>
      </c>
      <c r="J44" s="78" t="str">
        <f t="shared" si="22"/>
        <v>0.0527675685126771-0.223569121807858i</v>
      </c>
      <c r="K44" s="78" t="str">
        <f t="shared" si="23"/>
        <v>0.106704244398767-0.499819225517978i</v>
      </c>
      <c r="L44" s="78" t="str">
        <f t="shared" si="24"/>
        <v>-0.177632698067253-0.0803896981841545i</v>
      </c>
      <c r="M44" s="73">
        <f t="shared" si="25"/>
        <v>-14.200349633768138</v>
      </c>
      <c r="N44" s="73">
        <f t="shared" si="26"/>
        <v>24.349670686014264</v>
      </c>
      <c r="O44" s="73">
        <f t="shared" si="12"/>
        <v>24.349670686014264</v>
      </c>
    </row>
    <row r="45" spans="1:18" ht="15" x14ac:dyDescent="0.2">
      <c r="A45" s="74">
        <f t="shared" si="13"/>
        <v>44</v>
      </c>
      <c r="B45" s="73">
        <f t="shared" si="27"/>
        <v>44000</v>
      </c>
      <c r="C45" s="73">
        <f t="shared" si="15"/>
        <v>397.42078776290634</v>
      </c>
      <c r="D45" s="54" t="str">
        <f t="shared" si="16"/>
        <v>0.000859841747905147-0.0000668278035181209i</v>
      </c>
      <c r="E45" s="54" t="str">
        <f t="shared" si="17"/>
        <v>0.27335668044953-1.0662849237393i</v>
      </c>
      <c r="F45" s="73" t="str">
        <f t="shared" si="18"/>
        <v>0.000163786006541288-0.000935104119124353i</v>
      </c>
      <c r="G45" s="73" t="str">
        <f t="shared" si="19"/>
        <v>0.0650919637441792-0.371629815662739i</v>
      </c>
      <c r="H45" s="76">
        <f t="shared" si="20"/>
        <v>0.37728726937652546</v>
      </c>
      <c r="I45" s="54" t="str">
        <f t="shared" si="21"/>
        <v>2.22437137330754-0.0466429116382086i</v>
      </c>
      <c r="J45" s="78" t="str">
        <f t="shared" si="22"/>
        <v>0.0505160859189518-0.219007330887304i</v>
      </c>
      <c r="K45" s="78" t="str">
        <f t="shared" si="23"/>
        <v>0.102151395826964-0.489509854702037i</v>
      </c>
      <c r="L45" s="78" t="str">
        <f t="shared" si="24"/>
        <v>-0.175267222114426-0.0698256621155495i</v>
      </c>
      <c r="M45" s="73">
        <f t="shared" si="25"/>
        <v>-14.486204923074411</v>
      </c>
      <c r="N45" s="73">
        <f t="shared" si="26"/>
        <v>21.722111781046181</v>
      </c>
      <c r="O45" s="73">
        <f t="shared" si="12"/>
        <v>21.722111781046181</v>
      </c>
      <c r="P45" s="73">
        <v>-13.846</v>
      </c>
      <c r="Q45" s="73">
        <v>23.129000000000001</v>
      </c>
      <c r="R45" s="73">
        <f>B45</f>
        <v>44000</v>
      </c>
    </row>
    <row r="46" spans="1:18" ht="15" x14ac:dyDescent="0.2">
      <c r="A46" s="74">
        <f t="shared" si="13"/>
        <v>45</v>
      </c>
      <c r="B46" s="73">
        <f t="shared" si="27"/>
        <v>45000</v>
      </c>
      <c r="C46" s="73">
        <f t="shared" si="15"/>
        <v>397.42078776290634</v>
      </c>
      <c r="D46" s="54" t="str">
        <f t="shared" si="16"/>
        <v>0.000859841551454746-0.0000653427412305662i</v>
      </c>
      <c r="E46" s="54" t="str">
        <f t="shared" si="17"/>
        <v>0.224559744711027-1.06370405389434i</v>
      </c>
      <c r="F46" s="73" t="str">
        <f t="shared" si="18"/>
        <v>0.000123580460547089-0.000929290293278667i</v>
      </c>
      <c r="G46" s="73" t="str">
        <f t="shared" si="19"/>
        <v>0.0491134439827269-0.36931928041523i</v>
      </c>
      <c r="H46" s="76">
        <f t="shared" si="20"/>
        <v>0.37257061245657547</v>
      </c>
      <c r="I46" s="54" t="str">
        <f t="shared" si="21"/>
        <v>2.22437137330754-0.0456064024906928i</v>
      </c>
      <c r="J46" s="78" t="str">
        <f t="shared" si="22"/>
        <v>0.0484033384890931-0.214616996792433i</v>
      </c>
      <c r="K46" s="78" t="str">
        <f t="shared" si="23"/>
        <v>0.0978790913705943-0.479595406027351i</v>
      </c>
      <c r="L46" s="78" t="str">
        <f t="shared" si="24"/>
        <v>-0.172316650973361-0.0597032177009819i</v>
      </c>
      <c r="M46" s="73">
        <f t="shared" si="25"/>
        <v>-14.781103688204144</v>
      </c>
      <c r="N46" s="73">
        <f t="shared" si="26"/>
        <v>19.109864647654376</v>
      </c>
      <c r="O46" s="73">
        <f t="shared" si="12"/>
        <v>19.109864647654376</v>
      </c>
    </row>
    <row r="47" spans="1:18" ht="15" x14ac:dyDescent="0.2">
      <c r="A47" s="74">
        <f t="shared" si="13"/>
        <v>46</v>
      </c>
      <c r="B47" s="73">
        <f t="shared" si="27"/>
        <v>46000</v>
      </c>
      <c r="C47" s="73">
        <f t="shared" si="15"/>
        <v>397.42078776290634</v>
      </c>
      <c r="D47" s="54" t="str">
        <f t="shared" si="16"/>
        <v>0.000859841367676533-0.0000639222468677462i</v>
      </c>
      <c r="E47" s="54" t="str">
        <f t="shared" si="17"/>
        <v>0.176553152797926-1.05747982144591i</v>
      </c>
      <c r="F47" s="73" t="str">
        <f t="shared" si="18"/>
        <v>0.000084211218165247-0.000920550570180815i</v>
      </c>
      <c r="G47" s="73" t="str">
        <f t="shared" si="19"/>
        <v>0.0334672886617064-0.365845932776852i</v>
      </c>
      <c r="H47" s="76">
        <f t="shared" si="20"/>
        <v>0.36737352373263221</v>
      </c>
      <c r="I47" s="54" t="str">
        <f t="shared" si="21"/>
        <v>2.22437137330755-0.0446149589582866i</v>
      </c>
      <c r="J47" s="78" t="str">
        <f t="shared" si="22"/>
        <v>0.0464183457014323-0.21038936019622i</v>
      </c>
      <c r="K47" s="78" t="str">
        <f t="shared" si="23"/>
        <v>0.093865126704145-0.470055022657344i</v>
      </c>
      <c r="L47" s="78" t="str">
        <f t="shared" si="24"/>
        <v>-0.168826306929845-0.0500716419644536i</v>
      </c>
      <c r="M47" s="73">
        <f t="shared" si="25"/>
        <v>-15.085053589873866</v>
      </c>
      <c r="N47" s="73">
        <f t="shared" si="26"/>
        <v>16.519657687573783</v>
      </c>
      <c r="O47" s="73">
        <f t="shared" si="12"/>
        <v>16.519657687573783</v>
      </c>
    </row>
    <row r="48" spans="1:18" ht="15" x14ac:dyDescent="0.2">
      <c r="A48" s="74">
        <f t="shared" si="13"/>
        <v>47</v>
      </c>
      <c r="B48" s="73">
        <f t="shared" si="27"/>
        <v>47000</v>
      </c>
      <c r="C48" s="73">
        <f t="shared" si="15"/>
        <v>397.42078776290634</v>
      </c>
      <c r="D48" s="54" t="str">
        <f t="shared" si="16"/>
        <v>0.000859841195503601-0.0000625621990728301i</v>
      </c>
      <c r="E48" s="54" t="str">
        <f t="shared" si="17"/>
        <v>0.129744340337863-1.04776357317518i</v>
      </c>
      <c r="F48" s="73" t="str">
        <f t="shared" si="18"/>
        <v>0.0000460091354596888-0.000909027374612862i</v>
      </c>
      <c r="G48" s="73" t="str">
        <f t="shared" si="19"/>
        <v>0.0182849868586798-0.36126637531669i</v>
      </c>
      <c r="H48" s="76">
        <f t="shared" si="20"/>
        <v>0.36172881372498045</v>
      </c>
      <c r="I48" s="54" t="str">
        <f t="shared" si="21"/>
        <v>2.22437137330754-0.0436657045123655i</v>
      </c>
      <c r="J48" s="78" t="str">
        <f t="shared" si="22"/>
        <v>0.0445511737166357-0.206316181229456i</v>
      </c>
      <c r="K48" s="78" t="str">
        <f t="shared" si="23"/>
        <v>0.0900894140568507-0.460869165764122i</v>
      </c>
      <c r="L48" s="78" t="str">
        <f t="shared" si="24"/>
        <v>-0.164849249258695-0.0409732627102906i</v>
      </c>
      <c r="M48" s="73">
        <f t="shared" si="25"/>
        <v>-15.397927196876815</v>
      </c>
      <c r="N48" s="73">
        <f t="shared" si="26"/>
        <v>13.958018987518557</v>
      </c>
      <c r="O48" s="73">
        <f t="shared" si="12"/>
        <v>13.958018987518557</v>
      </c>
    </row>
    <row r="49" spans="1:15" ht="15" x14ac:dyDescent="0.2">
      <c r="A49" s="74">
        <f t="shared" si="13"/>
        <v>48</v>
      </c>
      <c r="B49" s="73">
        <f t="shared" si="27"/>
        <v>48000</v>
      </c>
      <c r="C49" s="73">
        <f t="shared" si="15"/>
        <v>397.42078776290634</v>
      </c>
      <c r="D49" s="54" t="str">
        <f t="shared" si="16"/>
        <v>0.000859841033978978-0.0000612588199353827i</v>
      </c>
      <c r="E49" s="54" t="str">
        <f t="shared" si="17"/>
        <v>0.0845058374562984-1.03476535660774i</v>
      </c>
      <c r="F49" s="73" t="str">
        <f t="shared" si="18"/>
        <v>9.27308199987747E-06-0.000894910442031449i</v>
      </c>
      <c r="G49" s="73" t="str">
        <f t="shared" si="19"/>
        <v>0.00368531555338133-0.355656012849389i</v>
      </c>
      <c r="H49" s="76">
        <f t="shared" si="20"/>
        <v>0.35567510599794971</v>
      </c>
      <c r="I49" s="54" t="str">
        <f t="shared" si="21"/>
        <v>2.22437137330754-0.0427560023350245i</v>
      </c>
      <c r="J49" s="78" t="str">
        <f t="shared" si="22"/>
        <v>0.0427928200626257-0.20238970975253i</v>
      </c>
      <c r="K49" s="78" t="str">
        <f t="shared" si="23"/>
        <v>0.0865337490276411-0.452019526540069i</v>
      </c>
      <c r="L49" s="78" t="str">
        <f t="shared" si="24"/>
        <v>-0.160444558368126-0.0324420827476707i</v>
      </c>
      <c r="M49" s="73">
        <f t="shared" si="25"/>
        <v>-15.719471293674552</v>
      </c>
      <c r="N49" s="73">
        <f t="shared" si="26"/>
        <v>11.431149877641758</v>
      </c>
      <c r="O49" s="73">
        <f t="shared" si="12"/>
        <v>11.431149877641758</v>
      </c>
    </row>
    <row r="50" spans="1:15" ht="15" x14ac:dyDescent="0.2">
      <c r="A50" s="74">
        <f t="shared" si="13"/>
        <v>49</v>
      </c>
      <c r="B50" s="73">
        <f t="shared" si="27"/>
        <v>49000</v>
      </c>
      <c r="C50" s="73">
        <f t="shared" si="15"/>
        <v>397.42078776290634</v>
      </c>
      <c r="D50" s="54" t="str">
        <f t="shared" si="16"/>
        <v>0.000859840882242363-0.0000600086399458151i</v>
      </c>
      <c r="E50" s="54" t="str">
        <f t="shared" si="17"/>
        <v>0.0411656036515804-1.01874473683204i</v>
      </c>
      <c r="F50" s="73" t="str">
        <f t="shared" si="18"/>
        <v>-0.0000257376171474337-0.000878428665185105i</v>
      </c>
      <c r="G50" s="73" t="str">
        <f t="shared" si="19"/>
        <v>-0.0102286640818732-0.349105812111383i</v>
      </c>
      <c r="H50" s="76">
        <f t="shared" si="20"/>
        <v>0.34925562789860387</v>
      </c>
      <c r="I50" s="54" t="str">
        <f t="shared" si="21"/>
        <v>2.22437137330754-0.0418834308587995i</v>
      </c>
      <c r="J50" s="78" t="str">
        <f t="shared" si="22"/>
        <v>0.04113511258183-0.198602656313329i</v>
      </c>
      <c r="K50" s="78" t="str">
        <f t="shared" si="23"/>
        <v>0.0831816062407322-0.443488943009895i</v>
      </c>
      <c r="L50" s="78" t="str">
        <f t="shared" si="24"/>
        <v>-0.155675404319915-0.0245028827773269i</v>
      </c>
      <c r="M50" s="73">
        <f t="shared" si="25"/>
        <v>-16.049319399839643</v>
      </c>
      <c r="N50" s="73">
        <f t="shared" si="26"/>
        <v>8.9448147333190207</v>
      </c>
      <c r="O50" s="73">
        <f t="shared" si="12"/>
        <v>8.9448147333190207</v>
      </c>
    </row>
    <row r="51" spans="1:15" ht="15" x14ac:dyDescent="0.2">
      <c r="A51" s="74">
        <f t="shared" si="13"/>
        <v>50</v>
      </c>
      <c r="B51" s="73">
        <f t="shared" si="27"/>
        <v>50000</v>
      </c>
      <c r="C51" s="73">
        <f t="shared" si="15"/>
        <v>397.42078776290634</v>
      </c>
      <c r="D51" s="54" t="str">
        <f t="shared" si="16"/>
        <v>0.000859840739518579-0.0000588084671552992i</v>
      </c>
      <c r="E51" s="54" t="str">
        <f t="shared" si="17"/>
        <v>-i</v>
      </c>
      <c r="F51" s="73" t="str">
        <f t="shared" si="18"/>
        <v>-0.0000588084671552992-0.000859840739518579i</v>
      </c>
      <c r="G51" s="73" t="str">
        <f t="shared" si="19"/>
        <v>-0.023371707343988-0.341718584050114i</v>
      </c>
      <c r="H51" s="76">
        <f t="shared" si="20"/>
        <v>0.34251690088138403</v>
      </c>
      <c r="I51" s="54" t="str">
        <f t="shared" si="21"/>
        <v>2.22437137330755-0.0410457622416236i</v>
      </c>
      <c r="J51" s="78" t="str">
        <f t="shared" si="22"/>
        <v>0.0395706207043187-0.194948164088287i</v>
      </c>
      <c r="K51" s="78" t="str">
        <f t="shared" si="23"/>
        <v>0.0800179599260887-0.435261321766031i</v>
      </c>
      <c r="L51" s="78" t="str">
        <f t="shared" si="24"/>
        <v>-0.150607038907325-0.0171708237340487i</v>
      </c>
      <c r="M51" s="73">
        <f t="shared" si="25"/>
        <v>-16.387006773637786</v>
      </c>
      <c r="N51" s="73">
        <f t="shared" si="26"/>
        <v>6.5042509475514976</v>
      </c>
      <c r="O51" s="73">
        <f t="shared" si="12"/>
        <v>6.5042509475514976</v>
      </c>
    </row>
    <row r="52" spans="1:15" ht="15" x14ac:dyDescent="0.2">
      <c r="A52" s="74">
        <f t="shared" si="13"/>
        <v>51</v>
      </c>
      <c r="B52" s="73">
        <f t="shared" si="27"/>
        <v>51000</v>
      </c>
      <c r="C52" s="73">
        <f t="shared" si="15"/>
        <v>397.42078776290634</v>
      </c>
      <c r="D52" s="54" t="str">
        <f t="shared" si="16"/>
        <v>0.000859840605107731-0.0000576553599639318i</v>
      </c>
      <c r="E52" s="54" t="str">
        <f t="shared" si="17"/>
        <v>-0.0387703964914096-0.978856545080144i</v>
      </c>
      <c r="F52" s="73" t="str">
        <f t="shared" si="18"/>
        <v>-0.0000897726876390866-0.000839425282869717i</v>
      </c>
      <c r="G52" s="73" t="str">
        <f t="shared" si="19"/>
        <v>-0.0356775322411191-0.333605057186183i</v>
      </c>
      <c r="H52" s="76">
        <f t="shared" si="20"/>
        <v>0.33550740749946567</v>
      </c>
      <c r="I52" s="54" t="str">
        <f t="shared" si="21"/>
        <v>2.22437137330755-0.0402409433741408i</v>
      </c>
      <c r="J52" s="78" t="str">
        <f t="shared" si="22"/>
        <v>0.0380925773936554-0.191419782000617i</v>
      </c>
      <c r="K52" s="78" t="str">
        <f t="shared" si="23"/>
        <v>0.0770291260817722-0.427321564616817i</v>
      </c>
      <c r="L52" s="78" t="str">
        <f t="shared" si="24"/>
        <v>-0.14530484413017-0.0104515271125694i</v>
      </c>
      <c r="M52" s="73">
        <f t="shared" si="25"/>
        <v>-16.731987071525904</v>
      </c>
      <c r="N52" s="73">
        <f t="shared" si="26"/>
        <v>4.1141014647389227</v>
      </c>
      <c r="O52" s="73">
        <f t="shared" si="12"/>
        <v>4.1141014647389227</v>
      </c>
    </row>
    <row r="53" spans="1:15" ht="15" x14ac:dyDescent="0.2">
      <c r="A53" s="74">
        <f t="shared" si="13"/>
        <v>52</v>
      </c>
      <c r="B53" s="73">
        <f t="shared" si="27"/>
        <v>52000</v>
      </c>
      <c r="C53" s="73">
        <f t="shared" si="15"/>
        <v>397.42078776290634</v>
      </c>
      <c r="D53" s="54" t="str">
        <f t="shared" si="16"/>
        <v>0.000859840478376547-0.0000565466030487211i</v>
      </c>
      <c r="E53" s="54" t="str">
        <f t="shared" si="17"/>
        <v>-0.0749821807052913-0.955655244283123i</v>
      </c>
      <c r="F53" s="73" t="str">
        <f t="shared" si="18"/>
        <v>-0.000118511771877261-0.000817471074799387i</v>
      </c>
      <c r="G53" s="73" t="str">
        <f t="shared" si="19"/>
        <v>-0.0470990417386389-0.324879998520162i</v>
      </c>
      <c r="H53" s="76">
        <f t="shared" si="20"/>
        <v>0.32827630613731251</v>
      </c>
      <c r="I53" s="54" t="str">
        <f t="shared" si="21"/>
        <v>2.22437137330754-0.0394670790784842i</v>
      </c>
      <c r="J53" s="78" t="str">
        <f t="shared" si="22"/>
        <v>0.0366948103516768-0.188011439133185i</v>
      </c>
      <c r="K53" s="78" t="str">
        <f t="shared" si="23"/>
        <v>0.07420262335929-0.419655500044129i</v>
      </c>
      <c r="L53" s="78" t="str">
        <f t="shared" si="24"/>
        <v>-0.13983255068803-0.00434157625473046i</v>
      </c>
      <c r="M53" s="73">
        <f t="shared" si="25"/>
        <v>-17.083649811619757</v>
      </c>
      <c r="N53" s="73">
        <f t="shared" si="26"/>
        <v>1.7783706842459992</v>
      </c>
      <c r="O53" s="73">
        <f t="shared" si="12"/>
        <v>1.7783706842459992</v>
      </c>
    </row>
    <row r="54" spans="1:15" ht="15" x14ac:dyDescent="0.2">
      <c r="A54" s="74">
        <f t="shared" si="13"/>
        <v>53</v>
      </c>
      <c r="B54" s="73">
        <f t="shared" si="27"/>
        <v>53000</v>
      </c>
      <c r="C54" s="73">
        <f t="shared" si="15"/>
        <v>397.42078776290634</v>
      </c>
      <c r="D54" s="54" t="str">
        <f t="shared" si="16"/>
        <v>0.000859840358750933-0.0000554796860167084i</v>
      </c>
      <c r="E54" s="54" t="str">
        <f t="shared" si="17"/>
        <v>-0.108527966006091-0.93074145603929i</v>
      </c>
      <c r="F54" s="73" t="str">
        <f t="shared" si="18"/>
        <v>-0.00014495396896898-0.000794267969987139i</v>
      </c>
      <c r="G54" s="73" t="str">
        <f t="shared" si="19"/>
        <v>-0.0576077205370119-0.315658602327133i</v>
      </c>
      <c r="H54" s="76">
        <f t="shared" si="20"/>
        <v>0.32087225291163701</v>
      </c>
      <c r="I54" s="54" t="str">
        <f t="shared" si="21"/>
        <v>2.22437137330754-0.0387224172090788i</v>
      </c>
      <c r="J54" s="78" t="str">
        <f t="shared" si="22"/>
        <v>0.0353716812709934-0.184717420496976i</v>
      </c>
      <c r="K54" s="78" t="str">
        <f t="shared" si="23"/>
        <v>0.0715270502226874-0.412249819304247i</v>
      </c>
      <c r="L54" s="78" t="str">
        <f t="shared" si="24"/>
        <v>-0.134250712091257+0.00117064368003656i</v>
      </c>
      <c r="M54" s="73">
        <f t="shared" si="25"/>
        <v>-17.441337835527357</v>
      </c>
      <c r="N54" s="73">
        <f t="shared" si="26"/>
        <v>359.50040307989269</v>
      </c>
      <c r="O54" s="73">
        <f t="shared" si="12"/>
        <v>-0.49959692010730805</v>
      </c>
    </row>
    <row r="55" spans="1:15" ht="15" x14ac:dyDescent="0.2">
      <c r="A55" s="74">
        <f t="shared" si="13"/>
        <v>54</v>
      </c>
      <c r="B55" s="73">
        <f t="shared" si="27"/>
        <v>54000</v>
      </c>
      <c r="C55" s="73">
        <f t="shared" si="15"/>
        <v>397.42078776290634</v>
      </c>
      <c r="D55" s="54" t="str">
        <f t="shared" si="16"/>
        <v>0.00085984024570945-0.000054452284429967i</v>
      </c>
      <c r="E55" s="54" t="str">
        <f t="shared" si="17"/>
        <v>-0.139353101464065-0.9044552258485i</v>
      </c>
      <c r="F55" s="73" t="str">
        <f t="shared" si="18"/>
        <v>-0.000169071058215308-0.000770098908909651i</v>
      </c>
      <c r="G55" s="73" t="str">
        <f t="shared" si="19"/>
        <v>-0.0671923531438359-0.306053315034228i</v>
      </c>
      <c r="H55" s="76">
        <f t="shared" si="20"/>
        <v>0.3133423749901158</v>
      </c>
      <c r="I55" s="54" t="str">
        <f t="shared" si="21"/>
        <v>2.22437137330754-0.0380053354089106i</v>
      </c>
      <c r="J55" s="78" t="str">
        <f t="shared" si="22"/>
        <v>0.0341180320956814-0.181532344174804i</v>
      </c>
      <c r="K55" s="78" t="str">
        <f t="shared" si="23"/>
        <v>0.0689919762792923-0.405092016965134i</v>
      </c>
      <c r="L55" s="78" t="str">
        <f t="shared" si="24"/>
        <v>-0.12861548792033+0.00610386280862982i</v>
      </c>
      <c r="M55" s="73">
        <f t="shared" si="25"/>
        <v>-17.804364064939374</v>
      </c>
      <c r="N55" s="73">
        <f t="shared" si="26"/>
        <v>357.28288266665123</v>
      </c>
      <c r="O55" s="73">
        <f t="shared" si="12"/>
        <v>-2.7171173333487673</v>
      </c>
    </row>
    <row r="56" spans="1:15" ht="15" x14ac:dyDescent="0.2">
      <c r="A56" s="74">
        <f t="shared" si="13"/>
        <v>55</v>
      </c>
      <c r="B56" s="73">
        <f t="shared" si="27"/>
        <v>55000.000000000007</v>
      </c>
      <c r="C56" s="73">
        <f t="shared" si="15"/>
        <v>397.42078776290634</v>
      </c>
      <c r="D56" s="54" t="str">
        <f t="shared" si="16"/>
        <v>0.000859840138777643-0.0000534622429005984i</v>
      </c>
      <c r="E56" s="54" t="str">
        <f t="shared" si="17"/>
        <v>-0.167450761502273-0.877123036440475i</v>
      </c>
      <c r="F56" s="73" t="str">
        <f t="shared" si="18"/>
        <v>-0.000190873850836428-0.000745233300092721i</v>
      </c>
      <c r="G56" s="73" t="str">
        <f t="shared" si="19"/>
        <v>-0.0758572361627527-0.29617120519i</v>
      </c>
      <c r="H56" s="76">
        <f t="shared" si="20"/>
        <v>0.30573142308560425</v>
      </c>
      <c r="I56" s="54" t="str">
        <f t="shared" si="21"/>
        <v>2.22437137330755-0.0373143293105669i</v>
      </c>
      <c r="J56" s="78" t="str">
        <f t="shared" si="22"/>
        <v>0.0329291373963515-0.178451139830161i</v>
      </c>
      <c r="K56" s="78" t="str">
        <f t="shared" si="23"/>
        <v>0.0665878459746867-0.398170335649033i</v>
      </c>
      <c r="L56" s="78" t="str">
        <f t="shared" si="24"/>
        <v>-0.122977758137752+0.0104826985910022i</v>
      </c>
      <c r="M56" s="73">
        <f t="shared" si="25"/>
        <v>-18.172026988318507</v>
      </c>
      <c r="N56" s="73">
        <f t="shared" si="26"/>
        <v>355.12785055528309</v>
      </c>
      <c r="O56" s="73">
        <f>IF(N56&gt;180,-(360-N56),N56)</f>
        <v>-4.8721494447169107</v>
      </c>
    </row>
    <row r="57" spans="1:15" ht="15" x14ac:dyDescent="0.2">
      <c r="A57" s="74">
        <f t="shared" si="13"/>
        <v>56</v>
      </c>
      <c r="B57" s="73">
        <f t="shared" si="27"/>
        <v>56000.000000000007</v>
      </c>
      <c r="C57" s="73">
        <f t="shared" si="15"/>
        <v>397.42078776290634</v>
      </c>
      <c r="D57" s="54" t="str">
        <f t="shared" si="16"/>
        <v>0.000859840037523022-0.0000525075599969805i</v>
      </c>
      <c r="E57" s="54" t="str">
        <f t="shared" si="17"/>
        <v>-0.192855936857753-0.84905129434231i</v>
      </c>
      <c r="F57" s="73" t="str">
        <f t="shared" si="18"/>
        <v>-0.000210406867762501-0.00071992190211093i</v>
      </c>
      <c r="G57" s="73" t="str">
        <f t="shared" si="19"/>
        <v>-0.0836200631368988-0.286111929464696i</v>
      </c>
      <c r="H57" s="76">
        <f t="shared" si="20"/>
        <v>0.29808111503587426</v>
      </c>
      <c r="I57" s="54" t="str">
        <f t="shared" si="21"/>
        <v>2.22437137330754-0.0366480020014496i</v>
      </c>
      <c r="J57" s="78" t="str">
        <f t="shared" si="22"/>
        <v>0.0318006620896593-0.175469028550108i</v>
      </c>
      <c r="K57" s="78" t="str">
        <f t="shared" si="23"/>
        <v>0.0643058930949677-0.391473714736853i</v>
      </c>
      <c r="L57" s="78" t="str">
        <f t="shared" si="24"/>
        <v>-0.117382562698749+0.0143363735933803i</v>
      </c>
      <c r="M57" s="73">
        <f t="shared" si="25"/>
        <v>-18.543624469417196</v>
      </c>
      <c r="N57" s="73">
        <f t="shared" si="26"/>
        <v>353.03673729429732</v>
      </c>
      <c r="O57" s="73">
        <f t="shared" ref="O57:O101" si="28">IF(N57&gt;180,-(360-N57),N57)</f>
        <v>-6.9632627057026752</v>
      </c>
    </row>
    <row r="58" spans="1:15" ht="15" x14ac:dyDescent="0.2">
      <c r="A58" s="74">
        <f t="shared" si="13"/>
        <v>57</v>
      </c>
      <c r="B58" s="73">
        <f t="shared" si="27"/>
        <v>56999.999999999993</v>
      </c>
      <c r="C58" s="73">
        <f t="shared" si="15"/>
        <v>397.42078776290634</v>
      </c>
      <c r="D58" s="54" t="str">
        <f t="shared" si="16"/>
        <v>0.000859839941550704-0.0000515863747388306i</v>
      </c>
      <c r="E58" s="54" t="str">
        <f t="shared" si="17"/>
        <v>-0.215638830467112-0.820521584554433i</v>
      </c>
      <c r="F58" s="73" t="str">
        <f t="shared" si="18"/>
        <v>-0.000227742613327028-0.000694393205787655i</v>
      </c>
      <c r="G58" s="73" t="str">
        <f t="shared" si="19"/>
        <v>-0.0905096487956104-0.27596629486134i</v>
      </c>
      <c r="H58" s="76">
        <f t="shared" si="20"/>
        <v>0.29042966863700548</v>
      </c>
      <c r="I58" s="54" t="str">
        <f t="shared" si="21"/>
        <v>2.22437137330754-0.0360050545979154i</v>
      </c>
      <c r="J58" s="78" t="str">
        <f t="shared" si="22"/>
        <v>0.0307286238378168-0.172581503976674i</v>
      </c>
      <c r="K58" s="78" t="str">
        <f t="shared" si="23"/>
        <v>0.0621380647327049-0.384991742787074i</v>
      </c>
      <c r="L58" s="78" t="str">
        <f t="shared" si="24"/>
        <v>-0.111868839224955+0.0176974559347294i</v>
      </c>
      <c r="M58" s="73">
        <f t="shared" si="25"/>
        <v>-18.918465625681876</v>
      </c>
      <c r="N58" s="73">
        <f t="shared" si="26"/>
        <v>351.01040648702627</v>
      </c>
      <c r="O58" s="73">
        <f t="shared" si="28"/>
        <v>-8.9895935129737268</v>
      </c>
    </row>
    <row r="59" spans="1:15" ht="15" x14ac:dyDescent="0.2">
      <c r="A59" s="74">
        <f t="shared" si="13"/>
        <v>58</v>
      </c>
      <c r="B59" s="73">
        <f t="shared" si="27"/>
        <v>57999.999999999993</v>
      </c>
      <c r="C59" s="73">
        <f t="shared" si="15"/>
        <v>397.42078776290634</v>
      </c>
      <c r="D59" s="54" t="str">
        <f t="shared" si="16"/>
        <v>0.000859839850499546-0.0000506969544893328i</v>
      </c>
      <c r="E59" s="54" t="str">
        <f t="shared" si="17"/>
        <v>-0.235898099010801-0.791787600846437i</v>
      </c>
      <c r="F59" s="73" t="str">
        <f t="shared" si="18"/>
        <v>-0.000242975806151904-0.000668851217149524i</v>
      </c>
      <c r="G59" s="73" t="str">
        <f t="shared" si="19"/>
        <v>-0.0965636362882169-0.265815377615743i</v>
      </c>
      <c r="H59" s="76">
        <f t="shared" si="20"/>
        <v>0.28281151113454184</v>
      </c>
      <c r="I59" s="54" t="str">
        <f t="shared" si="21"/>
        <v>2.22437137330754-0.035384277794503i</v>
      </c>
      <c r="J59" s="78" t="str">
        <f t="shared" si="22"/>
        <v>0.0297093595536559-0.169784314671784i</v>
      </c>
      <c r="K59" s="78" t="str">
        <f t="shared" si="23"/>
        <v>0.0600769535549573-0.378714613424099i</v>
      </c>
      <c r="L59" s="78" t="str">
        <f t="shared" si="24"/>
        <v>-0.106469417068312+0.0206006820925029i</v>
      </c>
      <c r="M59" s="73">
        <f t="shared" si="25"/>
        <v>-19.295880667290529</v>
      </c>
      <c r="N59" s="73">
        <f t="shared" si="26"/>
        <v>349.04920623879798</v>
      </c>
      <c r="O59" s="73">
        <f t="shared" si="28"/>
        <v>-10.950793761202021</v>
      </c>
    </row>
    <row r="60" spans="1:15" ht="15" x14ac:dyDescent="0.2">
      <c r="A60" s="74">
        <f t="shared" si="13"/>
        <v>59</v>
      </c>
      <c r="B60" s="73">
        <f t="shared" si="27"/>
        <v>59000</v>
      </c>
      <c r="C60" s="73">
        <f t="shared" si="15"/>
        <v>397.42078776290634</v>
      </c>
      <c r="D60" s="54" t="str">
        <f t="shared" si="16"/>
        <v>0.000859839764038765-0.000049837684078572i</v>
      </c>
      <c r="E60" s="54" t="str">
        <f t="shared" si="17"/>
        <v>-0.253754296104207-0.763073571363313i</v>
      </c>
      <c r="F60" s="73" t="str">
        <f t="shared" si="18"/>
        <v>-0.000256217853664377-0.000643474473102427i</v>
      </c>
      <c r="G60" s="73" t="str">
        <f t="shared" si="19"/>
        <v>-0.101826301242218-0.255730132005688i</v>
      </c>
      <c r="H60" s="76">
        <f t="shared" si="20"/>
        <v>0.27525714530292861</v>
      </c>
      <c r="I60" s="54" t="str">
        <f t="shared" si="21"/>
        <v>2.22437137330754-0.0347845442725624i</v>
      </c>
      <c r="J60" s="78" t="str">
        <f t="shared" si="22"/>
        <v>0.0287394955136899-0.167073447654941i</v>
      </c>
      <c r="K60" s="78" t="str">
        <f t="shared" si="23"/>
        <v>0.0581157373672294-0.372633084457514i</v>
      </c>
      <c r="L60" s="78" t="str">
        <f t="shared" si="24"/>
        <v>-0.101211218458076+0.0230819035222582i</v>
      </c>
      <c r="M60" s="73">
        <f t="shared" si="25"/>
        <v>-19.675228707663145</v>
      </c>
      <c r="N60" s="73">
        <f t="shared" si="26"/>
        <v>347.15302526698451</v>
      </c>
      <c r="O60" s="73">
        <f t="shared" si="28"/>
        <v>-12.846974733015486</v>
      </c>
    </row>
    <row r="61" spans="1:15" ht="15" x14ac:dyDescent="0.2">
      <c r="A61" s="74">
        <f t="shared" si="13"/>
        <v>60</v>
      </c>
      <c r="B61" s="73">
        <f t="shared" si="27"/>
        <v>60000</v>
      </c>
      <c r="C61" s="73">
        <f t="shared" si="15"/>
        <v>397.42078776290634</v>
      </c>
      <c r="D61" s="54" t="str">
        <f t="shared" si="16"/>
        <v>0.000859839681864894-0.0000490070560146265i</v>
      </c>
      <c r="E61" s="54" t="str">
        <f t="shared" si="17"/>
        <v>-0.269343780607248-0.734573947110676i</v>
      </c>
      <c r="F61" s="73" t="str">
        <f t="shared" si="18"/>
        <v>-0.000267591777202562-0.000618416083246472i</v>
      </c>
      <c r="G61" s="73" t="str">
        <f t="shared" si="19"/>
        <v>-0.106346534894718-0.245771406969064i</v>
      </c>
      <c r="H61" s="76">
        <f t="shared" si="20"/>
        <v>0.26779314772351209</v>
      </c>
      <c r="I61" s="54" t="str">
        <f t="shared" si="21"/>
        <v>2.22437137330754-0.0342048018680196i</v>
      </c>
      <c r="J61" s="78" t="str">
        <f t="shared" si="22"/>
        <v>0.0278159206474518-0.164445113049876i</v>
      </c>
      <c r="K61" s="78" t="str">
        <f t="shared" si="23"/>
        <v>0.0562481251003508-0.366738440002989i</v>
      </c>
      <c r="L61" s="78" t="str">
        <f t="shared" si="24"/>
        <v>-0.0961156155879212+0.0251771814617272i</v>
      </c>
      <c r="M61" s="73">
        <f t="shared" si="25"/>
        <v>-20.055903649409515</v>
      </c>
      <c r="N61" s="73">
        <f t="shared" si="26"/>
        <v>345.32135092279191</v>
      </c>
      <c r="O61" s="73">
        <f t="shared" si="28"/>
        <v>-14.678649077208092</v>
      </c>
    </row>
    <row r="62" spans="1:15" ht="15" x14ac:dyDescent="0.2">
      <c r="A62" s="74">
        <f t="shared" si="13"/>
        <v>61</v>
      </c>
      <c r="B62" s="73">
        <f t="shared" si="27"/>
        <v>61000</v>
      </c>
      <c r="C62" s="73">
        <f t="shared" si="15"/>
        <v>397.42078776290634</v>
      </c>
      <c r="D62" s="54" t="str">
        <f t="shared" si="16"/>
        <v>0.000859839603699143-0.0000482036616575021i</v>
      </c>
      <c r="E62" s="54" t="str">
        <f t="shared" si="17"/>
        <v>-0.282813264215408-0.706454099800979i</v>
      </c>
      <c r="F62" s="73" t="str">
        <f t="shared" si="18"/>
        <v>-0.000277227719427199-0.000593804578304015i</v>
      </c>
      <c r="G62" s="73" t="str">
        <f t="shared" si="19"/>
        <v>-0.110176058644471-0.235990283286802i</v>
      </c>
      <c r="H62" s="76">
        <f t="shared" si="20"/>
        <v>0.260442273266486</v>
      </c>
      <c r="I62" s="54" t="str">
        <f t="shared" si="21"/>
        <v>2.22437137330754-0.0336440674111668i</v>
      </c>
      <c r="J62" s="78" t="str">
        <f t="shared" si="22"/>
        <v>0.0269357626278319-0.161895729775337i</v>
      </c>
      <c r="K62" s="78" t="str">
        <f t="shared" si="23"/>
        <v>0.0544683084614149-0.361022455386615i</v>
      </c>
      <c r="L62" s="78" t="str">
        <f t="shared" si="24"/>
        <v>-0.0911988950668941+0.0269220396726844i</v>
      </c>
      <c r="M62" s="73">
        <f t="shared" si="25"/>
        <v>-20.437338315218941</v>
      </c>
      <c r="N62" s="73">
        <f t="shared" si="26"/>
        <v>343.55332686130953</v>
      </c>
      <c r="O62" s="73">
        <f t="shared" si="28"/>
        <v>-16.446673138690471</v>
      </c>
    </row>
    <row r="63" spans="1:15" ht="15" x14ac:dyDescent="0.2">
      <c r="A63" s="74">
        <f t="shared" si="13"/>
        <v>62</v>
      </c>
      <c r="B63" s="73">
        <f t="shared" si="27"/>
        <v>62000</v>
      </c>
      <c r="C63" s="73">
        <f t="shared" si="15"/>
        <v>397.42078776290634</v>
      </c>
      <c r="D63" s="54" t="str">
        <f t="shared" si="16"/>
        <v>0.000859839529285015-0.0000474261832472035i</v>
      </c>
      <c r="E63" s="54" t="str">
        <f t="shared" si="17"/>
        <v>-0.294315093739357-0.678851778714291i</v>
      </c>
      <c r="F63" s="73" t="str">
        <f t="shared" si="18"/>
        <v>-0.000285259100517318-0.000569745352295891i</v>
      </c>
      <c r="G63" s="73" t="str">
        <f t="shared" si="19"/>
        <v>-0.113367896444131-0.226428646733688i</v>
      </c>
      <c r="H63" s="76">
        <f t="shared" si="20"/>
        <v>0.25322364029809002</v>
      </c>
      <c r="I63" s="54" t="str">
        <f t="shared" si="21"/>
        <v>2.22437137330754-0.0331014211625996i</v>
      </c>
      <c r="J63" s="78" t="str">
        <f t="shared" si="22"/>
        <v>0.0260963664356319-0.159421912215633i</v>
      </c>
      <c r="K63" s="78" t="str">
        <f t="shared" si="23"/>
        <v>0.0527709185879667-0.355477364626601i</v>
      </c>
      <c r="L63" s="78" t="str">
        <f t="shared" si="24"/>
        <v>-0.0864727866506013+0.0283508733784542i</v>
      </c>
      <c r="M63" s="73">
        <f t="shared" si="25"/>
        <v>-20.819007033328674</v>
      </c>
      <c r="N63" s="73">
        <f t="shared" si="26"/>
        <v>341.84780860048045</v>
      </c>
      <c r="O63" s="73">
        <f t="shared" si="28"/>
        <v>-18.152191399519552</v>
      </c>
    </row>
    <row r="64" spans="1:15" ht="15" x14ac:dyDescent="0.2">
      <c r="A64" s="74">
        <f t="shared" si="13"/>
        <v>63</v>
      </c>
      <c r="B64" s="73">
        <f t="shared" si="27"/>
        <v>63000</v>
      </c>
      <c r="C64" s="73">
        <f t="shared" si="15"/>
        <v>397.42078776290634</v>
      </c>
      <c r="D64" s="54" t="str">
        <f t="shared" si="16"/>
        <v>0.000859839458386226-0.0000466733866910362i</v>
      </c>
      <c r="E64" s="54" t="str">
        <f t="shared" si="17"/>
        <v>-0.304003299211843-0.65187909633581i</v>
      </c>
      <c r="F64" s="73" t="str">
        <f t="shared" si="18"/>
        <v>-0.000291819437281021-0.00054632250558722i</v>
      </c>
      <c r="G64" s="73" t="str">
        <f t="shared" si="19"/>
        <v>-0.115975110648751-0.217119920543078i</v>
      </c>
      <c r="H64" s="76">
        <f t="shared" si="20"/>
        <v>0.246152973141952</v>
      </c>
      <c r="I64" s="54" t="str">
        <f t="shared" si="21"/>
        <v>2.22437137330755-0.0325760017790664i</v>
      </c>
      <c r="J64" s="78" t="str">
        <f t="shared" si="22"/>
        <v>0.0252952751132842-0.157020457807979i</v>
      </c>
      <c r="K64" s="78" t="str">
        <f t="shared" si="23"/>
        <v>0.0511509871290257-0.350095830298807i</v>
      </c>
      <c r="L64" s="78" t="str">
        <f t="shared" si="24"/>
        <v>-0.0819450202490215+0.0294965043954164i</v>
      </c>
      <c r="M64" s="73">
        <f t="shared" si="25"/>
        <v>-21.200426905763358</v>
      </c>
      <c r="N64" s="73">
        <f t="shared" si="26"/>
        <v>340.20341568943621</v>
      </c>
      <c r="O64" s="73">
        <f t="shared" si="28"/>
        <v>-19.796584310563787</v>
      </c>
    </row>
    <row r="65" spans="1:15" ht="15" x14ac:dyDescent="0.2">
      <c r="A65" s="74">
        <f t="shared" si="13"/>
        <v>64</v>
      </c>
      <c r="B65" s="73">
        <f t="shared" si="27"/>
        <v>64000</v>
      </c>
      <c r="C65" s="73">
        <f t="shared" si="15"/>
        <v>397.42078776290634</v>
      </c>
      <c r="D65" s="54" t="str">
        <f t="shared" si="16"/>
        <v>0.000859839390784777-0.0000459441150270973i</v>
      </c>
      <c r="E65" s="54" t="str">
        <f t="shared" si="17"/>
        <v>-0.312030390352364-0.625624842811758i</v>
      </c>
      <c r="F65" s="73" t="str">
        <f t="shared" si="18"/>
        <v>-0.000297039800488866-0.000523600923556785i</v>
      </c>
      <c r="G65" s="73" t="str">
        <f t="shared" si="19"/>
        <v>-0.118049791507222-0.208089891513323i</v>
      </c>
      <c r="H65" s="76">
        <f t="shared" si="20"/>
        <v>0.23924288124189844</v>
      </c>
      <c r="I65" s="54" t="str">
        <f t="shared" si="21"/>
        <v>2.22437137330754-0.0320670017512684i</v>
      </c>
      <c r="J65" s="78" t="str">
        <f t="shared" si="22"/>
        <v>0.0245302124586575-0.154688335485875i</v>
      </c>
      <c r="K65" s="78" t="str">
        <f t="shared" si="23"/>
        <v>0.0496039112492634-0.344870915605244i</v>
      </c>
      <c r="L65" s="78" t="str">
        <f t="shared" si="24"/>
        <v>-0.0776198827953139+0.0303898671736081i</v>
      </c>
      <c r="M65" s="73">
        <f t="shared" si="25"/>
        <v>-21.581157989123486</v>
      </c>
      <c r="N65" s="73">
        <f t="shared" si="26"/>
        <v>338.61857963530849</v>
      </c>
      <c r="O65" s="73">
        <f t="shared" si="28"/>
        <v>-21.381420364691508</v>
      </c>
    </row>
    <row r="66" spans="1:15" ht="15" x14ac:dyDescent="0.2">
      <c r="A66" s="74">
        <f t="shared" si="13"/>
        <v>65</v>
      </c>
      <c r="B66" s="73">
        <f t="shared" si="27"/>
        <v>65000</v>
      </c>
      <c r="C66" s="73">
        <f t="shared" ref="C66:C101" si="29">_ta1*_ta2*(rload/RS)</f>
        <v>397.42078776290634</v>
      </c>
      <c r="D66" s="54" t="str">
        <f t="shared" ref="D66:D101" si="30">IMDIV((COMPLEX(1,2*PI()*(B66)*(esrcout*0.001)*(cout*0.000001))),(COMPLEX(1,2*PI()*(B66)*rload*(cout*0.000001))))</f>
        <v>0.000859839326279335-0.0000452372824911394i</v>
      </c>
      <c r="E66" s="54" t="str">
        <f t="shared" ref="E66:E101" si="31">IMDIV(1,(COMPLEX((1-(B66/(fpp*1000))^2),(B66/(fpp*1000)))))</f>
        <v>-0.318544850191589-0.60015696412908i</v>
      </c>
      <c r="F66" s="73" t="str">
        <f t="shared" ref="F66:F97" si="32">IMPRODUCT(D66,E66)</f>
        <v>-0.000301046859503819-0.000501628456324385i</v>
      </c>
      <c r="G66" s="73" t="str">
        <f t="shared" ref="G66:G97" si="33">IMPRODUCT(C66,F66)</f>
        <v>-0.119642280057557-0.199357576276728i</v>
      </c>
      <c r="H66" s="76">
        <f t="shared" ref="H66:H97" si="34">IMABS(G66)</f>
        <v>0.23250315782006561</v>
      </c>
      <c r="I66" s="54" t="str">
        <f t="shared" ref="I66:I101" si="35">IMDIV((COMPLEX(1,(2*PI()*B66*(rf*1000)*(Cz*0.000000001)))),(COMPLEX(0,2*PI()*B66*((Cz*0.000000001)+(Cp*0.000000000001))*(RII*1000))))</f>
        <v>2.22437137330754-0.0315736632627873i</v>
      </c>
      <c r="J66" s="78" t="str">
        <f t="shared" ref="J66:J101" si="36">IMDIV(1,(COMPLEX(1,2*PI()*B66*(((Cz*0.000000001)*(Cp*0.000000000001))/((Cz*0.000000001)+(Cp*0.000000000001)))*(rf*1000))))</f>
        <v>0.0237990674409383-0.152422674920367i</v>
      </c>
      <c r="K66" s="78" t="str">
        <f t="shared" ref="K66:K97" si="37">IMPRODUCT(I66,J66)</f>
        <v>0.0481254221154897-0.339796058477174i</v>
      </c>
      <c r="L66" s="78" t="str">
        <f t="shared" ref="L66:L97" si="38">IMPRODUCT(G66,K66)</f>
        <v>-0.0734987538770243+0.0310598076805416i</v>
      </c>
      <c r="M66" s="73">
        <f t="shared" ref="M66:M97" si="39">20*LOG(IMABS(L66))</f>
        <v>-21.960802606938024</v>
      </c>
      <c r="N66" s="73">
        <f t="shared" ref="N66:N101" si="40">(180/PI())*IMARGUMENT(L66)+180</f>
        <v>337.09158710080317</v>
      </c>
      <c r="O66" s="73">
        <f t="shared" si="28"/>
        <v>-22.908412899196833</v>
      </c>
    </row>
    <row r="67" spans="1:15" ht="15" x14ac:dyDescent="0.2">
      <c r="A67" s="74">
        <f t="shared" si="13"/>
        <v>66</v>
      </c>
      <c r="B67" s="73">
        <f t="shared" si="27"/>
        <v>66000</v>
      </c>
      <c r="C67" s="73">
        <f t="shared" si="29"/>
        <v>397.42078776290634</v>
      </c>
      <c r="D67" s="54" t="str">
        <f t="shared" si="30"/>
        <v>0.000859839264683689-0.000044551869122808i</v>
      </c>
      <c r="E67" s="54" t="str">
        <f t="shared" si="31"/>
        <v>-0.323689253851623-0.57552507419739i</v>
      </c>
      <c r="F67" s="73" t="str">
        <f t="shared" si="32"/>
        <v>-0.000303961447800328-0.000480438095330852i</v>
      </c>
      <c r="G67" s="73" t="str">
        <f t="shared" si="33"/>
        <v>-0.12080059803436-0.190936086317698i</v>
      </c>
      <c r="H67" s="76">
        <f t="shared" si="34"/>
        <v>0.22594108423166084</v>
      </c>
      <c r="I67" s="54" t="str">
        <f t="shared" si="35"/>
        <v>2.22437137330754-0.0310952744254724i</v>
      </c>
      <c r="J67" s="78" t="str">
        <f t="shared" si="36"/>
        <v>0.0230998801474485-0.15022075650396i</v>
      </c>
      <c r="K67" s="78" t="str">
        <f t="shared" si="37"/>
        <v>0.0467115564789269-0.334865047556392i</v>
      </c>
      <c r="L67" s="78" t="str">
        <f t="shared" si="38"/>
        <v>-0.0695806055827775+0.0315329762257221i</v>
      </c>
      <c r="M67" s="73">
        <f t="shared" si="39"/>
        <v>-22.339003993701393</v>
      </c>
      <c r="N67" s="73">
        <f t="shared" si="40"/>
        <v>335.62061817773673</v>
      </c>
      <c r="O67" s="73">
        <f t="shared" si="28"/>
        <v>-24.379381822263269</v>
      </c>
    </row>
    <row r="68" spans="1:15" ht="15" x14ac:dyDescent="0.2">
      <c r="A68" s="74">
        <f t="shared" ref="A68:A100" si="41">1+A67</f>
        <v>67</v>
      </c>
      <c r="B68" s="73">
        <f t="shared" ref="B68:B99" si="42">(fs*1000/2)*(A68/100)</f>
        <v>67000</v>
      </c>
      <c r="C68" s="73">
        <f t="shared" si="29"/>
        <v>397.42078776290634</v>
      </c>
      <c r="D68" s="54" t="str">
        <f t="shared" si="30"/>
        <v>0.000859839205825422-0.0000438869158549038i</v>
      </c>
      <c r="E68" s="54" t="str">
        <f t="shared" si="31"/>
        <v>-0.327598930100435-0.551762903889622i</v>
      </c>
      <c r="F68" s="73" t="str">
        <f t="shared" si="32"/>
        <v>-0.000305897576021677-0.000460050070404907i</v>
      </c>
      <c r="G68" s="73" t="str">
        <f t="shared" si="33"/>
        <v>-0.121570055637298-0.182833461390699i</v>
      </c>
      <c r="H68" s="76">
        <f t="shared" si="34"/>
        <v>0.21956172943334173</v>
      </c>
      <c r="I68" s="54" t="str">
        <f t="shared" si="35"/>
        <v>2.22437137330754-0.0306311658519578i</v>
      </c>
      <c r="J68" s="78" t="str">
        <f t="shared" si="36"/>
        <v>0.0224308290935518-0.148080002025012i</v>
      </c>
      <c r="K68" s="78" t="str">
        <f t="shared" si="37"/>
        <v>0.0453586310138642-0.330071999909921i</v>
      </c>
      <c r="L68" s="78" t="str">
        <f t="shared" si="38"/>
        <v>-0.0658624575476685+0.031833795881155i</v>
      </c>
      <c r="M68" s="73">
        <f t="shared" si="39"/>
        <v>-22.715444447190904</v>
      </c>
      <c r="N68" s="73">
        <f t="shared" si="40"/>
        <v>334.2037797666448</v>
      </c>
      <c r="O68" s="73">
        <f t="shared" si="28"/>
        <v>-25.7962202333552</v>
      </c>
    </row>
    <row r="69" spans="1:15" ht="15" x14ac:dyDescent="0.2">
      <c r="A69" s="74">
        <f t="shared" si="41"/>
        <v>68</v>
      </c>
      <c r="B69" s="73">
        <f t="shared" si="42"/>
        <v>68000</v>
      </c>
      <c r="C69" s="73">
        <f t="shared" si="29"/>
        <v>397.42078776290634</v>
      </c>
      <c r="D69" s="54" t="str">
        <f t="shared" si="30"/>
        <v>0.000859839149544702-0.0000432415200359439i</v>
      </c>
      <c r="E69" s="54" t="str">
        <f t="shared" si="31"/>
        <v>-0.330401080778646-0.528890618948869i</v>
      </c>
      <c r="F69" s="73" t="str">
        <f t="shared" si="32"/>
        <v>-0.000306961818601462-0.000440473815044779i</v>
      </c>
      <c r="G69" s="73" t="str">
        <f t="shared" si="33"/>
        <v>-0.121993007761727-0.175053450564029i</v>
      </c>
      <c r="H69" s="76">
        <f t="shared" si="34"/>
        <v>0.21336823685151859</v>
      </c>
      <c r="I69" s="54" t="str">
        <f t="shared" si="35"/>
        <v>2.22437137330755-0.0301807075306056i</v>
      </c>
      <c r="J69" s="78" t="str">
        <f t="shared" si="36"/>
        <v>0.0217902197480081-0.145997965983577i</v>
      </c>
      <c r="K69" s="78" t="str">
        <f t="shared" si="37"/>
        <v>0.0440632191141364-0.32541134034424i</v>
      </c>
      <c r="L69" s="78" t="str">
        <f t="shared" si="38"/>
        <v>-0.0623397826113224+0.0319844896194804i</v>
      </c>
      <c r="M69" s="73">
        <f t="shared" si="39"/>
        <v>-23.089843140270936</v>
      </c>
      <c r="N69" s="73">
        <f t="shared" si="40"/>
        <v>332.83913425596336</v>
      </c>
      <c r="O69" s="73">
        <f t="shared" si="28"/>
        <v>-27.160865744036641</v>
      </c>
    </row>
    <row r="70" spans="1:15" ht="15" x14ac:dyDescent="0.2">
      <c r="A70" s="74">
        <f t="shared" si="41"/>
        <v>69</v>
      </c>
      <c r="B70" s="73">
        <f t="shared" si="42"/>
        <v>69000</v>
      </c>
      <c r="C70" s="73">
        <f t="shared" si="29"/>
        <v>397.42078776290634</v>
      </c>
      <c r="D70" s="54" t="str">
        <f t="shared" si="30"/>
        <v>0.00085983909569319-0.0000426148313420675i</v>
      </c>
      <c r="E70" s="54" t="str">
        <f t="shared" si="31"/>
        <v>-0.332214276180469-0.506916962769844i</v>
      </c>
      <c r="F70" s="73" t="str">
        <f t="shared" si="32"/>
        <v>-0.000307253003680252-0.000421709767510703i</v>
      </c>
      <c r="G70" s="73" t="str">
        <f t="shared" si="33"/>
        <v>-0.122108730765125-0.167596228011416i</v>
      </c>
      <c r="H70" s="76">
        <f t="shared" si="34"/>
        <v>0.20736209338431247</v>
      </c>
      <c r="I70" s="54" t="str">
        <f t="shared" si="35"/>
        <v>2.22437137330754-0.029743305972191i</v>
      </c>
      <c r="J70" s="78" t="str">
        <f t="shared" si="36"/>
        <v>0.0211764741437146-0.143972327502736i</v>
      </c>
      <c r="K70" s="78" t="str">
        <f t="shared" si="37"/>
        <v>0.0428221298844237-0.320877782195412i</v>
      </c>
      <c r="L70" s="78" t="str">
        <f t="shared" si="38"/>
        <v>-0.0590068618774661+0.0320051512705656i</v>
      </c>
      <c r="M70" s="73">
        <f t="shared" si="39"/>
        <v>-23.461953718128697</v>
      </c>
      <c r="N70" s="73">
        <f t="shared" si="40"/>
        <v>331.52472380505105</v>
      </c>
      <c r="O70" s="73">
        <f t="shared" si="28"/>
        <v>-28.475276194948947</v>
      </c>
    </row>
    <row r="71" spans="1:15" ht="15" x14ac:dyDescent="0.2">
      <c r="A71" s="74">
        <f t="shared" si="41"/>
        <v>70</v>
      </c>
      <c r="B71" s="73">
        <f t="shared" si="42"/>
        <v>70000</v>
      </c>
      <c r="C71" s="73">
        <f t="shared" si="29"/>
        <v>397.42078776290634</v>
      </c>
      <c r="D71" s="54" t="str">
        <f t="shared" si="30"/>
        <v>0.000859839044133083-0.0000420060480393487i</v>
      </c>
      <c r="E71" s="54" t="str">
        <f t="shared" si="31"/>
        <v>-0.333148250971682-0.485841199333704i</v>
      </c>
      <c r="F71" s="73" t="str">
        <f t="shared" si="32"/>
        <v>-0.000306862142428806-0.000403750991001021i</v>
      </c>
      <c r="G71" s="73" t="str">
        <f t="shared" si="33"/>
        <v>-0.121953394378669-0.16045903690368i</v>
      </c>
      <c r="H71" s="76">
        <f t="shared" si="34"/>
        <v>0.20154337727778532</v>
      </c>
      <c r="I71" s="54" t="str">
        <f t="shared" si="35"/>
        <v>2.22437137330754-0.0293184016011597i</v>
      </c>
      <c r="J71" s="78" t="str">
        <f t="shared" si="36"/>
        <v>0.020588121459071-0.142000882792529i</v>
      </c>
      <c r="K71" s="78" t="str">
        <f t="shared" si="37"/>
        <v>0.0416323890943056-0.316466309481251i</v>
      </c>
      <c r="L71" s="78" t="str">
        <f t="shared" si="38"/>
        <v>-0.0558570903979675+0.0319138475896574i</v>
      </c>
      <c r="M71" s="73">
        <f t="shared" si="39"/>
        <v>-23.831561783095797</v>
      </c>
      <c r="N71" s="73">
        <f t="shared" si="40"/>
        <v>330.25859060302321</v>
      </c>
      <c r="O71" s="73">
        <f t="shared" si="28"/>
        <v>-29.741409396976792</v>
      </c>
    </row>
    <row r="72" spans="1:15" ht="15" x14ac:dyDescent="0.2">
      <c r="A72" s="74">
        <f t="shared" si="41"/>
        <v>71</v>
      </c>
      <c r="B72" s="73">
        <f t="shared" si="42"/>
        <v>71000</v>
      </c>
      <c r="C72" s="73">
        <f t="shared" si="29"/>
        <v>397.42078776290634</v>
      </c>
      <c r="D72" s="54" t="str">
        <f t="shared" si="30"/>
        <v>0.000859838994736185-0.0000414144135619687i</v>
      </c>
      <c r="E72" s="54" t="str">
        <f t="shared" si="31"/>
        <v>-0.333303933678997-0.465654846344132i</v>
      </c>
      <c r="F72" s="73" t="str">
        <f t="shared" si="32"/>
        <v>-0.000305872541659796-0.000386584608023358i</v>
      </c>
      <c r="G72" s="73" t="str">
        <f t="shared" si="33"/>
        <v>-0.121560106461479-0.153636759457657i</v>
      </c>
      <c r="H72" s="76">
        <f t="shared" si="34"/>
        <v>0.19591098320302533</v>
      </c>
      <c r="I72" s="54" t="str">
        <f t="shared" si="35"/>
        <v>2.22437137330754-0.0289054663673405i</v>
      </c>
      <c r="J72" s="78" t="str">
        <f t="shared" si="36"/>
        <v>0.0200237894685595-0.140081538126472i</v>
      </c>
      <c r="K72" s="78" t="str">
        <f t="shared" si="37"/>
        <v>0.0404912218900007-0.312172160310443i</v>
      </c>
      <c r="L72" s="78" t="str">
        <f t="shared" si="38"/>
        <v>-0.0528832363466965+0.0317267409239867i</v>
      </c>
      <c r="M72" s="73">
        <f t="shared" si="39"/>
        <v>-24.198482347717992</v>
      </c>
      <c r="N72" s="73">
        <f t="shared" si="40"/>
        <v>329.03879350935182</v>
      </c>
      <c r="O72" s="73">
        <f t="shared" si="28"/>
        <v>-30.961206490648181</v>
      </c>
    </row>
    <row r="73" spans="1:15" ht="15" x14ac:dyDescent="0.2">
      <c r="A73" s="74">
        <f t="shared" si="41"/>
        <v>72</v>
      </c>
      <c r="B73" s="73">
        <f t="shared" si="42"/>
        <v>72000</v>
      </c>
      <c r="C73" s="73">
        <f t="shared" si="29"/>
        <v>397.42078776290634</v>
      </c>
      <c r="D73" s="54" t="str">
        <f t="shared" si="30"/>
        <v>0.000859838947383168-0.0000408392133755435i</v>
      </c>
      <c r="E73" s="54" t="str">
        <f t="shared" si="31"/>
        <v>-0.3327736520237-0.446343199435663i</v>
      </c>
      <c r="F73" s="73" t="str">
        <f t="shared" si="32"/>
        <v>-0.000304360051833387-0.000370193052593641i</v>
      </c>
      <c r="G73" s="73" t="str">
        <f t="shared" si="33"/>
        <v>-0.120959011563184-0.14712241458612i</v>
      </c>
      <c r="H73" s="76">
        <f t="shared" si="34"/>
        <v>0.19046282406809117</v>
      </c>
      <c r="I73" s="54" t="str">
        <f t="shared" si="35"/>
        <v>2.22437137330755-0.0285040015566831i</v>
      </c>
      <c r="J73" s="78" t="str">
        <f t="shared" si="36"/>
        <v>0.0194821967727907-0.138212303293509i</v>
      </c>
      <c r="K73" s="78" t="str">
        <f t="shared" si="37"/>
        <v>0.0393960370823094-0.307990811452121i</v>
      </c>
      <c r="L73" s="78" t="str">
        <f t="shared" si="38"/>
        <v>-0.0500776575561571+0.0314582240231178i</v>
      </c>
      <c r="M73" s="73">
        <f t="shared" si="39"/>
        <v>-24.562557317917808</v>
      </c>
      <c r="N73" s="73">
        <f t="shared" si="40"/>
        <v>327.86342149083981</v>
      </c>
      <c r="O73" s="73">
        <f t="shared" si="28"/>
        <v>-32.136578509160188</v>
      </c>
    </row>
    <row r="74" spans="1:15" ht="15" x14ac:dyDescent="0.2">
      <c r="A74" s="74">
        <f t="shared" si="41"/>
        <v>73</v>
      </c>
      <c r="B74" s="73">
        <f t="shared" si="42"/>
        <v>73000</v>
      </c>
      <c r="C74" s="73">
        <f t="shared" si="29"/>
        <v>397.42078776290634</v>
      </c>
      <c r="D74" s="54" t="str">
        <f t="shared" si="30"/>
        <v>0.000859838901962802-0.0000402797720982575i</v>
      </c>
      <c r="E74" s="54" t="str">
        <f t="shared" si="31"/>
        <v>-0.331641465588464-0.427886655849379i</v>
      </c>
      <c r="F74" s="73" t="str">
        <f t="shared" si="32"/>
        <v>-0.000302393410598418-0.00035455514967783i</v>
      </c>
      <c r="G74" s="73" t="str">
        <f t="shared" si="33"/>
        <v>-0.120177427454335-0.140907586890358i</v>
      </c>
      <c r="H74" s="76">
        <f t="shared" si="34"/>
        <v>0.18519600998079236</v>
      </c>
      <c r="I74" s="54" t="str">
        <f t="shared" si="35"/>
        <v>2.22437137330755-0.028113535781934i</v>
      </c>
      <c r="J74" s="78" t="str">
        <f t="shared" si="36"/>
        <v>0.0189621457284712-0.136391285490839i</v>
      </c>
      <c r="K74" s="78" t="str">
        <f t="shared" si="37"/>
        <v>0.0383444128499067-0.303917963976879i</v>
      </c>
      <c r="L74" s="78" t="str">
        <f t="shared" si="38"/>
        <v>-0.0474324798101615+0.0311210603824926i</v>
      </c>
      <c r="M74" s="73">
        <f t="shared" si="39"/>
        <v>-24.923653052090824</v>
      </c>
      <c r="N74" s="73">
        <f t="shared" si="40"/>
        <v>326.73060426010431</v>
      </c>
      <c r="O74" s="73">
        <f t="shared" si="28"/>
        <v>-33.269395739895685</v>
      </c>
    </row>
    <row r="75" spans="1:15" ht="15" x14ac:dyDescent="0.2">
      <c r="A75" s="74">
        <f t="shared" si="41"/>
        <v>74</v>
      </c>
      <c r="B75" s="73">
        <f t="shared" si="42"/>
        <v>74000</v>
      </c>
      <c r="C75" s="73">
        <f t="shared" si="29"/>
        <v>397.42078776290634</v>
      </c>
      <c r="D75" s="54" t="str">
        <f t="shared" si="30"/>
        <v>0.000859838858371339-0.0000397354508554202i</v>
      </c>
      <c r="E75" s="54" t="str">
        <f t="shared" si="31"/>
        <v>-0.329983585977756-0.410261850846i</v>
      </c>
      <c r="F75" s="73" t="str">
        <f t="shared" si="32"/>
        <v>-0.000300034649460539-0.000339647034901023i</v>
      </c>
      <c r="G75" s="73" t="str">
        <f t="shared" si="33"/>
        <v>-0.119240006744775-0.1349827921717i</v>
      </c>
      <c r="H75" s="76">
        <f t="shared" si="34"/>
        <v>0.18010700539113506</v>
      </c>
      <c r="I75" s="54" t="str">
        <f t="shared" si="35"/>
        <v>2.22437137330754-0.0277336231362321i</v>
      </c>
      <c r="J75" s="78" t="str">
        <f t="shared" si="36"/>
        <v>0.0184625160076924-0.134616683625612i</v>
      </c>
      <c r="K75" s="78" t="str">
        <f t="shared" si="37"/>
        <v>0.0373340837152211-0.299949529887513i</v>
      </c>
      <c r="L75" s="78" t="str">
        <f t="shared" si="38"/>
        <v>-0.0449397414488183+0.0307265251038266i</v>
      </c>
      <c r="M75" s="73">
        <f t="shared" si="39"/>
        <v>-25.28165802866047</v>
      </c>
      <c r="N75" s="73">
        <f t="shared" si="40"/>
        <v>325.63852049902675</v>
      </c>
      <c r="O75" s="73">
        <f t="shared" si="28"/>
        <v>-34.361479500973246</v>
      </c>
    </row>
    <row r="76" spans="1:15" ht="15" x14ac:dyDescent="0.2">
      <c r="A76" s="74">
        <f t="shared" si="41"/>
        <v>75</v>
      </c>
      <c r="B76" s="73">
        <f t="shared" si="42"/>
        <v>75000</v>
      </c>
      <c r="C76" s="73">
        <f t="shared" si="29"/>
        <v>397.42078776290634</v>
      </c>
      <c r="D76" s="54" t="str">
        <f t="shared" si="30"/>
        <v>0.000859838816511877-0.0000392056448456571i</v>
      </c>
      <c r="E76" s="54" t="str">
        <f t="shared" si="31"/>
        <v>-0.327868852459016-0.39344262295082i</v>
      </c>
      <c r="F76" s="73" t="str">
        <f t="shared" si="32"/>
        <v>-0.000297339537812021-0.0003254429294979i</v>
      </c>
      <c r="G76" s="73" t="str">
        <f t="shared" si="33"/>
        <v>-0.118168913350312-0.129337785412923i</v>
      </c>
      <c r="H76" s="76">
        <f t="shared" si="34"/>
        <v>0.17519176583935919</v>
      </c>
      <c r="I76" s="54" t="str">
        <f t="shared" si="35"/>
        <v>2.22437137330754-0.0273638414944157i</v>
      </c>
      <c r="J76" s="78" t="str">
        <f t="shared" si="36"/>
        <v>0.0179822587237894-0.132886782995827i</v>
      </c>
      <c r="K76" s="78" t="str">
        <f t="shared" si="37"/>
        <v>0.0363629286660063-0.296081619664278i</v>
      </c>
      <c r="L76" s="78" t="str">
        <f t="shared" si="38"/>
        <v>-0.0425915087555459+0.0302845425939387i</v>
      </c>
      <c r="M76" s="73">
        <f t="shared" si="39"/>
        <v>-25.636480643803363</v>
      </c>
      <c r="N76" s="73">
        <f t="shared" si="40"/>
        <v>324.58540402135759</v>
      </c>
      <c r="O76" s="73">
        <f t="shared" si="28"/>
        <v>-35.41459597864241</v>
      </c>
    </row>
    <row r="77" spans="1:15" ht="15" x14ac:dyDescent="0.2">
      <c r="A77" s="74">
        <f t="shared" si="41"/>
        <v>76</v>
      </c>
      <c r="B77" s="73">
        <f t="shared" si="42"/>
        <v>76000</v>
      </c>
      <c r="C77" s="73">
        <f t="shared" si="29"/>
        <v>397.42078776290634</v>
      </c>
      <c r="D77" s="54" t="str">
        <f t="shared" si="30"/>
        <v>0.000859838776293871-0.0000386897810992453i</v>
      </c>
      <c r="E77" s="54" t="str">
        <f t="shared" si="31"/>
        <v>-0.325359237914116-0.377400825419304i</v>
      </c>
      <c r="F77" s="73" t="str">
        <f t="shared" si="32"/>
        <v>-0.000294358044306127-0.000311915786207317i</v>
      </c>
      <c r="G77" s="73" t="str">
        <f t="shared" si="33"/>
        <v>-0.116984005852489-0.123961817470198i</v>
      </c>
      <c r="H77" s="76">
        <f t="shared" si="34"/>
        <v>0.1704458559654938</v>
      </c>
      <c r="I77" s="54" t="str">
        <f t="shared" si="35"/>
        <v>2.22437137330755-0.0270037909484366i</v>
      </c>
      <c r="J77" s="78" t="str">
        <f t="shared" si="36"/>
        <v>0.0175203910679171-0.131199950322949i</v>
      </c>
      <c r="K77" s="78" t="str">
        <f t="shared" si="37"/>
        <v>0.0354289603096619-0.292310530655473i</v>
      </c>
      <c r="L77" s="78" t="str">
        <f t="shared" si="38"/>
        <v>-0.0403799663459436+0.0298038185178788i</v>
      </c>
      <c r="M77" s="73">
        <f t="shared" si="39"/>
        <v>-25.988047152446306</v>
      </c>
      <c r="N77" s="73">
        <f t="shared" si="40"/>
        <v>323.56954819539226</v>
      </c>
      <c r="O77" s="73">
        <f t="shared" si="28"/>
        <v>-36.430451804607742</v>
      </c>
    </row>
    <row r="78" spans="1:15" ht="15" x14ac:dyDescent="0.2">
      <c r="A78" s="74">
        <f t="shared" si="41"/>
        <v>77</v>
      </c>
      <c r="B78" s="73">
        <f t="shared" si="42"/>
        <v>77000</v>
      </c>
      <c r="C78" s="73">
        <f t="shared" si="29"/>
        <v>397.42078776290634</v>
      </c>
      <c r="D78" s="54" t="str">
        <f t="shared" si="30"/>
        <v>0.000859838737632602-0.0000381873164111224i</v>
      </c>
      <c r="E78" s="54" t="str">
        <f t="shared" si="31"/>
        <v>-0.322510365759674-0.362107001509111i</v>
      </c>
      <c r="F78" s="73" t="str">
        <f t="shared" si="32"/>
        <v>-0.000291134800409538-0.000299037821682389i</v>
      </c>
      <c r="G78" s="73" t="str">
        <f t="shared" si="33"/>
        <v>-0.115703021723955-0.118843846663919i</v>
      </c>
      <c r="H78" s="76">
        <f t="shared" si="34"/>
        <v>0.16586455054028601</v>
      </c>
      <c r="I78" s="54" t="str">
        <f t="shared" si="35"/>
        <v>2.22437137330755-0.0266530923646906i</v>
      </c>
      <c r="J78" s="78" t="str">
        <f t="shared" si="36"/>
        <v>0.0170759914065658-0.129554629110845i</v>
      </c>
      <c r="K78" s="78" t="str">
        <f t="shared" si="37"/>
        <v>0.0345303149596461-0.288632736249818i</v>
      </c>
      <c r="L78" s="78" t="str">
        <f t="shared" si="38"/>
        <v>-0.0382974864309717+0.0292919642962363i</v>
      </c>
      <c r="M78" s="73">
        <f t="shared" si="39"/>
        <v>-26.336299758942189</v>
      </c>
      <c r="N78" s="73">
        <f t="shared" si="40"/>
        <v>322.58930891291163</v>
      </c>
      <c r="O78" s="73">
        <f t="shared" si="28"/>
        <v>-37.410691087088367</v>
      </c>
    </row>
    <row r="79" spans="1:15" ht="15" x14ac:dyDescent="0.2">
      <c r="A79" s="74">
        <f t="shared" si="41"/>
        <v>78</v>
      </c>
      <c r="B79" s="73">
        <f t="shared" si="42"/>
        <v>78000</v>
      </c>
      <c r="C79" s="73">
        <f t="shared" si="29"/>
        <v>397.42078776290634</v>
      </c>
      <c r="D79" s="54" t="str">
        <f t="shared" si="30"/>
        <v>0.000859838700448753-0.0000376977354328956i</v>
      </c>
      <c r="E79" s="54" t="str">
        <f t="shared" si="31"/>
        <v>-0.319372023352939-0.34753094059053i</v>
      </c>
      <c r="F79" s="73" t="str">
        <f t="shared" si="32"/>
        <v>-0.000287709554972607-0.000286780950282066i</v>
      </c>
      <c r="G79" s="73" t="str">
        <f t="shared" si="33"/>
        <v>-0.114341757984129-0.113972711176494i</v>
      </c>
      <c r="H79" s="76">
        <f t="shared" si="34"/>
        <v>0.16144292029018073</v>
      </c>
      <c r="I79" s="54" t="str">
        <f t="shared" si="35"/>
        <v>2.22437137330755-0.0263113860523228i</v>
      </c>
      <c r="J79" s="78" t="str">
        <f t="shared" si="36"/>
        <v>0.0166481947955908-0.127949335307531i</v>
      </c>
      <c r="K79" s="78" t="str">
        <f t="shared" si="37"/>
        <v>0.0336652435641454-0.285044875772142i</v>
      </c>
      <c r="L79" s="78" t="str">
        <f t="shared" si="38"/>
        <v>-0.0363366804308062+0.0287556131187317i</v>
      </c>
      <c r="M79" s="73">
        <f t="shared" si="39"/>
        <v>-26.6811948587365</v>
      </c>
      <c r="N79" s="73">
        <f t="shared" si="40"/>
        <v>321.64310635627032</v>
      </c>
      <c r="O79" s="73">
        <f t="shared" si="28"/>
        <v>-38.356893643729677</v>
      </c>
    </row>
    <row r="80" spans="1:15" ht="15" x14ac:dyDescent="0.2">
      <c r="A80" s="74">
        <f t="shared" si="41"/>
        <v>79</v>
      </c>
      <c r="B80" s="73">
        <f t="shared" si="42"/>
        <v>79000</v>
      </c>
      <c r="C80" s="73">
        <f t="shared" si="29"/>
        <v>397.42078776290634</v>
      </c>
      <c r="D80" s="54" t="str">
        <f t="shared" si="30"/>
        <v>0.000859838664667989-0.0000372205489097614i</v>
      </c>
      <c r="E80" s="54" t="str">
        <f t="shared" si="31"/>
        <v>-0.315988661370671-0.333642131091727i</v>
      </c>
      <c r="F80" s="73" t="str">
        <f t="shared" si="32"/>
        <v>-0.00028411761190184-0.000275117133049416i</v>
      </c>
      <c r="G80" s="73" t="str">
        <f t="shared" si="33"/>
        <v>-0.112914245139345-0.109337267743571i</v>
      </c>
      <c r="H80" s="76">
        <f t="shared" si="34"/>
        <v>0.15717590423795064</v>
      </c>
      <c r="I80" s="54" t="str">
        <f t="shared" si="35"/>
        <v>2.22437137330754-0.0259783305326731i</v>
      </c>
      <c r="J80" s="78" t="str">
        <f t="shared" si="36"/>
        <v>0.0162361888710591-0.126382653247993i</v>
      </c>
      <c r="K80" s="78" t="str">
        <f t="shared" si="37"/>
        <v>0.0328321033967258-0.281543745048572i</v>
      </c>
      <c r="L80" s="78" t="str">
        <f t="shared" si="38"/>
        <v>-0.0344904360052816+0.0282005269661913i</v>
      </c>
      <c r="M80" s="73">
        <f t="shared" si="39"/>
        <v>-27.022701428579815</v>
      </c>
      <c r="N80" s="73">
        <f t="shared" si="40"/>
        <v>320.72942578277969</v>
      </c>
      <c r="O80" s="73">
        <f t="shared" si="28"/>
        <v>-39.270574217220314</v>
      </c>
    </row>
    <row r="81" spans="1:18" ht="15" x14ac:dyDescent="0.2">
      <c r="A81" s="74">
        <f t="shared" si="41"/>
        <v>80</v>
      </c>
      <c r="B81" s="73">
        <f t="shared" si="42"/>
        <v>80000</v>
      </c>
      <c r="C81" s="73">
        <f t="shared" si="29"/>
        <v>397.42078776290634</v>
      </c>
      <c r="D81" s="54" t="str">
        <f t="shared" si="30"/>
        <v>0.000859838630220603-0.0000367552920496566i</v>
      </c>
      <c r="E81" s="54" t="str">
        <f t="shared" si="31"/>
        <v>-0.31239987183595-0.320410124959949i</v>
      </c>
      <c r="F81" s="73" t="str">
        <f t="shared" si="32"/>
        <v>-0.000280390245599085-0.000264018654428769i</v>
      </c>
      <c r="G81" s="73" t="str">
        <f t="shared" si="33"/>
        <v>-0.111432912287023-0.104926501627184i</v>
      </c>
      <c r="H81" s="76">
        <f t="shared" si="34"/>
        <v>0.15305837018760787</v>
      </c>
      <c r="I81" s="54" t="str">
        <f t="shared" si="35"/>
        <v>2.22437137330754-0.0256536014010147i</v>
      </c>
      <c r="J81" s="78" t="str">
        <f t="shared" si="36"/>
        <v>0.0158392100813914-0.124853231858006i</v>
      </c>
      <c r="K81" s="78" t="str">
        <f t="shared" si="37"/>
        <v>0.0320293504371375-0.278126287591812i</v>
      </c>
      <c r="L81" s="78" t="str">
        <f t="shared" si="38"/>
        <v>-0.0327519421654368+0.0276316945191738i</v>
      </c>
      <c r="M81" s="73">
        <f t="shared" si="39"/>
        <v>-27.360799560150348</v>
      </c>
      <c r="N81" s="73">
        <f t="shared" si="40"/>
        <v>319.84681751517888</v>
      </c>
      <c r="O81" s="73">
        <f t="shared" si="28"/>
        <v>-40.153182484821116</v>
      </c>
    </row>
    <row r="82" spans="1:18" ht="15" x14ac:dyDescent="0.2">
      <c r="A82" s="74">
        <f t="shared" si="41"/>
        <v>81</v>
      </c>
      <c r="B82" s="73">
        <f t="shared" si="42"/>
        <v>81000</v>
      </c>
      <c r="C82" s="73">
        <f t="shared" si="29"/>
        <v>397.42078776290634</v>
      </c>
      <c r="D82" s="54" t="str">
        <f t="shared" si="30"/>
        <v>0.000859838597041154-0.0000363015230132121i</v>
      </c>
      <c r="E82" s="54" t="str">
        <f t="shared" si="31"/>
        <v>-0.308640839982196-0.307804826872173i</v>
      </c>
      <c r="F82" s="73" t="str">
        <f t="shared" si="32"/>
        <v>-0.000276555090846173-0.000253458337944834i</v>
      </c>
      <c r="G82" s="73" t="str">
        <f t="shared" si="33"/>
        <v>-0.109908742063928-0.100729612331113i</v>
      </c>
      <c r="H82" s="76">
        <f t="shared" si="34"/>
        <v>0.14908516486374951</v>
      </c>
      <c r="I82" s="54" t="str">
        <f t="shared" si="35"/>
        <v>2.22437137330755-0.0253368902726072i</v>
      </c>
      <c r="J82" s="78" t="str">
        <f t="shared" si="36"/>
        <v>0.0154565402289809-0.123359781100368i</v>
      </c>
      <c r="K82" s="78" t="str">
        <f t="shared" si="37"/>
        <v>0.0312555323779288-0.27478958636092i</v>
      </c>
      <c r="L82" s="78" t="str">
        <f t="shared" si="38"/>
        <v>-0.0311147047529589+0.0270534201095645i</v>
      </c>
      <c r="M82" s="73">
        <f t="shared" si="39"/>
        <v>-27.695479130126568</v>
      </c>
      <c r="N82" s="73">
        <f t="shared" si="40"/>
        <v>318.99389629936223</v>
      </c>
      <c r="O82" s="73">
        <f t="shared" si="28"/>
        <v>-41.006103700637766</v>
      </c>
    </row>
    <row r="83" spans="1:18" ht="15" x14ac:dyDescent="0.2">
      <c r="A83" s="74">
        <f t="shared" si="41"/>
        <v>82</v>
      </c>
      <c r="B83" s="73">
        <f t="shared" si="42"/>
        <v>82000</v>
      </c>
      <c r="C83" s="73">
        <f t="shared" si="29"/>
        <v>397.42078776290634</v>
      </c>
      <c r="D83" s="54" t="str">
        <f t="shared" si="30"/>
        <v>0.00085983856506817-0.0000358588215141984i</v>
      </c>
      <c r="E83" s="54" t="str">
        <f t="shared" si="31"/>
        <v>-0.304742767092029-0.295796719952017i</v>
      </c>
      <c r="F83" s="73" t="str">
        <f t="shared" si="32"/>
        <v>-0.000272636505356559-0.000243409710742518i</v>
      </c>
      <c r="G83" s="73" t="str">
        <f t="shared" si="33"/>
        <v>-0.10835141473173-0.0967360789924327i</v>
      </c>
      <c r="H83" s="76">
        <f t="shared" si="34"/>
        <v>0.14525115508386685</v>
      </c>
      <c r="I83" s="54" t="str">
        <f t="shared" si="35"/>
        <v>2.22437137330754-0.025027903805868i</v>
      </c>
      <c r="J83" s="78" t="str">
        <f t="shared" si="36"/>
        <v>0.0150875032927431-0.121901068646401i</v>
      </c>
      <c r="K83" s="78" t="str">
        <f t="shared" si="37"/>
        <v>0.0305092821991464-0.271530856053733i</v>
      </c>
      <c r="L83" s="78" t="str">
        <f t="shared" si="38"/>
        <v>-0.0295725542288239+0.0264694040639207i</v>
      </c>
      <c r="M83" s="73">
        <f t="shared" si="39"/>
        <v>-28.026738598585403</v>
      </c>
      <c r="N83" s="73">
        <f t="shared" si="40"/>
        <v>318.16934016582246</v>
      </c>
      <c r="O83" s="73">
        <f t="shared" si="28"/>
        <v>-41.830659834177538</v>
      </c>
    </row>
    <row r="84" spans="1:18" ht="15" x14ac:dyDescent="0.2">
      <c r="A84" s="74">
        <f t="shared" si="41"/>
        <v>83</v>
      </c>
      <c r="B84" s="73">
        <f t="shared" si="42"/>
        <v>83000</v>
      </c>
      <c r="C84" s="73">
        <f t="shared" si="29"/>
        <v>397.42078776290634</v>
      </c>
      <c r="D84" s="54" t="str">
        <f t="shared" si="30"/>
        <v>0.000859838534243857-0.0000354267875211444i</v>
      </c>
      <c r="E84" s="54" t="str">
        <f t="shared" si="31"/>
        <v>-0.300733262929728-0.284357038313596i</v>
      </c>
      <c r="F84" s="73" t="str">
        <f t="shared" si="32"/>
        <v>-0.000268655904372347-0.000233847125619135i</v>
      </c>
      <c r="G84" s="73" t="str">
        <f t="shared" si="33"/>
        <v>-0.106769441152814-0.0929357088796479i</v>
      </c>
      <c r="H84" s="76">
        <f t="shared" si="34"/>
        <v>0.14155126120613296</v>
      </c>
      <c r="I84" s="54" t="str">
        <f t="shared" si="35"/>
        <v>2.22437137330754-0.0247263627961588i</v>
      </c>
      <c r="J84" s="78" t="str">
        <f t="shared" si="36"/>
        <v>0.0147314625059661-0.120475916756841i</v>
      </c>
      <c r="K84" s="78" t="str">
        <f t="shared" si="37"/>
        <v>0.0297893122592949-0.26834743589334i</v>
      </c>
      <c r="L84" s="78" t="str">
        <f t="shared" si="38"/>
        <v>-0.028119647403035+0.0258828149132677i</v>
      </c>
      <c r="M84" s="73">
        <f t="shared" si="39"/>
        <v>-28.354583926962015</v>
      </c>
      <c r="N84" s="73">
        <f t="shared" si="40"/>
        <v>317.37188890945379</v>
      </c>
      <c r="O84" s="73">
        <f t="shared" si="28"/>
        <v>-42.628111090546213</v>
      </c>
      <c r="P84" s="73">
        <v>-27.673999999999999</v>
      </c>
      <c r="Q84" s="73">
        <v>318.15300000000002</v>
      </c>
      <c r="R84" s="73">
        <f>B84</f>
        <v>83000</v>
      </c>
    </row>
    <row r="85" spans="1:18" ht="15" x14ac:dyDescent="0.2">
      <c r="A85" s="74">
        <f t="shared" si="41"/>
        <v>84</v>
      </c>
      <c r="B85" s="73">
        <f t="shared" si="42"/>
        <v>84000</v>
      </c>
      <c r="C85" s="73">
        <f t="shared" si="29"/>
        <v>397.42078776290634</v>
      </c>
      <c r="D85" s="54" t="str">
        <f t="shared" si="30"/>
        <v>0.000859838504513853-0.0000350050400516962i</v>
      </c>
      <c r="E85" s="54" t="str">
        <f t="shared" si="31"/>
        <v>-0.296636707487767-0.273457895401365i</v>
      </c>
      <c r="F85" s="73" t="str">
        <f t="shared" si="32"/>
        <v>-0.000264632067531172-0.000224745848003003i</v>
      </c>
      <c r="G85" s="73" t="str">
        <f t="shared" si="33"/>
        <v>-0.105170284745565-0.0893186719597959i</v>
      </c>
      <c r="H85" s="76">
        <f t="shared" si="34"/>
        <v>0.1379804839610474</v>
      </c>
      <c r="I85" s="54" t="str">
        <f t="shared" si="35"/>
        <v>2.22437137330754-0.0244320013342997i</v>
      </c>
      <c r="J85" s="78" t="str">
        <f t="shared" si="36"/>
        <v>0.0143878176664137-0.119083199357473i</v>
      </c>
      <c r="K85" s="78" t="str">
        <f t="shared" si="37"/>
        <v>0.0290944088559447-0.265236782873061i</v>
      </c>
      <c r="L85" s="78" t="str">
        <f t="shared" si="38"/>
        <v>-0.0267504644649941+0.0252963540192891i</v>
      </c>
      <c r="M85" s="73">
        <f t="shared" si="39"/>
        <v>-28.679027606547471</v>
      </c>
      <c r="N85" s="73">
        <f t="shared" si="40"/>
        <v>316.60034228329698</v>
      </c>
      <c r="O85" s="73">
        <f t="shared" si="28"/>
        <v>-43.399657716703018</v>
      </c>
    </row>
    <row r="86" spans="1:18" ht="15" x14ac:dyDescent="0.2">
      <c r="A86" s="74">
        <f t="shared" si="41"/>
        <v>85</v>
      </c>
      <c r="B86" s="73">
        <f t="shared" si="42"/>
        <v>85000</v>
      </c>
      <c r="C86" s="73">
        <f t="shared" si="29"/>
        <v>397.42078776290634</v>
      </c>
      <c r="D86" s="54" t="str">
        <f t="shared" si="30"/>
        <v>0.000859838475826952-0.0000345932160520812i</v>
      </c>
      <c r="E86" s="54" t="str">
        <f t="shared" si="31"/>
        <v>-0.292474582566039-0.263072375853051i</v>
      </c>
      <c r="F86" s="73" t="str">
        <f t="shared" si="32"/>
        <v>-0.000260581418826926-0.000216082114261213i</v>
      </c>
      <c r="G86" s="73" t="str">
        <f t="shared" si="33"/>
        <v>-0.103560472746573-0.0858755240711656i</v>
      </c>
      <c r="H86" s="76">
        <f t="shared" si="34"/>
        <v>0.13453392564699446</v>
      </c>
      <c r="I86" s="54" t="str">
        <f t="shared" si="35"/>
        <v>2.22437137330755-0.0241445660244845i</v>
      </c>
      <c r="J86" s="78" t="str">
        <f t="shared" si="36"/>
        <v>0.0140560026579354-0.117721839295925i</v>
      </c>
      <c r="K86" s="78" t="str">
        <f t="shared" si="37"/>
        <v>0.0284234272140421-0.262196465427182i</v>
      </c>
      <c r="L86" s="78" t="str">
        <f t="shared" si="38"/>
        <v>-0.0254598024375305+0.024712313204215i</v>
      </c>
      <c r="M86" s="73">
        <f t="shared" si="39"/>
        <v>-29.000087788534231</v>
      </c>
      <c r="N86" s="73">
        <f t="shared" si="40"/>
        <v>315.85355798534397</v>
      </c>
      <c r="O86" s="73">
        <f t="shared" si="28"/>
        <v>-44.146442014656031</v>
      </c>
    </row>
    <row r="87" spans="1:18" ht="15" x14ac:dyDescent="0.2">
      <c r="A87" s="74">
        <f t="shared" si="41"/>
        <v>86</v>
      </c>
      <c r="B87" s="73">
        <f t="shared" si="42"/>
        <v>86000</v>
      </c>
      <c r="C87" s="73">
        <f t="shared" si="29"/>
        <v>397.42078776290634</v>
      </c>
      <c r="D87" s="54" t="str">
        <f t="shared" si="30"/>
        <v>0.000859838448134931-0.0000341909693547488i</v>
      </c>
      <c r="E87" s="54" t="str">
        <f t="shared" si="31"/>
        <v>-0.288265774261145-0.253174597492427i</v>
      </c>
      <c r="F87" s="73" t="str">
        <f t="shared" si="32"/>
        <v>-0.000256518280895382-0.000207833166761288i</v>
      </c>
      <c r="G87" s="73" t="str">
        <f t="shared" si="33"/>
        <v>-0.101945697269029-0.0825972208575306i</v>
      </c>
      <c r="H87" s="76">
        <f t="shared" si="34"/>
        <v>0.13120680655002695</v>
      </c>
      <c r="I87" s="54" t="str">
        <f t="shared" si="35"/>
        <v>2.22437137330755-0.0238638152567579i</v>
      </c>
      <c r="J87" s="78" t="str">
        <f t="shared" si="36"/>
        <v>0.0137354831648877-0.1163908057671i</v>
      </c>
      <c r="K87" s="78" t="str">
        <f t="shared" si="37"/>
        <v>0.0277752868641127-0.259224157497246i</v>
      </c>
      <c r="L87" s="78" t="str">
        <f t="shared" si="38"/>
        <v>-0.0242427659746166+0.0241326259815369i</v>
      </c>
      <c r="M87" s="73">
        <f t="shared" si="39"/>
        <v>-29.317787506846059</v>
      </c>
      <c r="N87" s="73">
        <f t="shared" si="40"/>
        <v>315.13044950335035</v>
      </c>
      <c r="O87" s="73">
        <f t="shared" si="28"/>
        <v>-44.869550496649651</v>
      </c>
    </row>
    <row r="88" spans="1:18" ht="15" x14ac:dyDescent="0.2">
      <c r="A88" s="74">
        <f t="shared" si="41"/>
        <v>87</v>
      </c>
      <c r="B88" s="73">
        <f t="shared" si="42"/>
        <v>87000</v>
      </c>
      <c r="C88" s="73">
        <f t="shared" si="29"/>
        <v>397.42078776290634</v>
      </c>
      <c r="D88" s="54" t="str">
        <f t="shared" si="30"/>
        <v>0.000859838421392305-0.0000337979697078977i</v>
      </c>
      <c r="E88" s="54" t="str">
        <f t="shared" si="31"/>
        <v>-0.284026847815692-0.243739749062588i</v>
      </c>
      <c r="F88" s="73" t="str">
        <f t="shared" si="32"/>
        <v>-0.000252455105114305-0.000199977270265828i</v>
      </c>
      <c r="G88" s="73" t="str">
        <f t="shared" si="33"/>
        <v>-0.100330906749294-0.079475124283721i</v>
      </c>
      <c r="H88" s="76">
        <f t="shared" si="34"/>
        <v>0.12799447733808059</v>
      </c>
      <c r="I88" s="54" t="str">
        <f t="shared" si="35"/>
        <v>2.22437137330754-0.0235895185296687i</v>
      </c>
      <c r="J88" s="78" t="str">
        <f t="shared" si="36"/>
        <v>0.0134257545625007-0.115089111895644i</v>
      </c>
      <c r="K88" s="78" t="str">
        <f t="shared" si="37"/>
        <v>0.0271489673762542-0.256317632966086i</v>
      </c>
      <c r="L88" s="78" t="str">
        <f t="shared" si="38"/>
        <v>-0.0230947562502555+0.0235589129749177i</v>
      </c>
      <c r="M88" s="73">
        <f t="shared" si="39"/>
        <v>-29.632153985366582</v>
      </c>
      <c r="N88" s="73">
        <f t="shared" si="40"/>
        <v>314.42998387057548</v>
      </c>
      <c r="O88" s="73">
        <f t="shared" si="28"/>
        <v>-45.570016129424516</v>
      </c>
    </row>
    <row r="89" spans="1:18" ht="15" x14ac:dyDescent="0.2">
      <c r="A89" s="74">
        <f t="shared" si="41"/>
        <v>88</v>
      </c>
      <c r="B89" s="73">
        <f t="shared" si="42"/>
        <v>88000</v>
      </c>
      <c r="C89" s="73">
        <f t="shared" si="29"/>
        <v>397.42078776290634</v>
      </c>
      <c r="D89" s="54" t="str">
        <f t="shared" si="30"/>
        <v>0.000859838395556175-0.000033413901871172i</v>
      </c>
      <c r="E89" s="54" t="str">
        <f t="shared" si="31"/>
        <v>-0.279772296507588-0.234744108435047i</v>
      </c>
      <c r="F89" s="73" t="str">
        <f t="shared" si="32"/>
        <v>-0.000248402679154235-0.000192493713501279i</v>
      </c>
      <c r="G89" s="73" t="str">
        <f t="shared" si="33"/>
        <v>-0.0987203884318926-0.0765010032590855i</v>
      </c>
      <c r="H89" s="76">
        <f t="shared" si="34"/>
        <v>0.12489242808028983</v>
      </c>
      <c r="I89" s="54" t="str">
        <f t="shared" si="35"/>
        <v>2.22437137330754-0.0233214558191043i</v>
      </c>
      <c r="J89" s="78" t="str">
        <f t="shared" si="36"/>
        <v>0.0131263399679548-0.113815812464703i</v>
      </c>
      <c r="K89" s="78" t="str">
        <f t="shared" si="37"/>
        <v>0.0265435044191102-0.253474760433854i</v>
      </c>
      <c r="L89" s="78" t="str">
        <f t="shared" si="38"/>
        <v>-0.0220114585406444+0.0229925220896371i</v>
      </c>
      <c r="M89" s="73">
        <f t="shared" si="39"/>
        <v>-29.943218021642672</v>
      </c>
      <c r="N89" s="73">
        <f t="shared" si="40"/>
        <v>313.75117937516632</v>
      </c>
      <c r="O89" s="73">
        <f t="shared" si="28"/>
        <v>-46.248820624833684</v>
      </c>
    </row>
    <row r="90" spans="1:18" ht="15" x14ac:dyDescent="0.2">
      <c r="A90" s="74">
        <f t="shared" si="41"/>
        <v>89</v>
      </c>
      <c r="B90" s="73">
        <f t="shared" si="42"/>
        <v>89000</v>
      </c>
      <c r="C90" s="73">
        <f t="shared" si="29"/>
        <v>397.42078776290634</v>
      </c>
      <c r="D90" s="54" t="str">
        <f t="shared" si="30"/>
        <v>0.000859838370586019-0.0000330384647723216i</v>
      </c>
      <c r="E90" s="54" t="str">
        <f t="shared" si="31"/>
        <v>-0.275514766381876-0.226165045268281i</v>
      </c>
      <c r="F90" s="73" t="str">
        <f t="shared" si="32"/>
        <v>-0.000244370313679007-0.00018536279910363i</v>
      </c>
      <c r="G90" s="73" t="str">
        <f t="shared" si="33"/>
        <v>-0.0971178425681795-0.073667029641702i</v>
      </c>
      <c r="H90" s="76">
        <f t="shared" si="34"/>
        <v>0.12189629445282207</v>
      </c>
      <c r="I90" s="54" t="str">
        <f t="shared" si="35"/>
        <v>2.22437137330754-0.0230594169896761i</v>
      </c>
      <c r="J90" s="78" t="str">
        <f t="shared" si="36"/>
        <v>0.0128367884383967-0.112570001781045i</v>
      </c>
      <c r="K90" s="78" t="str">
        <f t="shared" si="37"/>
        <v>0.0259579861159771-0.250693498312345i</v>
      </c>
      <c r="L90" s="78" t="str">
        <f t="shared" si="38"/>
        <v>-0.0209888289801559+0.0224345639693199i</v>
      </c>
      <c r="M90" s="73">
        <f t="shared" si="39"/>
        <v>-30.251013439654617</v>
      </c>
      <c r="N90" s="73">
        <f t="shared" si="40"/>
        <v>313.09310325731775</v>
      </c>
      <c r="O90" s="73">
        <f t="shared" si="28"/>
        <v>-46.90689674268225</v>
      </c>
    </row>
    <row r="91" spans="1:18" ht="15" x14ac:dyDescent="0.2">
      <c r="A91" s="74">
        <f t="shared" si="41"/>
        <v>90</v>
      </c>
      <c r="B91" s="73">
        <f t="shared" si="42"/>
        <v>90000</v>
      </c>
      <c r="C91" s="73">
        <f t="shared" si="29"/>
        <v>397.42078776290634</v>
      </c>
      <c r="D91" s="54" t="str">
        <f t="shared" si="30"/>
        <v>0.000859838346443571-0.0000326713707200852i</v>
      </c>
      <c r="E91" s="54" t="str">
        <f t="shared" si="31"/>
        <v>-0.2712652586708-0.217981011431893i</v>
      </c>
      <c r="F91" s="73" t="str">
        <f t="shared" si="32"/>
        <v>-0.000240366009897519-0.000178565824596183i</v>
      </c>
      <c r="G91" s="73" t="str">
        <f t="shared" si="33"/>
        <v>-0.0955264490048985-0.070965770678548i</v>
      </c>
      <c r="H91" s="76">
        <f t="shared" si="34"/>
        <v>0.11900186161352996</v>
      </c>
      <c r="I91" s="54" t="str">
        <f t="shared" si="35"/>
        <v>2.22437137330754-0.0228032012453464i</v>
      </c>
      <c r="J91" s="78" t="str">
        <f t="shared" si="36"/>
        <v>0.0125566733034253-0.111350811667344i</v>
      </c>
      <c r="K91" s="78" t="str">
        <f t="shared" si="37"/>
        <v>0.0253915496728312-0.247971890215709i</v>
      </c>
      <c r="L91" s="78" t="str">
        <f t="shared" si="38"/>
        <v>-0.0200230808707511+0.0218859432340841i</v>
      </c>
      <c r="M91" s="73">
        <f t="shared" si="39"/>
        <v>-30.555576604785863</v>
      </c>
      <c r="N91" s="73">
        <f t="shared" si="40"/>
        <v>312.45486942117168</v>
      </c>
      <c r="O91" s="73">
        <f t="shared" si="28"/>
        <v>-47.545130578828321</v>
      </c>
    </row>
    <row r="92" spans="1:18" ht="15" x14ac:dyDescent="0.2">
      <c r="A92" s="74">
        <f t="shared" si="41"/>
        <v>91</v>
      </c>
      <c r="B92" s="73">
        <f t="shared" si="42"/>
        <v>91000</v>
      </c>
      <c r="C92" s="73">
        <f t="shared" si="29"/>
        <v>397.42078776290634</v>
      </c>
      <c r="D92" s="54" t="str">
        <f t="shared" si="30"/>
        <v>0.000859838323092644-0.0000323123446689713i</v>
      </c>
      <c r="E92" s="54" t="str">
        <f t="shared" si="31"/>
        <v>-0.267033311733552-0.210171521949085i</v>
      </c>
      <c r="F92" s="73" t="str">
        <f t="shared" si="32"/>
        <v>-0.000236396609627674-0.000172085056587699i</v>
      </c>
      <c r="G92" s="73" t="str">
        <f t="shared" si="33"/>
        <v>-0.0939489268227104-0.0683901787513077i</v>
      </c>
      <c r="H92" s="76">
        <f t="shared" si="34"/>
        <v>0.11620506615795551</v>
      </c>
      <c r="I92" s="54" t="str">
        <f t="shared" si="35"/>
        <v>2.22437137330754-0.0225526166162767i</v>
      </c>
      <c r="J92" s="78" t="str">
        <f t="shared" si="36"/>
        <v>0.0122855906207572-0.110157409573103i</v>
      </c>
      <c r="K92" s="78" t="str">
        <f t="shared" si="37"/>
        <v>0.0248433782554436-0.245308060627299i</v>
      </c>
      <c r="L92" s="78" t="str">
        <f t="shared" si="38"/>
        <v>-0.0191106708411872+0.021347385957219i</v>
      </c>
      <c r="M92" s="73">
        <f t="shared" si="39"/>
        <v>-30.856945994673023</v>
      </c>
      <c r="N92" s="73">
        <f t="shared" si="40"/>
        <v>311.83563618244534</v>
      </c>
      <c r="O92" s="73">
        <f t="shared" si="28"/>
        <v>-48.164363817554658</v>
      </c>
    </row>
    <row r="93" spans="1:18" ht="15" x14ac:dyDescent="0.2">
      <c r="A93" s="74">
        <f t="shared" si="41"/>
        <v>92</v>
      </c>
      <c r="B93" s="73">
        <f t="shared" si="42"/>
        <v>92000</v>
      </c>
      <c r="C93" s="73">
        <f t="shared" si="29"/>
        <v>397.42078776290634</v>
      </c>
      <c r="D93" s="54" t="str">
        <f t="shared" si="30"/>
        <v>0.00085983830049902-0.0000319611235319879i</v>
      </c>
      <c r="E93" s="54" t="str">
        <f t="shared" si="31"/>
        <v>-0.262827164292679-0.202717128730101i</v>
      </c>
      <c r="F93" s="73" t="str">
        <f t="shared" si="32"/>
        <v>-0.000232467929463786-0.000165903699983811i</v>
      </c>
      <c r="G93" s="73" t="str">
        <f t="shared" si="33"/>
        <v>-0.0923875876571096-0.065933579140347i</v>
      </c>
      <c r="H93" s="76">
        <f t="shared" si="34"/>
        <v>0.11350199650823993</v>
      </c>
      <c r="I93" s="54" t="str">
        <f t="shared" si="35"/>
        <v>2.22437137330754-0.0223074794791432i</v>
      </c>
      <c r="J93" s="78" t="str">
        <f t="shared" si="36"/>
        <v>0.0120231577448247-0.108988996796318i</v>
      </c>
      <c r="K93" s="78" t="str">
        <f t="shared" si="37"/>
        <v>0.0243126980948626-0.242700210823904i</v>
      </c>
      <c r="L93" s="78" t="str">
        <f t="shared" si="38"/>
        <v>-0.0182482850841567+0.0208194637979394i</v>
      </c>
      <c r="M93" s="73">
        <f t="shared" si="39"/>
        <v>-31.155161820151744</v>
      </c>
      <c r="N93" s="73">
        <f t="shared" si="40"/>
        <v>311.23460406784261</v>
      </c>
      <c r="O93" s="73">
        <f t="shared" si="28"/>
        <v>-48.765395932157389</v>
      </c>
    </row>
    <row r="94" spans="1:18" ht="15" x14ac:dyDescent="0.2">
      <c r="A94" s="74">
        <f t="shared" si="41"/>
        <v>93</v>
      </c>
      <c r="B94" s="73">
        <f t="shared" si="42"/>
        <v>93000</v>
      </c>
      <c r="C94" s="73">
        <f t="shared" si="29"/>
        <v>397.42078776290634</v>
      </c>
      <c r="D94" s="54" t="str">
        <f t="shared" si="30"/>
        <v>0.000859838278630292-0.0000316174555377123i</v>
      </c>
      <c r="E94" s="54" t="str">
        <f t="shared" si="31"/>
        <v>-0.258653901662655-0.195599388962652i</v>
      </c>
      <c r="F94" s="73" t="str">
        <f t="shared" si="32"/>
        <v>-0.000228584880550356-0.000160005863671309i</v>
      </c>
      <c r="G94" s="73" t="str">
        <f t="shared" si="33"/>
        <v>-0.0908443832990123-0.0635896563869358i</v>
      </c>
      <c r="H94" s="76">
        <f t="shared" si="34"/>
        <v>0.11088889203336116</v>
      </c>
      <c r="I94" s="54" t="str">
        <f t="shared" si="35"/>
        <v>2.22437137330755-0.0220676141083997i</v>
      </c>
      <c r="J94" s="78" t="str">
        <f t="shared" si="36"/>
        <v>0.0117690119990094-0.107844806808565i</v>
      </c>
      <c r="K94" s="78" t="str">
        <f t="shared" si="37"/>
        <v>0.0237987758024632-0.240146615040086i</v>
      </c>
      <c r="L94" s="78" t="str">
        <f t="shared" si="38"/>
        <v>-0.017432825843931+0.0203026151689536i</v>
      </c>
      <c r="M94" s="73">
        <f t="shared" si="39"/>
        <v>-31.450265691028797</v>
      </c>
      <c r="N94" s="73">
        <f t="shared" si="40"/>
        <v>310.65101367823331</v>
      </c>
      <c r="O94" s="73">
        <f t="shared" si="28"/>
        <v>-49.348986321766688</v>
      </c>
    </row>
    <row r="95" spans="1:18" ht="15" x14ac:dyDescent="0.2">
      <c r="A95" s="74">
        <f t="shared" si="41"/>
        <v>94</v>
      </c>
      <c r="B95" s="73">
        <f t="shared" si="42"/>
        <v>94000</v>
      </c>
      <c r="C95" s="73">
        <f t="shared" si="29"/>
        <v>397.42078776290634</v>
      </c>
      <c r="D95" s="54" t="str">
        <f t="shared" si="30"/>
        <v>0.000859838257455785-0.0000312810996283995i</v>
      </c>
      <c r="E95" s="54" t="str">
        <f t="shared" si="31"/>
        <v>-0.254519586567639-0.188800829682434i</v>
      </c>
      <c r="F95" s="73" t="str">
        <f t="shared" si="32"/>
        <v>-0.000224751575365906-0.000154376523855549i</v>
      </c>
      <c r="G95" s="73" t="str">
        <f t="shared" si="33"/>
        <v>-0.0893209481328726-0.0613524397227714i</v>
      </c>
      <c r="H95" s="76">
        <f t="shared" si="34"/>
        <v>0.10836214115313345</v>
      </c>
      <c r="I95" s="54" t="str">
        <f t="shared" si="35"/>
        <v>2.22437137330754-0.0218328522561828i</v>
      </c>
      <c r="J95" s="78" t="str">
        <f t="shared" si="36"/>
        <v>0.01152280944306-0.106724103676718i</v>
      </c>
      <c r="K95" s="78" t="str">
        <f t="shared" si="37"/>
        <v>0.0233009158774731-0.237645616856544i</v>
      </c>
      <c r="L95" s="78" t="str">
        <f t="shared" si="38"/>
        <v>-0.0166613982821121+0.0197971637803898i</v>
      </c>
      <c r="M95" s="73">
        <f t="shared" si="39"/>
        <v>-31.742300321901951</v>
      </c>
      <c r="N95" s="73">
        <f t="shared" si="40"/>
        <v>310.08414362426822</v>
      </c>
      <c r="O95" s="73">
        <f t="shared" si="28"/>
        <v>-49.915856375731778</v>
      </c>
    </row>
    <row r="96" spans="1:18" ht="15" x14ac:dyDescent="0.2">
      <c r="A96" s="74">
        <f t="shared" si="41"/>
        <v>95</v>
      </c>
      <c r="B96" s="73">
        <f t="shared" si="42"/>
        <v>95000</v>
      </c>
      <c r="C96" s="73">
        <f t="shared" si="29"/>
        <v>397.42078776290634</v>
      </c>
      <c r="D96" s="54" t="str">
        <f t="shared" si="30"/>
        <v>0.000859838236946421-0.0000309518248961044i</v>
      </c>
      <c r="E96" s="54" t="str">
        <f t="shared" si="31"/>
        <v>-0.250429376037459-0.18230490975907i</v>
      </c>
      <c r="F96" s="73" t="str">
        <f t="shared" si="32"/>
        <v>-0.000220971422816204-0.000149001485997963i</v>
      </c>
      <c r="G96" s="73" t="str">
        <f t="shared" si="33"/>
        <v>-0.087818636928706-0.0592162879431541i</v>
      </c>
      <c r="H96" s="76">
        <f t="shared" si="34"/>
        <v>0.10591827863868647</v>
      </c>
      <c r="I96" s="54" t="str">
        <f t="shared" si="35"/>
        <v>2.22437137330753-0.0216030327587492i</v>
      </c>
      <c r="J96" s="78" t="str">
        <f t="shared" si="36"/>
        <v>0.0112842237280075-0.105626180575006i</v>
      </c>
      <c r="K96" s="78" t="str">
        <f t="shared" si="37"/>
        <v>0.022818458391434-0.235195625797708i</v>
      </c>
      <c r="L96" s="78" t="str">
        <f t="shared" si="38"/>
        <v>-0.0159312978129575+0.0193033348666227i</v>
      </c>
      <c r="M96" s="73">
        <f t="shared" si="39"/>
        <v>-32.031309273704757</v>
      </c>
      <c r="N96" s="73">
        <f t="shared" si="40"/>
        <v>309.53330854038893</v>
      </c>
      <c r="O96" s="73">
        <f t="shared" si="28"/>
        <v>-50.46669145961107</v>
      </c>
    </row>
    <row r="97" spans="1:18" ht="15" x14ac:dyDescent="0.2">
      <c r="A97" s="74">
        <f t="shared" si="41"/>
        <v>96</v>
      </c>
      <c r="B97" s="73">
        <f t="shared" si="42"/>
        <v>96000</v>
      </c>
      <c r="C97" s="73">
        <f t="shared" si="29"/>
        <v>397.42078776290634</v>
      </c>
      <c r="D97" s="54" t="str">
        <f t="shared" si="30"/>
        <v>0.000859838217074631-0.0000306294100540458i</v>
      </c>
      <c r="E97" s="54" t="str">
        <f t="shared" si="31"/>
        <v>-0.246387625758944-0.176095980292277i</v>
      </c>
      <c r="F97" s="73" t="str">
        <f t="shared" si="32"/>
        <v>-0.000217247212831063-0.000143867346106907i</v>
      </c>
      <c r="G97" s="73" t="str">
        <f t="shared" si="33"/>
        <v>-0.0863385584626168-0.0571758740231657i</v>
      </c>
      <c r="H97" s="76">
        <f t="shared" si="34"/>
        <v>0.10355398228805889</v>
      </c>
      <c r="I97" s="54" t="str">
        <f t="shared" si="35"/>
        <v>2.22437137330754-0.0213780011675123i</v>
      </c>
      <c r="J97" s="78" t="str">
        <f t="shared" si="36"/>
        <v>0.0110529450315803-0.104550358381543i</v>
      </c>
      <c r="K97" s="78" t="str">
        <f t="shared" si="37"/>
        <v>0.0223507768354446-0.232795114124738i</v>
      </c>
      <c r="L97" s="78" t="str">
        <f t="shared" si="38"/>
        <v>-0.0152399979708964+0.018821269370007i</v>
      </c>
      <c r="M97" s="73">
        <f t="shared" si="39"/>
        <v>-32.317336727082534</v>
      </c>
      <c r="N97" s="73">
        <f t="shared" si="40"/>
        <v>308.99785718101725</v>
      </c>
      <c r="O97" s="73">
        <f t="shared" si="28"/>
        <v>-51.002142818982747</v>
      </c>
    </row>
    <row r="98" spans="1:18" ht="15" x14ac:dyDescent="0.2">
      <c r="A98" s="74">
        <f t="shared" si="41"/>
        <v>97</v>
      </c>
      <c r="B98" s="73">
        <f t="shared" si="42"/>
        <v>97000</v>
      </c>
      <c r="C98" s="73">
        <f t="shared" si="29"/>
        <v>397.42078776290634</v>
      </c>
      <c r="D98" s="54" t="str">
        <f t="shared" si="30"/>
        <v>0.000859838197814256-0.0000303136429406709i</v>
      </c>
      <c r="E98" s="54" t="str">
        <f t="shared" si="31"/>
        <v>-0.242397983147737-0.170159244212842i</v>
      </c>
      <c r="F98" s="73" t="str">
        <f>IMPRODUCT(D98,E98)</f>
        <v>-0.000213581191555683-0.000138961451974727i</v>
      </c>
      <c r="G98" s="73" t="str">
        <f>IMPRODUCT(C98,F98)</f>
        <v>-0.0848816053993997-0.0552261697124733i</v>
      </c>
      <c r="H98" s="76">
        <f>IMABS(G98)</f>
        <v>0.10126606912628881</v>
      </c>
      <c r="I98" s="54" t="str">
        <f t="shared" si="35"/>
        <v>2.22437137330753-0.0211576094028987i</v>
      </c>
      <c r="J98" s="78" t="str">
        <f t="shared" si="36"/>
        <v>0.0108286790677418-0.103495984353934i</v>
      </c>
      <c r="K98" s="78" t="str">
        <f>IMPRODUCT(I98,J98)</f>
        <v>0.0218972761172903-0.230442613811239i</v>
      </c>
      <c r="L98" s="78" t="str">
        <f>IMPRODUCT(G98,K98)</f>
        <v>-0.014585138850035+0.0183510363256375i</v>
      </c>
      <c r="M98" s="73">
        <f>20*LOG(IMABS(L98))</f>
        <v>-32.600427284093072</v>
      </c>
      <c r="N98" s="73">
        <f t="shared" si="40"/>
        <v>308.47717060095624</v>
      </c>
      <c r="O98" s="73">
        <f t="shared" si="28"/>
        <v>-51.522829399043758</v>
      </c>
    </row>
    <row r="99" spans="1:18" ht="15" x14ac:dyDescent="0.2">
      <c r="A99" s="74">
        <f t="shared" si="41"/>
        <v>98</v>
      </c>
      <c r="B99" s="73">
        <f t="shared" si="42"/>
        <v>98000</v>
      </c>
      <c r="C99" s="73">
        <f t="shared" si="29"/>
        <v>397.42078776290634</v>
      </c>
      <c r="D99" s="54" t="str">
        <f t="shared" si="30"/>
        <v>0.000859838179140474-0.000030004320054082i</v>
      </c>
      <c r="E99" s="54" t="str">
        <f t="shared" si="31"/>
        <v>-0.238463470296582-0.164480715716955i</v>
      </c>
      <c r="F99" s="73" t="str">
        <f>IMPRODUCT(D99,E99)</f>
        <v>-0.000209975128128428-0.000134271864821803i</v>
      </c>
      <c r="G99" s="73" t="str">
        <f>IMPRODUCT(C99,F99)</f>
        <v>-0.0834484808314171-0.0533624302918754i</v>
      </c>
      <c r="H99" s="76">
        <f>IMABS(G99)</f>
        <v>9.9051491254431134E-2</v>
      </c>
      <c r="I99" s="54" t="str">
        <f t="shared" si="35"/>
        <v>2.22437137330755-0.0209417154293998i</v>
      </c>
      <c r="J99" s="78" t="str">
        <f t="shared" si="36"/>
        <v>0.0106111461645327-0.102462430878872i</v>
      </c>
      <c r="K99" s="78" t="str">
        <f>IMPRODUCT(I99,J99)</f>
        <v>0.0214573906966989-0.228136713689824i</v>
      </c>
      <c r="L99" s="78" t="str">
        <f>IMPRODUCT(G99,K99)</f>
        <v>-0.0139645161375365+0.0178926436639896i</v>
      </c>
      <c r="M99" s="73">
        <f>20*LOG(IMABS(L99))</f>
        <v>-32.880625795089891</v>
      </c>
      <c r="N99" s="73">
        <f t="shared" si="40"/>
        <v>307.97066042065171</v>
      </c>
      <c r="O99" s="73">
        <f t="shared" si="28"/>
        <v>-52.029339579348289</v>
      </c>
    </row>
    <row r="100" spans="1:18" ht="15" x14ac:dyDescent="0.2">
      <c r="A100" s="74">
        <f t="shared" si="41"/>
        <v>99</v>
      </c>
      <c r="B100" s="73">
        <f>(fs*1000/2)*(A100/100)</f>
        <v>99000</v>
      </c>
      <c r="C100" s="73">
        <f t="shared" si="29"/>
        <v>397.42078776290634</v>
      </c>
      <c r="D100" s="54" t="str">
        <f t="shared" si="30"/>
        <v>0.000859838161029701-0.0000297012461146802i</v>
      </c>
      <c r="E100" s="54" t="str">
        <f t="shared" si="31"/>
        <v>-0.234586557851577-0.159047180025381i</v>
      </c>
      <c r="F100" s="73" t="str">
        <f>IMPRODUCT(D100,E100)</f>
        <v>-0.000206430373943167-0.000129787321700038i</v>
      </c>
      <c r="G100" s="73" t="str">
        <f>IMPRODUCT(C100,F100)</f>
        <v>-0.0820397218306848-0.0515801796316668i</v>
      </c>
      <c r="H100" s="76">
        <f>IMABS(G100)</f>
        <v>9.6907331450675885E-2</v>
      </c>
      <c r="I100" s="54" t="str">
        <f t="shared" si="35"/>
        <v>2.22437137330754-0.0207301829503149i</v>
      </c>
      <c r="J100" s="78" t="str">
        <f t="shared" si="36"/>
        <v>0.0104000804049089-0.10144909429108i</v>
      </c>
      <c r="K100" s="78" t="str">
        <f>IMPRODUCT(I100,J100)</f>
        <v>0.0210305828479782-0.225876056758547i</v>
      </c>
      <c r="L100" s="78" t="str">
        <f>IMPRODUCT(G100,K100)</f>
        <v>-0.0133760707488837+0.0174460476236258i</v>
      </c>
      <c r="M100" s="73">
        <f>20*LOG(IMABS(L100))</f>
        <v>-33.157977207969836</v>
      </c>
      <c r="N100" s="73">
        <f t="shared" si="40"/>
        <v>307.47776717587857</v>
      </c>
      <c r="O100" s="73">
        <f t="shared" si="28"/>
        <v>-52.522232824121431</v>
      </c>
    </row>
    <row r="101" spans="1:18" ht="15" x14ac:dyDescent="0.2">
      <c r="A101" s="74">
        <f>1+A100</f>
        <v>100</v>
      </c>
      <c r="B101" s="73">
        <f>(fs*1000/2)*(A101/100)</f>
        <v>100000</v>
      </c>
      <c r="C101" s="73">
        <f t="shared" si="29"/>
        <v>397.42078776290634</v>
      </c>
      <c r="D101" s="54" t="str">
        <f t="shared" si="30"/>
        <v>0.00085983814345953-0.0000294042336540504i</v>
      </c>
      <c r="E101" s="54" t="str">
        <f t="shared" si="31"/>
        <v>-0.230769230769231-0.153846153846154i</v>
      </c>
      <c r="F101" s="73" t="str">
        <f>IMPRODUCT(D101,E101)</f>
        <v>-0.000202947915206669-0.000125497198919762i</v>
      </c>
      <c r="G101" s="73" t="str">
        <f>IMPRODUCT(C101,F101)</f>
        <v>-0.0806557203362739-0.04987519565673i</v>
      </c>
      <c r="H101" s="76">
        <f>IMABS(G101)</f>
        <v>9.4830798608681585E-2</v>
      </c>
      <c r="I101" s="54" t="str">
        <f t="shared" si="35"/>
        <v>2.22437137330755-0.0205228811208118i</v>
      </c>
      <c r="J101" s="78" t="str">
        <f t="shared" si="36"/>
        <v>0.0101952288257219-0.100455393757195i</v>
      </c>
      <c r="K101" s="78" t="str">
        <f>IMPRODUCT(I101,J101)</f>
        <v>0.0206163410402325-0.223659337637032i</v>
      </c>
      <c r="L101" s="78" t="str">
        <f>IMPRODUCT(G101,K101)</f>
        <v>-0.0128178790623998+0.0170111609439412i</v>
      </c>
      <c r="M101" s="73">
        <f>20*LOG(IMABS(L101))</f>
        <v>-33.432526437264819</v>
      </c>
      <c r="N101" s="73">
        <f t="shared" si="40"/>
        <v>306.99795875056509</v>
      </c>
      <c r="O101" s="73">
        <f t="shared" si="28"/>
        <v>-53.00204124943491</v>
      </c>
      <c r="P101" s="73">
        <v>-32.747</v>
      </c>
      <c r="Q101" s="73">
        <v>307.64999999999998</v>
      </c>
      <c r="R101" s="73">
        <f>B101</f>
        <v>100000</v>
      </c>
    </row>
  </sheetData>
  <phoneticPr fontId="21" type="noConversion"/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workbookViewId="0">
      <selection activeCell="C34" sqref="C34"/>
    </sheetView>
  </sheetViews>
  <sheetFormatPr defaultRowHeight="12.75" x14ac:dyDescent="0.2"/>
  <cols>
    <col min="1" max="1" width="9.140625" style="13"/>
    <col min="2" max="2" width="19.28515625" style="13" bestFit="1" customWidth="1"/>
    <col min="3" max="3" width="12.42578125" style="13" bestFit="1" customWidth="1"/>
    <col min="4" max="4" width="7.7109375" style="13" customWidth="1"/>
    <col min="5" max="5" width="8.7109375" style="3" customWidth="1"/>
    <col min="6" max="8" width="8.7109375" style="5" customWidth="1"/>
    <col min="9" max="9" width="8.7109375" style="6" customWidth="1"/>
    <col min="10" max="11" width="9.140625" style="37"/>
    <col min="12" max="12" width="4.7109375" style="37" bestFit="1" customWidth="1"/>
    <col min="13" max="13" width="10.28515625" style="3" customWidth="1"/>
    <col min="14" max="14" width="9.140625" style="3"/>
    <col min="15" max="16384" width="9.140625" style="50"/>
  </cols>
  <sheetData>
    <row r="1" spans="1:14" ht="18.75" thickBot="1" x14ac:dyDescent="0.3">
      <c r="A1" s="48"/>
      <c r="B1" s="3"/>
      <c r="C1" s="3"/>
      <c r="D1" s="3"/>
      <c r="E1" s="4" t="s">
        <v>138</v>
      </c>
      <c r="J1" s="4" t="s">
        <v>139</v>
      </c>
      <c r="K1" s="7"/>
      <c r="L1" s="7"/>
      <c r="N1" s="7"/>
    </row>
    <row r="2" spans="1:14" ht="13.5" thickBot="1" x14ac:dyDescent="0.25">
      <c r="A2" s="3"/>
      <c r="B2" s="8" t="s">
        <v>140</v>
      </c>
      <c r="C2" s="9">
        <v>127</v>
      </c>
      <c r="D2" s="3"/>
      <c r="E2" s="115" t="s">
        <v>141</v>
      </c>
      <c r="F2" s="116"/>
      <c r="G2" s="117" t="s">
        <v>142</v>
      </c>
      <c r="H2" s="118"/>
      <c r="J2" s="10" t="s">
        <v>143</v>
      </c>
      <c r="K2" s="11">
        <v>1000</v>
      </c>
      <c r="L2" s="12" t="s">
        <v>62</v>
      </c>
      <c r="N2" s="22"/>
    </row>
    <row r="3" spans="1:14" ht="13.5" thickBot="1" x14ac:dyDescent="0.25">
      <c r="B3" s="3"/>
      <c r="C3" s="13" t="s">
        <v>19</v>
      </c>
      <c r="E3" s="14">
        <v>100</v>
      </c>
      <c r="F3" s="15">
        <v>150</v>
      </c>
      <c r="G3" s="16">
        <v>100</v>
      </c>
      <c r="H3" s="17">
        <v>102</v>
      </c>
      <c r="J3" s="10"/>
      <c r="K3" s="18">
        <f>IF(K2&lt;10000,sta*10^INT(LOG(K2)),stb*10^INT(LOG(K2)))</f>
        <v>1000</v>
      </c>
      <c r="L3" s="19" t="s">
        <v>62</v>
      </c>
      <c r="N3" s="26"/>
    </row>
    <row r="4" spans="1:14" ht="13.5" thickBot="1" x14ac:dyDescent="0.25">
      <c r="B4" s="20" t="s">
        <v>144</v>
      </c>
      <c r="C4" s="70">
        <f>(IF((10^(LOG(C2)-INT(LOG(C2)))*100)-VLOOKUP((10^(LOG(C2)-INT(LOG(C2)))*100),E6_s:E6_f,1)&lt;VLOOKUP((10^(LOG(C2)-INT(LOG(C2)))*100),E6_s:E6_f,2)-(10^(LOG(C2)-INT(LOG(C2)))*100),VLOOKUP((10^(LOG(C2)-INT(LOG(C2)))*100),E6_s:E6_f,1),VLOOKUP((10^(LOG(C2)-INT(LOG(C2)))*100),E6_s:E6_f,2)))*10^INT(LOG(C2))/100</f>
        <v>150</v>
      </c>
      <c r="E4" s="15">
        <v>150</v>
      </c>
      <c r="F4" s="14">
        <v>220</v>
      </c>
      <c r="G4" s="17">
        <v>102</v>
      </c>
      <c r="H4" s="16">
        <v>105</v>
      </c>
      <c r="J4" s="21"/>
      <c r="K4" s="22"/>
      <c r="L4" s="23"/>
      <c r="M4" s="5"/>
      <c r="N4" s="26"/>
    </row>
    <row r="5" spans="1:14" ht="13.5" thickBot="1" x14ac:dyDescent="0.25">
      <c r="B5" s="24" t="s">
        <v>145</v>
      </c>
      <c r="C5" s="69">
        <f>(IF((10^(LOG(C2)-INT(LOG(C2)))*100)-VLOOKUP((10^(LOG(C2)-INT(LOG(C2)))*100),E12_s:E12_f,1)&lt;VLOOKUP((10^(LOG(C2)-INT(LOG(C2)))*100),E12_s:E12_f,2)-(10^(LOG(C2)-INT(LOG(C2)))*100),VLOOKUP((10^(LOG(C2)-INT(LOG(C2)))*100),E12_s:E12_f,1),VLOOKUP((10^(LOG(C2)-INT(LOG(C2)))*100),E12_s:E12_f,2)))*10^INT(LOG(C2))/100</f>
        <v>120</v>
      </c>
      <c r="E5" s="14">
        <v>220</v>
      </c>
      <c r="F5" s="15">
        <v>330</v>
      </c>
      <c r="G5" s="16">
        <v>105</v>
      </c>
      <c r="H5" s="17">
        <v>107</v>
      </c>
      <c r="J5" s="25" t="s">
        <v>146</v>
      </c>
      <c r="K5" s="26"/>
      <c r="L5" s="5"/>
      <c r="N5" s="26"/>
    </row>
    <row r="6" spans="1:14" ht="13.5" thickBot="1" x14ac:dyDescent="0.25">
      <c r="B6" s="24" t="s">
        <v>147</v>
      </c>
      <c r="C6" s="69">
        <f>(IF((10^(LOG(C2)-INT(LOG(C2)))*100)-VLOOKUP((10^(LOG(C2)-INT(LOG(C2)))*100),E24_s:E24_f,1)&lt;VLOOKUP((10^(LOG(C2)-INT(LOG(C2)))*100),E24_s:E24_f,2)-(10^(LOG(C2)-INT(LOG(C2)))*100),VLOOKUP((10^(LOG(C2)-INT(LOG(C2)))*100),E24_s:E24_f,1),VLOOKUP((10^(LOG(C2)-INT(LOG(C2)))*100),E24_s:E24_f,2)))*10^INT(LOG(C2))/100</f>
        <v>130</v>
      </c>
      <c r="E6" s="15">
        <v>330</v>
      </c>
      <c r="F6" s="14">
        <v>470</v>
      </c>
      <c r="G6" s="17">
        <v>107</v>
      </c>
      <c r="H6" s="16">
        <v>110</v>
      </c>
      <c r="J6" s="26">
        <v>1</v>
      </c>
      <c r="K6" s="26">
        <v>1.2</v>
      </c>
      <c r="L6" s="27">
        <f>IF((10^(LOG(K2)-INT(LOG(K2))))-VLOOKUP((10^(LOG(K2)-INT(LOG(K2)))),c_s1:C_f1,1)&lt;VLOOKUP((10^(LOG(K2)-INT(LOG(K2)))),c_s1:C_f1,2)-(10^(LOG(K2)-INT(LOG(K2)))),VLOOKUP((10^(LOG(K2)-INT(LOG(K2)))),c_s1:C_f1,1),VLOOKUP((10^(LOG(K2)-INT(LOG(K2)))),c_s1:C_f1,2))</f>
        <v>1</v>
      </c>
      <c r="N6" s="26"/>
    </row>
    <row r="7" spans="1:14" ht="13.5" thickBot="1" x14ac:dyDescent="0.25">
      <c r="B7" s="24" t="s">
        <v>148</v>
      </c>
      <c r="C7" s="69">
        <f>(IF((10^(LOG(C2)-INT(LOG(C2)))*100)-VLOOKUP((10^(LOG(C2)-INT(LOG(C2)))*100),E48_s:E48_f,1)&lt;VLOOKUP((10^(LOG(C2)-INT(LOG(C2)))*100),E48_s:E48_f,2)-(10^(LOG(C2)-INT(LOG(C2)))*100),VLOOKUP((10^(LOG(C2)-INT(LOG(C2)))*100),E48_s:E48_f,1),VLOOKUP((10^(LOG(C2)-INT(LOG(C2)))*100),E48_s:E48_f,2)))*10^INT(LOG(C2))/100</f>
        <v>127</v>
      </c>
      <c r="D7" s="2"/>
      <c r="E7" s="14">
        <v>470</v>
      </c>
      <c r="F7" s="15">
        <v>680</v>
      </c>
      <c r="G7" s="16">
        <v>110</v>
      </c>
      <c r="H7" s="17">
        <v>113</v>
      </c>
      <c r="J7" s="26">
        <v>1.2</v>
      </c>
      <c r="K7" s="26">
        <v>1.5</v>
      </c>
      <c r="L7" s="28"/>
      <c r="N7" s="26"/>
    </row>
    <row r="8" spans="1:14" ht="13.5" thickBot="1" x14ac:dyDescent="0.25">
      <c r="B8" s="29" t="s">
        <v>149</v>
      </c>
      <c r="C8" s="71">
        <f>(IF((10^(LOG(C2)-INT(LOG(C2)))*100)-VLOOKUP((10^(LOG(C2)-INT(LOG(C2)))*100),E96_s:E96_f,1)&lt;VLOOKUP((10^(LOG(C2)-INT(LOG(C2)))*100),E96_s:E96_f,2)-(10^(LOG(C2)-INT(LOG(C2)))*100),VLOOKUP((10^(LOG(C2)-INT(LOG(C2)))*100),E96_s:E96_f,1),VLOOKUP((10^(LOG(C2)-INT(LOG(C2)))*100),E96_s:E96_f,2)))*10^INT(LOG(C2))/100</f>
        <v>127</v>
      </c>
      <c r="D8" s="5"/>
      <c r="E8" s="15">
        <v>680</v>
      </c>
      <c r="F8" s="15">
        <v>1000</v>
      </c>
      <c r="G8" s="17">
        <v>113</v>
      </c>
      <c r="H8" s="16">
        <v>115</v>
      </c>
      <c r="J8" s="26">
        <v>1.5</v>
      </c>
      <c r="K8" s="26">
        <v>1.8</v>
      </c>
      <c r="L8" s="28"/>
      <c r="N8" s="26"/>
    </row>
    <row r="9" spans="1:14" ht="13.5" thickBot="1" x14ac:dyDescent="0.25">
      <c r="B9" s="2"/>
      <c r="C9" s="2"/>
      <c r="D9" s="2"/>
      <c r="E9" s="119" t="s">
        <v>150</v>
      </c>
      <c r="F9" s="120"/>
      <c r="G9" s="16">
        <v>115</v>
      </c>
      <c r="H9" s="17">
        <v>118</v>
      </c>
      <c r="J9" s="26">
        <v>1.8</v>
      </c>
      <c r="K9" s="26">
        <v>2.2000000000000002</v>
      </c>
      <c r="L9" s="31"/>
      <c r="N9" s="26"/>
    </row>
    <row r="10" spans="1:14" ht="13.5" thickBot="1" x14ac:dyDescent="0.25">
      <c r="E10" s="32">
        <v>100</v>
      </c>
      <c r="F10" s="33">
        <v>120</v>
      </c>
      <c r="G10" s="17">
        <v>118</v>
      </c>
      <c r="H10" s="16">
        <v>121</v>
      </c>
      <c r="J10" s="26">
        <v>2.2000000000000002</v>
      </c>
      <c r="K10" s="26">
        <v>2.7</v>
      </c>
      <c r="L10" s="5"/>
      <c r="N10" s="26"/>
    </row>
    <row r="11" spans="1:14" ht="13.5" thickBot="1" x14ac:dyDescent="0.25">
      <c r="E11" s="33">
        <v>120</v>
      </c>
      <c r="F11" s="33">
        <v>150</v>
      </c>
      <c r="G11" s="16">
        <v>121</v>
      </c>
      <c r="H11" s="17">
        <v>124</v>
      </c>
      <c r="J11" s="26">
        <v>2.7</v>
      </c>
      <c r="K11" s="26">
        <v>3.3</v>
      </c>
      <c r="L11" s="5"/>
      <c r="N11" s="26"/>
    </row>
    <row r="12" spans="1:14" ht="13.5" thickBot="1" x14ac:dyDescent="0.25">
      <c r="C12" s="36"/>
      <c r="E12" s="33">
        <v>150</v>
      </c>
      <c r="F12" s="33">
        <v>180</v>
      </c>
      <c r="G12" s="17">
        <v>124</v>
      </c>
      <c r="H12" s="16">
        <v>127</v>
      </c>
      <c r="J12" s="26">
        <v>3.3</v>
      </c>
      <c r="K12" s="26">
        <v>3.9</v>
      </c>
      <c r="L12" s="5"/>
      <c r="N12" s="26"/>
    </row>
    <row r="13" spans="1:14" ht="13.5" thickBot="1" x14ac:dyDescent="0.25">
      <c r="A13" s="2"/>
      <c r="B13" s="2"/>
      <c r="C13" s="2"/>
      <c r="D13" s="2"/>
      <c r="E13" s="33">
        <v>180</v>
      </c>
      <c r="F13" s="32">
        <v>220</v>
      </c>
      <c r="G13" s="16">
        <v>127</v>
      </c>
      <c r="H13" s="17">
        <v>130</v>
      </c>
      <c r="J13" s="26">
        <v>3.9</v>
      </c>
      <c r="K13" s="26">
        <v>4.7</v>
      </c>
      <c r="L13" s="5"/>
      <c r="N13" s="26"/>
    </row>
    <row r="14" spans="1:14" ht="13.5" thickBot="1" x14ac:dyDescent="0.25">
      <c r="A14" s="2"/>
      <c r="B14" s="2"/>
      <c r="C14" s="2"/>
      <c r="D14" s="34"/>
      <c r="E14" s="32">
        <v>220</v>
      </c>
      <c r="F14" s="33">
        <v>270</v>
      </c>
      <c r="G14" s="17">
        <v>130</v>
      </c>
      <c r="H14" s="16">
        <v>133</v>
      </c>
      <c r="J14" s="26">
        <v>4.7</v>
      </c>
      <c r="K14" s="26">
        <v>5.6</v>
      </c>
      <c r="L14" s="5"/>
      <c r="N14" s="26"/>
    </row>
    <row r="15" spans="1:14" ht="13.5" thickBot="1" x14ac:dyDescent="0.25">
      <c r="A15" s="49"/>
      <c r="B15" s="35"/>
      <c r="C15" s="2"/>
      <c r="D15" s="36"/>
      <c r="E15" s="33">
        <v>270</v>
      </c>
      <c r="F15" s="33">
        <v>330</v>
      </c>
      <c r="G15" s="16">
        <v>133</v>
      </c>
      <c r="H15" s="17">
        <v>137</v>
      </c>
      <c r="J15" s="26">
        <v>5.6</v>
      </c>
      <c r="K15" s="26">
        <v>6.8</v>
      </c>
      <c r="L15" s="5"/>
      <c r="N15" s="26"/>
    </row>
    <row r="16" spans="1:14" ht="13.5" thickBot="1" x14ac:dyDescent="0.25">
      <c r="A16" s="49"/>
      <c r="B16" s="35"/>
      <c r="C16" s="2"/>
      <c r="D16" s="36"/>
      <c r="E16" s="33">
        <v>330</v>
      </c>
      <c r="F16" s="33">
        <v>390</v>
      </c>
      <c r="G16" s="17">
        <v>137</v>
      </c>
      <c r="H16" s="16">
        <v>140</v>
      </c>
      <c r="J16" s="26">
        <v>6.8</v>
      </c>
      <c r="K16" s="26">
        <v>8.1999999999999993</v>
      </c>
      <c r="L16" s="5"/>
      <c r="N16" s="26"/>
    </row>
    <row r="17" spans="1:14" ht="13.5" thickBot="1" x14ac:dyDescent="0.25">
      <c r="A17" s="49"/>
      <c r="B17" s="35"/>
      <c r="C17" s="2"/>
      <c r="D17" s="36"/>
      <c r="E17" s="33">
        <v>390</v>
      </c>
      <c r="F17" s="32">
        <v>470</v>
      </c>
      <c r="G17" s="16">
        <v>140</v>
      </c>
      <c r="H17" s="17">
        <v>143</v>
      </c>
      <c r="J17" s="26">
        <v>8.1999999999999993</v>
      </c>
      <c r="K17" s="26">
        <v>10</v>
      </c>
      <c r="L17" s="5"/>
      <c r="N17" s="26"/>
    </row>
    <row r="18" spans="1:14" ht="13.5" thickBot="1" x14ac:dyDescent="0.25">
      <c r="A18" s="49"/>
      <c r="B18" s="35"/>
      <c r="C18" s="2"/>
      <c r="D18" s="36"/>
      <c r="E18" s="32">
        <v>470</v>
      </c>
      <c r="F18" s="33">
        <v>560</v>
      </c>
      <c r="G18" s="17">
        <v>143</v>
      </c>
      <c r="H18" s="16">
        <v>147</v>
      </c>
      <c r="J18" s="25" t="s">
        <v>151</v>
      </c>
      <c r="K18" s="26"/>
      <c r="L18" s="26"/>
      <c r="N18" s="26"/>
    </row>
    <row r="19" spans="1:14" ht="13.5" thickBot="1" x14ac:dyDescent="0.25">
      <c r="A19" s="49"/>
      <c r="B19" s="35"/>
      <c r="C19" s="2"/>
      <c r="D19" s="36"/>
      <c r="E19" s="33">
        <v>560</v>
      </c>
      <c r="F19" s="33">
        <v>680</v>
      </c>
      <c r="G19" s="16">
        <v>147</v>
      </c>
      <c r="H19" s="17">
        <v>150</v>
      </c>
      <c r="J19" s="26">
        <v>1</v>
      </c>
      <c r="K19" s="26">
        <v>1.5</v>
      </c>
      <c r="L19" s="27">
        <f>IF((10^(LOG(K2)-INT(LOG(K2))))-VLOOKUP((10^(LOG(K2)-INT(LOG(K2)))),C_s2:C_f2,1)&lt;VLOOKUP((10^(LOG(K2)-INT(LOG(K2)))),C_s2:C_f2,2)-(10^(LOG(K2)-INT(LOG(K2)))),VLOOKUP((10^(LOG(K2)-INT(LOG(K2)))),C_s2:C_f2,1),VLOOKUP((10^(LOG(K2)-INT(LOG(K2)))),C_s2:C_f2,2))</f>
        <v>1</v>
      </c>
      <c r="N19" s="26"/>
    </row>
    <row r="20" spans="1:14" ht="13.5" thickBot="1" x14ac:dyDescent="0.25">
      <c r="A20" s="49"/>
      <c r="B20" s="35"/>
      <c r="C20" s="2"/>
      <c r="D20" s="36"/>
      <c r="E20" s="30">
        <v>680</v>
      </c>
      <c r="F20" s="33">
        <v>820</v>
      </c>
      <c r="G20" s="17">
        <v>150</v>
      </c>
      <c r="H20" s="16">
        <v>154</v>
      </c>
      <c r="J20" s="26">
        <v>1.5</v>
      </c>
      <c r="K20" s="26">
        <v>2.2000000000000002</v>
      </c>
      <c r="N20" s="26"/>
    </row>
    <row r="21" spans="1:14" ht="13.5" thickBot="1" x14ac:dyDescent="0.25">
      <c r="A21" s="49"/>
      <c r="B21" s="35"/>
      <c r="C21" s="2"/>
      <c r="D21" s="36"/>
      <c r="E21" s="30">
        <v>820</v>
      </c>
      <c r="F21" s="33">
        <v>1000</v>
      </c>
      <c r="G21" s="16">
        <v>154</v>
      </c>
      <c r="H21" s="17">
        <v>158</v>
      </c>
      <c r="J21" s="26">
        <v>2.2000000000000002</v>
      </c>
      <c r="K21" s="26">
        <v>3.3</v>
      </c>
      <c r="L21" s="27"/>
      <c r="N21" s="26"/>
    </row>
    <row r="22" spans="1:14" ht="13.5" thickBot="1" x14ac:dyDescent="0.25">
      <c r="A22" s="49"/>
      <c r="B22" s="35"/>
      <c r="C22" s="2"/>
      <c r="D22" s="36"/>
      <c r="E22" s="121" t="s">
        <v>152</v>
      </c>
      <c r="F22" s="122"/>
      <c r="G22" s="17">
        <v>158</v>
      </c>
      <c r="H22" s="16">
        <v>162</v>
      </c>
      <c r="J22" s="26">
        <v>3.3</v>
      </c>
      <c r="K22" s="26">
        <v>4.7</v>
      </c>
      <c r="L22" s="27"/>
      <c r="N22" s="26"/>
    </row>
    <row r="23" spans="1:14" ht="13.5" thickBot="1" x14ac:dyDescent="0.25">
      <c r="A23" s="49"/>
      <c r="B23" s="35"/>
      <c r="C23" s="2"/>
      <c r="D23" s="36"/>
      <c r="E23" s="38">
        <v>100</v>
      </c>
      <c r="F23" s="39">
        <v>110</v>
      </c>
      <c r="G23" s="16">
        <v>162</v>
      </c>
      <c r="H23" s="17">
        <v>165</v>
      </c>
      <c r="J23" s="26">
        <v>4.7</v>
      </c>
      <c r="K23" s="26">
        <v>6.8</v>
      </c>
      <c r="L23" s="5"/>
    </row>
    <row r="24" spans="1:14" ht="13.5" thickBot="1" x14ac:dyDescent="0.25">
      <c r="A24" s="49"/>
      <c r="B24" s="35"/>
      <c r="C24" s="2"/>
      <c r="D24" s="36"/>
      <c r="E24" s="39">
        <v>110</v>
      </c>
      <c r="F24" s="39">
        <v>120</v>
      </c>
      <c r="G24" s="17">
        <v>165</v>
      </c>
      <c r="H24" s="16">
        <v>169</v>
      </c>
      <c r="J24" s="26">
        <v>6.8</v>
      </c>
      <c r="K24" s="26">
        <v>10</v>
      </c>
      <c r="L24" s="5"/>
    </row>
    <row r="25" spans="1:14" ht="13.5" thickBot="1" x14ac:dyDescent="0.25">
      <c r="A25" s="49"/>
      <c r="B25" s="35"/>
      <c r="C25" s="2"/>
      <c r="D25" s="36"/>
      <c r="E25" s="39">
        <v>120</v>
      </c>
      <c r="F25" s="39">
        <v>130</v>
      </c>
      <c r="G25" s="16">
        <v>169</v>
      </c>
      <c r="H25" s="17">
        <v>174</v>
      </c>
      <c r="J25" s="40"/>
      <c r="K25" s="40"/>
      <c r="L25" s="40"/>
    </row>
    <row r="26" spans="1:14" ht="13.5" thickBot="1" x14ac:dyDescent="0.25">
      <c r="A26" s="49"/>
      <c r="B26" s="35"/>
      <c r="C26" s="2"/>
      <c r="D26" s="36"/>
      <c r="E26" s="39">
        <v>130</v>
      </c>
      <c r="F26" s="39">
        <v>150</v>
      </c>
      <c r="G26" s="17">
        <v>174</v>
      </c>
      <c r="H26" s="16">
        <v>178</v>
      </c>
      <c r="J26" s="40"/>
      <c r="K26" s="40"/>
      <c r="L26" s="40"/>
    </row>
    <row r="27" spans="1:14" ht="13.5" thickBot="1" x14ac:dyDescent="0.25">
      <c r="A27" s="49"/>
      <c r="B27" s="35"/>
      <c r="C27" s="2"/>
      <c r="D27" s="36"/>
      <c r="E27" s="39">
        <v>150</v>
      </c>
      <c r="F27" s="39">
        <v>160</v>
      </c>
      <c r="G27" s="16">
        <v>178</v>
      </c>
      <c r="H27" s="17">
        <v>182</v>
      </c>
      <c r="I27" s="41"/>
      <c r="J27" s="40"/>
      <c r="K27" s="40"/>
      <c r="L27" s="40"/>
    </row>
    <row r="28" spans="1:14" ht="13.5" thickBot="1" x14ac:dyDescent="0.25">
      <c r="A28" s="49"/>
      <c r="B28" s="35"/>
      <c r="C28" s="2"/>
      <c r="D28" s="36"/>
      <c r="E28" s="39">
        <v>160</v>
      </c>
      <c r="F28" s="39">
        <v>180</v>
      </c>
      <c r="G28" s="17">
        <v>182</v>
      </c>
      <c r="H28" s="16">
        <v>187</v>
      </c>
      <c r="I28" s="41"/>
      <c r="J28" s="40"/>
      <c r="K28" s="40"/>
      <c r="L28" s="40"/>
    </row>
    <row r="29" spans="1:14" ht="13.5" thickBot="1" x14ac:dyDescent="0.25">
      <c r="A29" s="49"/>
      <c r="B29" s="35"/>
      <c r="C29" s="2"/>
      <c r="D29" s="36"/>
      <c r="E29" s="39">
        <v>180</v>
      </c>
      <c r="F29" s="42">
        <v>200</v>
      </c>
      <c r="G29" s="16">
        <v>187</v>
      </c>
      <c r="H29" s="17">
        <v>191</v>
      </c>
      <c r="I29" s="41"/>
      <c r="J29" s="40"/>
      <c r="K29" s="40"/>
      <c r="L29" s="40"/>
    </row>
    <row r="30" spans="1:14" ht="13.5" thickBot="1" x14ac:dyDescent="0.25">
      <c r="A30" s="49"/>
      <c r="B30" s="35"/>
      <c r="C30" s="2"/>
      <c r="D30" s="36"/>
      <c r="E30" s="42">
        <v>200</v>
      </c>
      <c r="F30" s="38">
        <v>220</v>
      </c>
      <c r="G30" s="17">
        <v>191</v>
      </c>
      <c r="H30" s="16">
        <v>196</v>
      </c>
      <c r="I30" s="41"/>
      <c r="J30" s="40"/>
      <c r="K30" s="40"/>
      <c r="L30" s="40"/>
    </row>
    <row r="31" spans="1:14" ht="13.5" thickBot="1" x14ac:dyDescent="0.25">
      <c r="A31" s="49"/>
      <c r="B31" s="35"/>
      <c r="C31" s="2"/>
      <c r="D31" s="36"/>
      <c r="E31" s="38">
        <v>220</v>
      </c>
      <c r="F31" s="39">
        <v>240</v>
      </c>
      <c r="G31" s="16">
        <v>196</v>
      </c>
      <c r="H31" s="17">
        <v>200</v>
      </c>
      <c r="I31" s="41"/>
      <c r="J31" s="40"/>
      <c r="K31" s="40"/>
      <c r="L31" s="40"/>
      <c r="N31" s="45"/>
    </row>
    <row r="32" spans="1:14" ht="13.5" thickBot="1" x14ac:dyDescent="0.25">
      <c r="A32" s="49"/>
      <c r="B32" s="35"/>
      <c r="C32" s="2"/>
      <c r="D32" s="36"/>
      <c r="E32" s="39">
        <v>240</v>
      </c>
      <c r="F32" s="39">
        <v>270</v>
      </c>
      <c r="G32" s="17">
        <v>200</v>
      </c>
      <c r="H32" s="16">
        <v>205</v>
      </c>
      <c r="I32" s="41"/>
      <c r="J32" s="40"/>
      <c r="K32" s="40"/>
      <c r="L32" s="40"/>
      <c r="N32" s="45"/>
    </row>
    <row r="33" spans="1:14" s="45" customFormat="1" ht="13.5" thickBot="1" x14ac:dyDescent="0.25">
      <c r="A33" s="49"/>
      <c r="B33" s="35"/>
      <c r="C33" s="2"/>
      <c r="D33" s="36"/>
      <c r="E33" s="39">
        <v>270</v>
      </c>
      <c r="F33" s="39">
        <v>300</v>
      </c>
      <c r="G33" s="16">
        <v>205</v>
      </c>
      <c r="H33" s="17">
        <v>210</v>
      </c>
      <c r="I33" s="43"/>
      <c r="J33" s="40"/>
      <c r="K33" s="40"/>
      <c r="L33" s="40"/>
    </row>
    <row r="34" spans="1:14" s="45" customFormat="1" ht="13.5" thickBot="1" x14ac:dyDescent="0.25">
      <c r="A34" s="44"/>
      <c r="B34" s="44"/>
      <c r="C34" s="44"/>
      <c r="D34" s="44"/>
      <c r="E34" s="39">
        <v>300</v>
      </c>
      <c r="F34" s="39">
        <v>330</v>
      </c>
      <c r="G34" s="17">
        <v>210</v>
      </c>
      <c r="H34" s="16">
        <v>215</v>
      </c>
      <c r="I34" s="6"/>
      <c r="J34" s="40"/>
      <c r="K34" s="40"/>
      <c r="L34" s="40"/>
    </row>
    <row r="35" spans="1:14" s="45" customFormat="1" ht="13.5" thickBot="1" x14ac:dyDescent="0.25">
      <c r="E35" s="39">
        <v>330</v>
      </c>
      <c r="F35" s="39">
        <v>360</v>
      </c>
      <c r="G35" s="16">
        <v>215</v>
      </c>
      <c r="H35" s="17">
        <v>221</v>
      </c>
      <c r="I35" s="6"/>
      <c r="J35" s="40"/>
      <c r="K35" s="40"/>
      <c r="L35" s="40"/>
    </row>
    <row r="36" spans="1:14" s="45" customFormat="1" ht="13.5" thickBot="1" x14ac:dyDescent="0.25">
      <c r="E36" s="39">
        <v>360</v>
      </c>
      <c r="F36" s="39">
        <v>390</v>
      </c>
      <c r="G36" s="17">
        <v>221</v>
      </c>
      <c r="H36" s="16">
        <v>226</v>
      </c>
      <c r="I36" s="6"/>
      <c r="J36" s="40"/>
      <c r="K36" s="40"/>
      <c r="L36" s="40"/>
      <c r="N36" s="3"/>
    </row>
    <row r="37" spans="1:14" s="45" customFormat="1" ht="13.5" thickBot="1" x14ac:dyDescent="0.25">
      <c r="E37" s="39">
        <v>390</v>
      </c>
      <c r="F37" s="42">
        <v>430</v>
      </c>
      <c r="G37" s="16">
        <v>226</v>
      </c>
      <c r="H37" s="17">
        <v>232</v>
      </c>
      <c r="I37" s="41"/>
      <c r="J37" s="40"/>
      <c r="K37" s="40"/>
      <c r="L37" s="40"/>
      <c r="N37" s="3"/>
    </row>
    <row r="38" spans="1:14" ht="13.5" thickBot="1" x14ac:dyDescent="0.25">
      <c r="E38" s="42">
        <v>430</v>
      </c>
      <c r="F38" s="38">
        <v>470</v>
      </c>
      <c r="G38" s="17">
        <v>232</v>
      </c>
      <c r="H38" s="16">
        <v>237</v>
      </c>
      <c r="I38" s="41"/>
      <c r="J38" s="40"/>
      <c r="K38" s="40"/>
      <c r="L38" s="40"/>
    </row>
    <row r="39" spans="1:14" ht="13.5" thickBot="1" x14ac:dyDescent="0.25">
      <c r="E39" s="38">
        <v>470</v>
      </c>
      <c r="F39" s="39">
        <v>510</v>
      </c>
      <c r="G39" s="16">
        <v>237</v>
      </c>
      <c r="H39" s="17">
        <v>243</v>
      </c>
      <c r="I39" s="41"/>
      <c r="J39" s="40"/>
      <c r="K39" s="40"/>
      <c r="L39" s="40"/>
    </row>
    <row r="40" spans="1:14" ht="13.5" thickBot="1" x14ac:dyDescent="0.25">
      <c r="E40" s="39">
        <v>510</v>
      </c>
      <c r="F40" s="39">
        <v>560</v>
      </c>
      <c r="G40" s="17">
        <v>243</v>
      </c>
      <c r="H40" s="16">
        <v>249</v>
      </c>
      <c r="I40" s="41"/>
      <c r="J40" s="40"/>
      <c r="K40" s="40"/>
      <c r="L40" s="40"/>
    </row>
    <row r="41" spans="1:14" ht="13.5" thickBot="1" x14ac:dyDescent="0.25">
      <c r="E41" s="39">
        <v>560</v>
      </c>
      <c r="F41" s="39">
        <v>620</v>
      </c>
      <c r="G41" s="16">
        <v>249</v>
      </c>
      <c r="H41" s="17">
        <v>255</v>
      </c>
      <c r="I41" s="41"/>
      <c r="J41" s="40"/>
      <c r="K41" s="40"/>
      <c r="L41" s="40"/>
    </row>
    <row r="42" spans="1:14" ht="13.5" thickBot="1" x14ac:dyDescent="0.25">
      <c r="E42" s="39">
        <v>620</v>
      </c>
      <c r="F42" s="39">
        <v>680</v>
      </c>
      <c r="G42" s="17">
        <v>255</v>
      </c>
      <c r="H42" s="16">
        <v>261</v>
      </c>
      <c r="I42" s="41"/>
      <c r="J42" s="40"/>
      <c r="K42" s="40"/>
      <c r="L42" s="40"/>
    </row>
    <row r="43" spans="1:14" ht="13.5" thickBot="1" x14ac:dyDescent="0.25">
      <c r="E43" s="39">
        <v>680</v>
      </c>
      <c r="F43" s="39">
        <v>750</v>
      </c>
      <c r="G43" s="16">
        <v>261</v>
      </c>
      <c r="H43" s="17">
        <v>267</v>
      </c>
      <c r="I43" s="41"/>
      <c r="J43" s="40"/>
      <c r="K43" s="40"/>
      <c r="L43" s="40"/>
    </row>
    <row r="44" spans="1:14" ht="13.5" thickBot="1" x14ac:dyDescent="0.25">
      <c r="E44" s="39">
        <v>750</v>
      </c>
      <c r="F44" s="39">
        <v>820</v>
      </c>
      <c r="G44" s="17">
        <v>267</v>
      </c>
      <c r="H44" s="16">
        <v>274</v>
      </c>
      <c r="J44" s="40"/>
      <c r="K44" s="40"/>
      <c r="L44" s="40"/>
    </row>
    <row r="45" spans="1:14" ht="13.5" thickBot="1" x14ac:dyDescent="0.25">
      <c r="E45" s="39">
        <v>820</v>
      </c>
      <c r="F45" s="42">
        <v>910</v>
      </c>
      <c r="G45" s="16">
        <v>274</v>
      </c>
      <c r="H45" s="17">
        <v>280</v>
      </c>
      <c r="J45" s="40"/>
      <c r="K45" s="40"/>
      <c r="L45" s="40"/>
    </row>
    <row r="46" spans="1:14" ht="13.5" thickBot="1" x14ac:dyDescent="0.25">
      <c r="E46" s="42">
        <v>910</v>
      </c>
      <c r="F46" s="42">
        <v>1000</v>
      </c>
      <c r="G46" s="17">
        <v>280</v>
      </c>
      <c r="H46" s="16">
        <v>287</v>
      </c>
      <c r="J46" s="40"/>
      <c r="K46" s="40"/>
      <c r="L46" s="40"/>
    </row>
    <row r="47" spans="1:14" ht="13.5" thickBot="1" x14ac:dyDescent="0.25">
      <c r="E47" s="114" t="s">
        <v>153</v>
      </c>
      <c r="F47" s="114"/>
      <c r="G47" s="16">
        <v>287</v>
      </c>
      <c r="H47" s="17">
        <v>294</v>
      </c>
      <c r="J47" s="40"/>
      <c r="K47" s="40"/>
      <c r="L47" s="40"/>
    </row>
    <row r="48" spans="1:14" ht="13.5" thickBot="1" x14ac:dyDescent="0.25">
      <c r="E48" s="46">
        <v>100</v>
      </c>
      <c r="F48" s="46">
        <v>105</v>
      </c>
      <c r="G48" s="17">
        <v>294</v>
      </c>
      <c r="H48" s="16">
        <v>301</v>
      </c>
      <c r="J48" s="40"/>
      <c r="K48" s="40"/>
      <c r="L48" s="40"/>
    </row>
    <row r="49" spans="5:12" ht="13.5" thickBot="1" x14ac:dyDescent="0.25">
      <c r="E49" s="46">
        <v>105</v>
      </c>
      <c r="F49" s="46">
        <v>110</v>
      </c>
      <c r="G49" s="16">
        <v>301</v>
      </c>
      <c r="H49" s="17">
        <v>309</v>
      </c>
      <c r="J49" s="40"/>
      <c r="K49" s="40"/>
      <c r="L49" s="40"/>
    </row>
    <row r="50" spans="5:12" ht="13.5" thickBot="1" x14ac:dyDescent="0.25">
      <c r="E50" s="46">
        <v>110</v>
      </c>
      <c r="F50" s="46">
        <v>115</v>
      </c>
      <c r="G50" s="17">
        <v>309</v>
      </c>
      <c r="H50" s="16">
        <v>316</v>
      </c>
      <c r="J50" s="40"/>
      <c r="K50" s="40"/>
      <c r="L50" s="40"/>
    </row>
    <row r="51" spans="5:12" ht="13.5" thickBot="1" x14ac:dyDescent="0.25">
      <c r="E51" s="46">
        <v>115</v>
      </c>
      <c r="F51" s="46">
        <v>121</v>
      </c>
      <c r="G51" s="16">
        <v>316</v>
      </c>
      <c r="H51" s="17">
        <v>324</v>
      </c>
      <c r="J51" s="40"/>
      <c r="K51" s="40"/>
      <c r="L51" s="40"/>
    </row>
    <row r="52" spans="5:12" ht="13.5" thickBot="1" x14ac:dyDescent="0.25">
      <c r="E52" s="46">
        <v>121</v>
      </c>
      <c r="F52" s="46">
        <v>127</v>
      </c>
      <c r="G52" s="17">
        <v>324</v>
      </c>
      <c r="H52" s="16">
        <v>332</v>
      </c>
      <c r="J52" s="40"/>
      <c r="K52" s="40"/>
      <c r="L52" s="40"/>
    </row>
    <row r="53" spans="5:12" ht="13.5" thickBot="1" x14ac:dyDescent="0.25">
      <c r="E53" s="46">
        <v>127</v>
      </c>
      <c r="F53" s="46">
        <v>133</v>
      </c>
      <c r="G53" s="16">
        <v>332</v>
      </c>
      <c r="H53" s="17">
        <v>340</v>
      </c>
      <c r="J53" s="40"/>
      <c r="K53" s="40"/>
      <c r="L53" s="40"/>
    </row>
    <row r="54" spans="5:12" ht="13.5" thickBot="1" x14ac:dyDescent="0.25">
      <c r="E54" s="46">
        <v>133</v>
      </c>
      <c r="F54" s="46">
        <v>140</v>
      </c>
      <c r="G54" s="17">
        <v>340</v>
      </c>
      <c r="H54" s="16">
        <v>348</v>
      </c>
      <c r="J54" s="40"/>
      <c r="K54" s="40"/>
      <c r="L54" s="40"/>
    </row>
    <row r="55" spans="5:12" ht="13.5" thickBot="1" x14ac:dyDescent="0.25">
      <c r="E55" s="46">
        <v>140</v>
      </c>
      <c r="F55" s="46">
        <v>147</v>
      </c>
      <c r="G55" s="16">
        <v>348</v>
      </c>
      <c r="H55" s="17">
        <v>357</v>
      </c>
      <c r="J55" s="40"/>
      <c r="K55" s="40"/>
      <c r="L55" s="40"/>
    </row>
    <row r="56" spans="5:12" ht="13.5" thickBot="1" x14ac:dyDescent="0.25">
      <c r="E56" s="46">
        <v>147</v>
      </c>
      <c r="F56" s="46">
        <v>154</v>
      </c>
      <c r="G56" s="17">
        <v>357</v>
      </c>
      <c r="H56" s="16">
        <v>365</v>
      </c>
      <c r="J56" s="40"/>
      <c r="K56" s="40"/>
      <c r="L56" s="40"/>
    </row>
    <row r="57" spans="5:12" ht="13.5" thickBot="1" x14ac:dyDescent="0.25">
      <c r="E57" s="46">
        <v>154</v>
      </c>
      <c r="F57" s="46">
        <v>162</v>
      </c>
      <c r="G57" s="16">
        <v>365</v>
      </c>
      <c r="H57" s="17">
        <v>374</v>
      </c>
      <c r="J57" s="40"/>
      <c r="K57" s="40"/>
      <c r="L57" s="40"/>
    </row>
    <row r="58" spans="5:12" ht="13.5" thickBot="1" x14ac:dyDescent="0.25">
      <c r="E58" s="46">
        <v>162</v>
      </c>
      <c r="F58" s="46">
        <v>169</v>
      </c>
      <c r="G58" s="17">
        <v>374</v>
      </c>
      <c r="H58" s="16">
        <v>383</v>
      </c>
      <c r="J58" s="40"/>
      <c r="K58" s="40"/>
      <c r="L58" s="40"/>
    </row>
    <row r="59" spans="5:12" ht="13.5" thickBot="1" x14ac:dyDescent="0.25">
      <c r="E59" s="46">
        <v>169</v>
      </c>
      <c r="F59" s="46">
        <v>178</v>
      </c>
      <c r="G59" s="16">
        <v>383</v>
      </c>
      <c r="H59" s="17">
        <v>392</v>
      </c>
      <c r="J59" s="40"/>
      <c r="K59" s="40"/>
      <c r="L59" s="40"/>
    </row>
    <row r="60" spans="5:12" ht="13.5" thickBot="1" x14ac:dyDescent="0.25">
      <c r="E60" s="46">
        <v>178</v>
      </c>
      <c r="F60" s="46">
        <v>187</v>
      </c>
      <c r="G60" s="17">
        <v>392</v>
      </c>
      <c r="H60" s="16">
        <v>402</v>
      </c>
      <c r="J60" s="40"/>
      <c r="K60" s="40"/>
      <c r="L60" s="40"/>
    </row>
    <row r="61" spans="5:12" ht="13.5" thickBot="1" x14ac:dyDescent="0.25">
      <c r="E61" s="46">
        <v>187</v>
      </c>
      <c r="F61" s="46">
        <v>196</v>
      </c>
      <c r="G61" s="16">
        <v>402</v>
      </c>
      <c r="H61" s="17">
        <v>412</v>
      </c>
      <c r="J61" s="40"/>
      <c r="K61" s="40"/>
      <c r="L61" s="40"/>
    </row>
    <row r="62" spans="5:12" ht="13.5" thickBot="1" x14ac:dyDescent="0.25">
      <c r="E62" s="46">
        <v>196</v>
      </c>
      <c r="F62" s="46">
        <v>205</v>
      </c>
      <c r="G62" s="17">
        <v>412</v>
      </c>
      <c r="H62" s="16">
        <v>422</v>
      </c>
      <c r="J62" s="40"/>
      <c r="K62" s="40"/>
      <c r="L62" s="40"/>
    </row>
    <row r="63" spans="5:12" ht="13.5" thickBot="1" x14ac:dyDescent="0.25">
      <c r="E63" s="46">
        <v>205</v>
      </c>
      <c r="F63" s="46">
        <v>215</v>
      </c>
      <c r="G63" s="16">
        <v>422</v>
      </c>
      <c r="H63" s="17">
        <v>432</v>
      </c>
      <c r="J63" s="40"/>
      <c r="K63" s="40"/>
      <c r="L63" s="40"/>
    </row>
    <row r="64" spans="5:12" ht="13.5" thickBot="1" x14ac:dyDescent="0.25">
      <c r="E64" s="46">
        <v>215</v>
      </c>
      <c r="F64" s="46">
        <v>226</v>
      </c>
      <c r="G64" s="17">
        <v>432</v>
      </c>
      <c r="H64" s="16">
        <v>442</v>
      </c>
      <c r="J64" s="40"/>
      <c r="K64" s="40"/>
      <c r="L64" s="40"/>
    </row>
    <row r="65" spans="5:12" ht="13.5" thickBot="1" x14ac:dyDescent="0.25">
      <c r="E65" s="46">
        <v>226</v>
      </c>
      <c r="F65" s="46">
        <v>237</v>
      </c>
      <c r="G65" s="16">
        <v>442</v>
      </c>
      <c r="H65" s="17">
        <v>453</v>
      </c>
      <c r="J65" s="40"/>
      <c r="K65" s="40"/>
      <c r="L65" s="40"/>
    </row>
    <row r="66" spans="5:12" ht="13.5" thickBot="1" x14ac:dyDescent="0.25">
      <c r="E66" s="46">
        <v>237</v>
      </c>
      <c r="F66" s="46">
        <v>249</v>
      </c>
      <c r="G66" s="17">
        <v>453</v>
      </c>
      <c r="H66" s="16">
        <v>464</v>
      </c>
      <c r="J66" s="40"/>
      <c r="K66" s="40"/>
      <c r="L66" s="40"/>
    </row>
    <row r="67" spans="5:12" ht="13.5" thickBot="1" x14ac:dyDescent="0.25">
      <c r="E67" s="46">
        <v>249</v>
      </c>
      <c r="F67" s="46">
        <v>261</v>
      </c>
      <c r="G67" s="16">
        <v>464</v>
      </c>
      <c r="H67" s="17">
        <v>475</v>
      </c>
      <c r="J67" s="40"/>
      <c r="K67" s="40"/>
      <c r="L67" s="40"/>
    </row>
    <row r="68" spans="5:12" ht="13.5" thickBot="1" x14ac:dyDescent="0.25">
      <c r="E68" s="46">
        <v>261</v>
      </c>
      <c r="F68" s="46">
        <v>274</v>
      </c>
      <c r="G68" s="17">
        <v>475</v>
      </c>
      <c r="H68" s="16">
        <v>487</v>
      </c>
      <c r="J68" s="40"/>
      <c r="K68" s="40"/>
      <c r="L68" s="40"/>
    </row>
    <row r="69" spans="5:12" ht="13.5" thickBot="1" x14ac:dyDescent="0.25">
      <c r="E69" s="46">
        <v>274</v>
      </c>
      <c r="F69" s="46">
        <v>287</v>
      </c>
      <c r="G69" s="16">
        <v>487</v>
      </c>
      <c r="H69" s="17">
        <v>499</v>
      </c>
      <c r="J69" s="40"/>
      <c r="K69" s="40"/>
      <c r="L69" s="40"/>
    </row>
    <row r="70" spans="5:12" ht="13.5" thickBot="1" x14ac:dyDescent="0.25">
      <c r="E70" s="46">
        <v>287</v>
      </c>
      <c r="F70" s="46">
        <v>301</v>
      </c>
      <c r="G70" s="17">
        <v>499</v>
      </c>
      <c r="H70" s="16">
        <v>511</v>
      </c>
      <c r="J70" s="40"/>
      <c r="K70" s="40"/>
      <c r="L70" s="40"/>
    </row>
    <row r="71" spans="5:12" ht="13.5" thickBot="1" x14ac:dyDescent="0.25">
      <c r="E71" s="46">
        <v>301</v>
      </c>
      <c r="F71" s="46">
        <v>316</v>
      </c>
      <c r="G71" s="16">
        <v>511</v>
      </c>
      <c r="H71" s="17">
        <v>523</v>
      </c>
      <c r="J71" s="40"/>
      <c r="K71" s="40"/>
      <c r="L71" s="40"/>
    </row>
    <row r="72" spans="5:12" ht="13.5" thickBot="1" x14ac:dyDescent="0.25">
      <c r="E72" s="46">
        <v>316</v>
      </c>
      <c r="F72" s="46">
        <v>332</v>
      </c>
      <c r="G72" s="17">
        <v>523</v>
      </c>
      <c r="H72" s="16">
        <v>536</v>
      </c>
      <c r="J72" s="40"/>
      <c r="K72" s="40"/>
      <c r="L72" s="40"/>
    </row>
    <row r="73" spans="5:12" ht="13.5" thickBot="1" x14ac:dyDescent="0.25">
      <c r="E73" s="46">
        <v>332</v>
      </c>
      <c r="F73" s="46">
        <v>348</v>
      </c>
      <c r="G73" s="16">
        <v>536</v>
      </c>
      <c r="H73" s="17">
        <v>549</v>
      </c>
      <c r="J73" s="40"/>
      <c r="K73" s="40"/>
      <c r="L73" s="40"/>
    </row>
    <row r="74" spans="5:12" ht="13.5" thickBot="1" x14ac:dyDescent="0.25">
      <c r="E74" s="46">
        <v>348</v>
      </c>
      <c r="F74" s="46">
        <v>365</v>
      </c>
      <c r="G74" s="17">
        <v>549</v>
      </c>
      <c r="H74" s="16">
        <v>562</v>
      </c>
      <c r="J74" s="40"/>
      <c r="K74" s="40"/>
      <c r="L74" s="40"/>
    </row>
    <row r="75" spans="5:12" ht="13.5" thickBot="1" x14ac:dyDescent="0.25">
      <c r="E75" s="46">
        <v>365</v>
      </c>
      <c r="F75" s="46">
        <v>383</v>
      </c>
      <c r="G75" s="16">
        <v>562</v>
      </c>
      <c r="H75" s="17">
        <v>576</v>
      </c>
      <c r="J75" s="47"/>
      <c r="K75" s="47"/>
      <c r="L75" s="47"/>
    </row>
    <row r="76" spans="5:12" ht="13.5" thickBot="1" x14ac:dyDescent="0.25">
      <c r="E76" s="46">
        <v>383</v>
      </c>
      <c r="F76" s="46">
        <v>402</v>
      </c>
      <c r="G76" s="17">
        <v>576</v>
      </c>
      <c r="H76" s="16">
        <v>590</v>
      </c>
      <c r="J76" s="47"/>
      <c r="K76" s="47"/>
      <c r="L76" s="47"/>
    </row>
    <row r="77" spans="5:12" ht="13.5" thickBot="1" x14ac:dyDescent="0.25">
      <c r="E77" s="46">
        <v>402</v>
      </c>
      <c r="F77" s="46">
        <v>422</v>
      </c>
      <c r="G77" s="16">
        <v>590</v>
      </c>
      <c r="H77" s="17">
        <v>604</v>
      </c>
      <c r="J77" s="47"/>
      <c r="K77" s="47"/>
      <c r="L77" s="47"/>
    </row>
    <row r="78" spans="5:12" ht="13.5" thickBot="1" x14ac:dyDescent="0.25">
      <c r="E78" s="46">
        <v>422</v>
      </c>
      <c r="F78" s="46">
        <v>442</v>
      </c>
      <c r="G78" s="17">
        <v>604</v>
      </c>
      <c r="H78" s="16">
        <v>619</v>
      </c>
      <c r="J78" s="47"/>
      <c r="K78" s="47"/>
      <c r="L78" s="47"/>
    </row>
    <row r="79" spans="5:12" ht="13.5" thickBot="1" x14ac:dyDescent="0.25">
      <c r="E79" s="46">
        <v>442</v>
      </c>
      <c r="F79" s="46">
        <v>464</v>
      </c>
      <c r="G79" s="16">
        <v>619</v>
      </c>
      <c r="H79" s="17">
        <v>634</v>
      </c>
      <c r="J79" s="47"/>
      <c r="K79" s="47"/>
      <c r="L79" s="47"/>
    </row>
    <row r="80" spans="5:12" ht="13.5" thickBot="1" x14ac:dyDescent="0.25">
      <c r="E80" s="46">
        <v>464</v>
      </c>
      <c r="F80" s="46">
        <v>487</v>
      </c>
      <c r="G80" s="17">
        <v>634</v>
      </c>
      <c r="H80" s="16">
        <v>649</v>
      </c>
      <c r="J80" s="47"/>
      <c r="K80" s="47"/>
      <c r="L80" s="47"/>
    </row>
    <row r="81" spans="5:12" ht="13.5" thickBot="1" x14ac:dyDescent="0.25">
      <c r="E81" s="46">
        <v>487</v>
      </c>
      <c r="F81" s="46">
        <v>511</v>
      </c>
      <c r="G81" s="16">
        <v>649</v>
      </c>
      <c r="H81" s="17">
        <v>665</v>
      </c>
      <c r="J81" s="47"/>
      <c r="K81" s="47"/>
      <c r="L81" s="47"/>
    </row>
    <row r="82" spans="5:12" ht="13.5" thickBot="1" x14ac:dyDescent="0.25">
      <c r="E82" s="46">
        <v>511</v>
      </c>
      <c r="F82" s="46">
        <v>536</v>
      </c>
      <c r="G82" s="17">
        <v>665</v>
      </c>
      <c r="H82" s="16">
        <v>681</v>
      </c>
      <c r="J82" s="47"/>
      <c r="K82" s="47"/>
      <c r="L82" s="47"/>
    </row>
    <row r="83" spans="5:12" ht="13.5" thickBot="1" x14ac:dyDescent="0.25">
      <c r="E83" s="46">
        <v>536</v>
      </c>
      <c r="F83" s="46">
        <v>562</v>
      </c>
      <c r="G83" s="16">
        <v>681</v>
      </c>
      <c r="H83" s="17">
        <v>698</v>
      </c>
      <c r="J83" s="47"/>
      <c r="K83" s="47"/>
      <c r="L83" s="47"/>
    </row>
    <row r="84" spans="5:12" ht="13.5" thickBot="1" x14ac:dyDescent="0.25">
      <c r="E84" s="46">
        <v>562</v>
      </c>
      <c r="F84" s="46">
        <v>590</v>
      </c>
      <c r="G84" s="17">
        <v>698</v>
      </c>
      <c r="H84" s="16">
        <v>715</v>
      </c>
      <c r="J84" s="47"/>
      <c r="K84" s="47"/>
      <c r="L84" s="47"/>
    </row>
    <row r="85" spans="5:12" ht="13.5" thickBot="1" x14ac:dyDescent="0.25">
      <c r="E85" s="46">
        <v>590</v>
      </c>
      <c r="F85" s="46">
        <v>619</v>
      </c>
      <c r="G85" s="16">
        <v>715</v>
      </c>
      <c r="H85" s="17">
        <v>732</v>
      </c>
      <c r="J85" s="47"/>
      <c r="K85" s="47"/>
      <c r="L85" s="47"/>
    </row>
    <row r="86" spans="5:12" ht="13.5" thickBot="1" x14ac:dyDescent="0.25">
      <c r="E86" s="46">
        <v>619</v>
      </c>
      <c r="F86" s="46">
        <v>649</v>
      </c>
      <c r="G86" s="17">
        <v>732</v>
      </c>
      <c r="H86" s="16">
        <v>750</v>
      </c>
      <c r="J86" s="47"/>
      <c r="K86" s="47"/>
      <c r="L86" s="47"/>
    </row>
    <row r="87" spans="5:12" ht="13.5" thickBot="1" x14ac:dyDescent="0.25">
      <c r="E87" s="46">
        <v>649</v>
      </c>
      <c r="F87" s="46">
        <v>681</v>
      </c>
      <c r="G87" s="16">
        <v>750</v>
      </c>
      <c r="H87" s="17">
        <v>768</v>
      </c>
      <c r="J87" s="47"/>
      <c r="K87" s="47"/>
      <c r="L87" s="47"/>
    </row>
    <row r="88" spans="5:12" ht="13.5" thickBot="1" x14ac:dyDescent="0.25">
      <c r="E88" s="46">
        <v>681</v>
      </c>
      <c r="F88" s="46">
        <v>715</v>
      </c>
      <c r="G88" s="17">
        <v>768</v>
      </c>
      <c r="H88" s="16">
        <v>787</v>
      </c>
      <c r="J88" s="47"/>
      <c r="K88" s="47"/>
      <c r="L88" s="47"/>
    </row>
    <row r="89" spans="5:12" ht="13.5" thickBot="1" x14ac:dyDescent="0.25">
      <c r="E89" s="46">
        <v>715</v>
      </c>
      <c r="F89" s="46">
        <v>750</v>
      </c>
      <c r="G89" s="16">
        <v>787</v>
      </c>
      <c r="H89" s="17">
        <v>806</v>
      </c>
      <c r="J89" s="47"/>
      <c r="K89" s="47"/>
      <c r="L89" s="47"/>
    </row>
    <row r="90" spans="5:12" ht="13.5" thickBot="1" x14ac:dyDescent="0.25">
      <c r="E90" s="46">
        <v>750</v>
      </c>
      <c r="F90" s="46">
        <v>787</v>
      </c>
      <c r="G90" s="17">
        <v>806</v>
      </c>
      <c r="H90" s="16">
        <v>825</v>
      </c>
      <c r="J90" s="47"/>
      <c r="K90" s="47"/>
      <c r="L90" s="47"/>
    </row>
    <row r="91" spans="5:12" ht="13.5" thickBot="1" x14ac:dyDescent="0.25">
      <c r="E91" s="46">
        <v>787</v>
      </c>
      <c r="F91" s="46">
        <v>825</v>
      </c>
      <c r="G91" s="16">
        <v>825</v>
      </c>
      <c r="H91" s="17">
        <v>845</v>
      </c>
      <c r="J91" s="47"/>
      <c r="K91" s="47"/>
      <c r="L91" s="47"/>
    </row>
    <row r="92" spans="5:12" ht="13.5" thickBot="1" x14ac:dyDescent="0.25">
      <c r="E92" s="46">
        <v>825</v>
      </c>
      <c r="F92" s="46">
        <v>866</v>
      </c>
      <c r="G92" s="17">
        <v>845</v>
      </c>
      <c r="H92" s="16">
        <v>866</v>
      </c>
      <c r="J92" s="47"/>
      <c r="K92" s="47"/>
      <c r="L92" s="47"/>
    </row>
    <row r="93" spans="5:12" ht="13.5" thickBot="1" x14ac:dyDescent="0.25">
      <c r="E93" s="46">
        <v>866</v>
      </c>
      <c r="F93" s="46">
        <v>909</v>
      </c>
      <c r="G93" s="16">
        <v>866</v>
      </c>
      <c r="H93" s="17">
        <v>887</v>
      </c>
      <c r="J93" s="47"/>
      <c r="K93" s="47"/>
      <c r="L93" s="47"/>
    </row>
    <row r="94" spans="5:12" ht="13.5" thickBot="1" x14ac:dyDescent="0.25">
      <c r="E94" s="46">
        <v>909</v>
      </c>
      <c r="F94" s="46">
        <v>953</v>
      </c>
      <c r="G94" s="17">
        <v>887</v>
      </c>
      <c r="H94" s="16">
        <v>909</v>
      </c>
      <c r="J94" s="47"/>
      <c r="K94" s="47"/>
      <c r="L94" s="47"/>
    </row>
    <row r="95" spans="5:12" ht="13.5" thickBot="1" x14ac:dyDescent="0.25">
      <c r="E95" s="46">
        <v>953</v>
      </c>
      <c r="F95" s="46">
        <v>1000</v>
      </c>
      <c r="G95" s="16">
        <v>909</v>
      </c>
      <c r="H95" s="17">
        <v>931</v>
      </c>
      <c r="J95" s="47"/>
      <c r="K95" s="47"/>
      <c r="L95" s="47"/>
    </row>
    <row r="96" spans="5:12" ht="13.5" thickBot="1" x14ac:dyDescent="0.25">
      <c r="G96" s="17">
        <v>931</v>
      </c>
      <c r="H96" s="16">
        <v>953</v>
      </c>
      <c r="J96" s="47"/>
      <c r="K96" s="47"/>
      <c r="L96" s="47"/>
    </row>
    <row r="97" spans="7:12" ht="13.5" thickBot="1" x14ac:dyDescent="0.25">
      <c r="G97" s="16">
        <v>953</v>
      </c>
      <c r="H97" s="17">
        <v>976</v>
      </c>
      <c r="J97" s="47"/>
      <c r="K97" s="47"/>
      <c r="L97" s="47"/>
    </row>
    <row r="98" spans="7:12" ht="13.5" thickBot="1" x14ac:dyDescent="0.25">
      <c r="G98" s="17">
        <v>976</v>
      </c>
      <c r="H98" s="17">
        <v>1000</v>
      </c>
      <c r="J98" s="47"/>
      <c r="K98" s="47"/>
      <c r="L98" s="47"/>
    </row>
    <row r="99" spans="7:12" x14ac:dyDescent="0.2">
      <c r="J99" s="47"/>
      <c r="K99" s="47"/>
      <c r="L99" s="47"/>
    </row>
    <row r="100" spans="7:12" x14ac:dyDescent="0.2">
      <c r="J100" s="47"/>
      <c r="K100" s="47"/>
      <c r="L100" s="47"/>
    </row>
    <row r="101" spans="7:12" x14ac:dyDescent="0.2">
      <c r="J101" s="47"/>
      <c r="K101" s="47"/>
      <c r="L101" s="47"/>
    </row>
    <row r="102" spans="7:12" x14ac:dyDescent="0.2">
      <c r="J102" s="47"/>
      <c r="K102" s="47"/>
      <c r="L102" s="47"/>
    </row>
    <row r="103" spans="7:12" x14ac:dyDescent="0.2">
      <c r="J103" s="47"/>
      <c r="K103" s="47"/>
      <c r="L103" s="47"/>
    </row>
    <row r="104" spans="7:12" x14ac:dyDescent="0.2">
      <c r="J104" s="47"/>
      <c r="K104" s="47"/>
      <c r="L104" s="47"/>
    </row>
    <row r="105" spans="7:12" x14ac:dyDescent="0.2">
      <c r="J105" s="47"/>
      <c r="K105" s="47"/>
      <c r="L105" s="47"/>
    </row>
    <row r="106" spans="7:12" x14ac:dyDescent="0.2">
      <c r="J106" s="47"/>
      <c r="K106" s="47"/>
      <c r="L106" s="47"/>
    </row>
    <row r="107" spans="7:12" x14ac:dyDescent="0.2">
      <c r="J107" s="47"/>
      <c r="K107" s="47"/>
      <c r="L107" s="47"/>
    </row>
    <row r="108" spans="7:12" x14ac:dyDescent="0.2">
      <c r="J108" s="47"/>
      <c r="K108" s="47"/>
      <c r="L108" s="47"/>
    </row>
    <row r="109" spans="7:12" x14ac:dyDescent="0.2">
      <c r="J109" s="47"/>
      <c r="K109" s="47"/>
      <c r="L109" s="47"/>
    </row>
    <row r="110" spans="7:12" x14ac:dyDescent="0.2">
      <c r="J110" s="47"/>
      <c r="K110" s="47"/>
      <c r="L110" s="47"/>
    </row>
    <row r="111" spans="7:12" x14ac:dyDescent="0.2">
      <c r="J111" s="47"/>
      <c r="K111" s="47"/>
      <c r="L111" s="47"/>
    </row>
    <row r="112" spans="7:12" x14ac:dyDescent="0.2">
      <c r="J112" s="47"/>
      <c r="K112" s="47"/>
      <c r="L112" s="47"/>
    </row>
    <row r="113" spans="10:12" x14ac:dyDescent="0.2">
      <c r="J113" s="47"/>
      <c r="K113" s="47"/>
      <c r="L113" s="47"/>
    </row>
    <row r="114" spans="10:12" x14ac:dyDescent="0.2">
      <c r="J114" s="47"/>
      <c r="K114" s="47"/>
      <c r="L114" s="47"/>
    </row>
    <row r="115" spans="10:12" x14ac:dyDescent="0.2">
      <c r="J115" s="47"/>
      <c r="K115" s="47"/>
      <c r="L115" s="47"/>
    </row>
    <row r="116" spans="10:12" x14ac:dyDescent="0.2">
      <c r="J116" s="47"/>
      <c r="K116" s="47"/>
      <c r="L116" s="47"/>
    </row>
    <row r="117" spans="10:12" x14ac:dyDescent="0.2">
      <c r="J117" s="47"/>
      <c r="K117" s="47"/>
      <c r="L117" s="47"/>
    </row>
    <row r="118" spans="10:12" x14ac:dyDescent="0.2">
      <c r="J118" s="47"/>
      <c r="K118" s="47"/>
      <c r="L118" s="47"/>
    </row>
    <row r="119" spans="10:12" x14ac:dyDescent="0.2">
      <c r="J119" s="47"/>
      <c r="K119" s="47"/>
      <c r="L119" s="47"/>
    </row>
    <row r="120" spans="10:12" x14ac:dyDescent="0.2">
      <c r="J120" s="47"/>
      <c r="K120" s="47"/>
      <c r="L120" s="47"/>
    </row>
    <row r="121" spans="10:12" x14ac:dyDescent="0.2">
      <c r="J121" s="47"/>
      <c r="K121" s="47"/>
      <c r="L121" s="47"/>
    </row>
    <row r="122" spans="10:12" x14ac:dyDescent="0.2">
      <c r="J122" s="47"/>
      <c r="K122" s="47"/>
      <c r="L122" s="47"/>
    </row>
    <row r="123" spans="10:12" x14ac:dyDescent="0.2">
      <c r="J123" s="47"/>
      <c r="K123" s="47"/>
      <c r="L123" s="47"/>
    </row>
    <row r="124" spans="10:12" x14ac:dyDescent="0.2">
      <c r="J124" s="47"/>
      <c r="K124" s="47"/>
      <c r="L124" s="47"/>
    </row>
    <row r="125" spans="10:12" x14ac:dyDescent="0.2">
      <c r="J125" s="47"/>
      <c r="K125" s="47"/>
      <c r="L125" s="47"/>
    </row>
    <row r="126" spans="10:12" x14ac:dyDescent="0.2">
      <c r="J126" s="47"/>
      <c r="K126" s="47"/>
      <c r="L126" s="47"/>
    </row>
    <row r="127" spans="10:12" x14ac:dyDescent="0.2">
      <c r="J127" s="47"/>
      <c r="K127" s="47"/>
      <c r="L127" s="47"/>
    </row>
    <row r="128" spans="10:12" x14ac:dyDescent="0.2">
      <c r="J128" s="47"/>
      <c r="K128" s="47"/>
      <c r="L128" s="47"/>
    </row>
    <row r="129" spans="10:12" x14ac:dyDescent="0.2">
      <c r="J129" s="47"/>
      <c r="K129" s="47"/>
      <c r="L129" s="47"/>
    </row>
    <row r="130" spans="10:12" x14ac:dyDescent="0.2">
      <c r="J130" s="47"/>
      <c r="K130" s="47"/>
      <c r="L130" s="47"/>
    </row>
    <row r="131" spans="10:12" x14ac:dyDescent="0.2">
      <c r="J131" s="47"/>
      <c r="K131" s="47"/>
      <c r="L131" s="47"/>
    </row>
    <row r="132" spans="10:12" x14ac:dyDescent="0.2">
      <c r="J132" s="47"/>
      <c r="K132" s="47"/>
      <c r="L132" s="47"/>
    </row>
    <row r="133" spans="10:12" x14ac:dyDescent="0.2">
      <c r="J133" s="47"/>
      <c r="K133" s="47"/>
      <c r="L133" s="47"/>
    </row>
    <row r="134" spans="10:12" x14ac:dyDescent="0.2">
      <c r="J134" s="47"/>
      <c r="K134" s="47"/>
      <c r="L134" s="47"/>
    </row>
    <row r="135" spans="10:12" x14ac:dyDescent="0.2">
      <c r="J135" s="47"/>
      <c r="K135" s="47"/>
      <c r="L135" s="47"/>
    </row>
    <row r="136" spans="10:12" x14ac:dyDescent="0.2">
      <c r="J136" s="47"/>
      <c r="K136" s="47"/>
      <c r="L136" s="47"/>
    </row>
    <row r="137" spans="10:12" x14ac:dyDescent="0.2">
      <c r="J137" s="47"/>
      <c r="K137" s="47"/>
      <c r="L137" s="47"/>
    </row>
    <row r="138" spans="10:12" x14ac:dyDescent="0.2">
      <c r="J138" s="47"/>
      <c r="K138" s="47"/>
      <c r="L138" s="47"/>
    </row>
    <row r="139" spans="10:12" x14ac:dyDescent="0.2">
      <c r="J139" s="47"/>
      <c r="K139" s="47"/>
      <c r="L139" s="47"/>
    </row>
    <row r="140" spans="10:12" x14ac:dyDescent="0.2">
      <c r="J140" s="47"/>
      <c r="K140" s="47"/>
      <c r="L140" s="47"/>
    </row>
    <row r="141" spans="10:12" x14ac:dyDescent="0.2">
      <c r="J141" s="47"/>
      <c r="K141" s="47"/>
      <c r="L141" s="47"/>
    </row>
    <row r="142" spans="10:12" x14ac:dyDescent="0.2">
      <c r="J142" s="47"/>
      <c r="K142" s="47"/>
      <c r="L142" s="47"/>
    </row>
    <row r="143" spans="10:12" x14ac:dyDescent="0.2">
      <c r="J143" s="47"/>
      <c r="K143" s="47"/>
      <c r="L143" s="47"/>
    </row>
    <row r="144" spans="10:12" x14ac:dyDescent="0.2">
      <c r="J144" s="47"/>
      <c r="K144" s="47"/>
      <c r="L144" s="47"/>
    </row>
    <row r="145" spans="10:12" x14ac:dyDescent="0.2">
      <c r="J145" s="47"/>
      <c r="K145" s="47"/>
      <c r="L145" s="47"/>
    </row>
  </sheetData>
  <mergeCells count="5">
    <mergeCell ref="E47:F47"/>
    <mergeCell ref="E2:F2"/>
    <mergeCell ref="G2:H2"/>
    <mergeCell ref="E9:F9"/>
    <mergeCell ref="E22:F2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96</vt:i4>
      </vt:variant>
    </vt:vector>
  </HeadingPairs>
  <TitlesOfParts>
    <vt:vector size="104" baseType="lpstr">
      <vt:lpstr>Instructions</vt:lpstr>
      <vt:lpstr>Functional Schematic</vt:lpstr>
      <vt:lpstr>Design Information</vt:lpstr>
      <vt:lpstr>Figure of T1 Current</vt:lpstr>
      <vt:lpstr>TABSET Valley Switching</vt:lpstr>
      <vt:lpstr>TCDSET Valley Switching</vt:lpstr>
      <vt:lpstr>Voltage Loop</vt:lpstr>
      <vt:lpstr>Standard R and C Look Up Table</vt:lpstr>
      <vt:lpstr>_imp2</vt:lpstr>
      <vt:lpstr>_ims2</vt:lpstr>
      <vt:lpstr>_ipp1</vt:lpstr>
      <vt:lpstr>_ta1</vt:lpstr>
      <vt:lpstr>_ta11</vt:lpstr>
      <vt:lpstr>_ta2</vt:lpstr>
      <vt:lpstr>_taa1</vt:lpstr>
      <vt:lpstr>_va1</vt:lpstr>
      <vt:lpstr>C_enter</vt:lpstr>
      <vt:lpstr>C_f1</vt:lpstr>
      <vt:lpstr>C_f2</vt:lpstr>
      <vt:lpstr>c_s1</vt:lpstr>
      <vt:lpstr>C_s2</vt:lpstr>
      <vt:lpstr>Center</vt:lpstr>
      <vt:lpstr>constant</vt:lpstr>
      <vt:lpstr>cossqaavg</vt:lpstr>
      <vt:lpstr>cossqaspec</vt:lpstr>
      <vt:lpstr>cossqeavg</vt:lpstr>
      <vt:lpstr>cout</vt:lpstr>
      <vt:lpstr>Cp</vt:lpstr>
      <vt:lpstr>Cstandard</vt:lpstr>
      <vt:lpstr>Cz</vt:lpstr>
      <vt:lpstr>d2a</vt:lpstr>
      <vt:lpstr>dclamp</vt:lpstr>
      <vt:lpstr>dcrlout</vt:lpstr>
      <vt:lpstr>dcrp</vt:lpstr>
      <vt:lpstr>dcrs</vt:lpstr>
      <vt:lpstr>dilmag</vt:lpstr>
      <vt:lpstr>dilout</vt:lpstr>
      <vt:lpstr>dmax</vt:lpstr>
      <vt:lpstr>dtyp</vt:lpstr>
      <vt:lpstr>E12_f</vt:lpstr>
      <vt:lpstr>E12_s</vt:lpstr>
      <vt:lpstr>E24_f</vt:lpstr>
      <vt:lpstr>E24_s</vt:lpstr>
      <vt:lpstr>E48_f</vt:lpstr>
      <vt:lpstr>E48_s</vt:lpstr>
      <vt:lpstr>E6_f</vt:lpstr>
      <vt:lpstr>E6_s</vt:lpstr>
      <vt:lpstr>E96_f</vt:lpstr>
      <vt:lpstr>E96_s</vt:lpstr>
      <vt:lpstr>Eff</vt:lpstr>
      <vt:lpstr>esrcout</vt:lpstr>
      <vt:lpstr>fc</vt:lpstr>
      <vt:lpstr>fpp</vt:lpstr>
      <vt:lpstr>fs</vt:lpstr>
      <vt:lpstr>iloutrms</vt:lpstr>
      <vt:lpstr>imp</vt:lpstr>
      <vt:lpstr>ims</vt:lpstr>
      <vt:lpstr>ipp</vt:lpstr>
      <vt:lpstr>iprms</vt:lpstr>
      <vt:lpstr>iprms1</vt:lpstr>
      <vt:lpstr>iprms2</vt:lpstr>
      <vt:lpstr>ips</vt:lpstr>
      <vt:lpstr>isrms</vt:lpstr>
      <vt:lpstr>isrms1</vt:lpstr>
      <vt:lpstr>isrms2</vt:lpstr>
      <vt:lpstr>isrms3</vt:lpstr>
      <vt:lpstr>llk</vt:lpstr>
      <vt:lpstr>lmag</vt:lpstr>
      <vt:lpstr>lmag1</vt:lpstr>
      <vt:lpstr>lmag2</vt:lpstr>
      <vt:lpstr>lout</vt:lpstr>
      <vt:lpstr>ls</vt:lpstr>
      <vt:lpstr>n1divd1</vt:lpstr>
      <vt:lpstr>pbudget</vt:lpstr>
      <vt:lpstr>pout</vt:lpstr>
      <vt:lpstr>QAg</vt:lpstr>
      <vt:lpstr>qeg</vt:lpstr>
      <vt:lpstr>rdsonqa</vt:lpstr>
      <vt:lpstr>rdsonqe</vt:lpstr>
      <vt:lpstr>rf</vt:lpstr>
      <vt:lpstr>RII</vt:lpstr>
      <vt:lpstr>rload</vt:lpstr>
      <vt:lpstr>RS</vt:lpstr>
      <vt:lpstr>sta</vt:lpstr>
      <vt:lpstr>stb</vt:lpstr>
      <vt:lpstr>tabset</vt:lpstr>
      <vt:lpstr>tafset</vt:lpstr>
      <vt:lpstr>tcdset</vt:lpstr>
      <vt:lpstr>tdelay</vt:lpstr>
      <vt:lpstr>thu</vt:lpstr>
      <vt:lpstr>tr</vt:lpstr>
      <vt:lpstr>vadel</vt:lpstr>
      <vt:lpstr>vdsqe</vt:lpstr>
      <vt:lpstr>vg</vt:lpstr>
      <vt:lpstr>vin</vt:lpstr>
      <vt:lpstr>VINMAX</vt:lpstr>
      <vt:lpstr>VINMIAX</vt:lpstr>
      <vt:lpstr>VINMIN</vt:lpstr>
      <vt:lpstr>VOUT</vt:lpstr>
      <vt:lpstr>voutmin</vt:lpstr>
      <vt:lpstr>vrdson</vt:lpstr>
      <vt:lpstr>Vslope1</vt:lpstr>
      <vt:lpstr>Vslope2</vt:lpstr>
      <vt:lpstr>VTRAN</vt:lpstr>
    </vt:vector>
  </TitlesOfParts>
  <Company>Texas Instruments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O'Loughlin</dc:creator>
  <cp:lastModifiedBy>SUGALI HARINAIK</cp:lastModifiedBy>
  <cp:lastPrinted>2010-06-11T18:34:05Z</cp:lastPrinted>
  <dcterms:created xsi:type="dcterms:W3CDTF">2010-04-19T17:22:29Z</dcterms:created>
  <dcterms:modified xsi:type="dcterms:W3CDTF">2024-02-09T15:34:40Z</dcterms:modified>
</cp:coreProperties>
</file>